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S:\SDGE 2019 GRC Phase 2\RTB Workpapers\"/>
    </mc:Choice>
  </mc:AlternateContent>
  <xr:revisionPtr revIDLastSave="0" documentId="13_ncr:1_{02C7E65C-F21F-44A3-A5B0-E0E1D4D733B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ummary" sheetId="2" r:id="rId1"/>
    <sheet name="Form 1 Da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8" i="1" l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9" i="1" l="1"/>
  <c r="AE7" i="1"/>
  <c r="X9" i="1" l="1"/>
  <c r="AE6" i="1" l="1"/>
  <c r="W12" i="1"/>
  <c r="H4" i="1" l="1"/>
  <c r="AE5" i="1"/>
  <c r="AE3" i="1"/>
  <c r="T15" i="1" s="1"/>
  <c r="AE4" i="1"/>
  <c r="H20" i="1" s="1"/>
  <c r="T9" i="1"/>
  <c r="F10" i="1"/>
  <c r="U9" i="1"/>
  <c r="F26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11" i="1"/>
  <c r="T20" i="1" l="1"/>
  <c r="T12" i="1"/>
  <c r="T10" i="1"/>
  <c r="T19" i="1"/>
  <c r="T11" i="1"/>
  <c r="U15" i="1" s="1"/>
  <c r="T24" i="1"/>
  <c r="T16" i="1"/>
  <c r="T22" i="1"/>
  <c r="T14" i="1"/>
  <c r="T21" i="1"/>
  <c r="T13" i="1"/>
  <c r="T26" i="1"/>
  <c r="T18" i="1"/>
  <c r="T25" i="1"/>
  <c r="U25" i="1" s="1"/>
  <c r="T17" i="1"/>
  <c r="T23" i="1"/>
  <c r="H17" i="2"/>
  <c r="J17" i="2"/>
  <c r="F18" i="2"/>
  <c r="E9" i="2"/>
  <c r="E10" i="2" s="1"/>
  <c r="I18" i="2" s="1"/>
  <c r="U17" i="1" l="1"/>
  <c r="U16" i="1"/>
  <c r="U18" i="1"/>
  <c r="U20" i="1"/>
  <c r="U14" i="1"/>
  <c r="U23" i="1"/>
  <c r="U22" i="1"/>
  <c r="U24" i="1"/>
  <c r="U19" i="1"/>
  <c r="U26" i="1"/>
  <c r="U13" i="1"/>
  <c r="U21" i="1"/>
  <c r="U12" i="1"/>
  <c r="J18" i="2"/>
  <c r="H18" i="2"/>
  <c r="J19" i="2"/>
  <c r="E11" i="2" s="1"/>
  <c r="H19" i="2"/>
  <c r="E12" i="2"/>
  <c r="E13" i="2"/>
  <c r="E14" i="2" l="1"/>
  <c r="O12" i="1"/>
  <c r="O11" i="1"/>
  <c r="O10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P22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L10" i="1"/>
  <c r="G11" i="1" s="1"/>
  <c r="L11" i="1" s="1"/>
  <c r="G12" i="1" s="1"/>
  <c r="X12" i="1" s="1"/>
  <c r="D25" i="1"/>
  <c r="P26" i="1"/>
  <c r="S26" i="1"/>
  <c r="C5" i="2" s="1"/>
  <c r="L12" i="1" l="1"/>
  <c r="G13" i="1" s="1"/>
  <c r="S24" i="1"/>
  <c r="S25" i="1"/>
  <c r="L13" i="1" l="1"/>
  <c r="G14" i="1" s="1"/>
  <c r="X13" i="1"/>
  <c r="X14" i="1" s="1"/>
  <c r="L14" i="1"/>
  <c r="G15" i="1" s="1"/>
  <c r="P10" i="1"/>
  <c r="P11" i="1"/>
  <c r="P12" i="1"/>
  <c r="P13" i="1"/>
  <c r="P14" i="1"/>
  <c r="P15" i="1"/>
  <c r="P16" i="1"/>
  <c r="P17" i="1"/>
  <c r="P18" i="1"/>
  <c r="P19" i="1"/>
  <c r="P20" i="1"/>
  <c r="P21" i="1"/>
  <c r="P23" i="1"/>
  <c r="P24" i="1"/>
  <c r="P25" i="1"/>
  <c r="P28" i="1" l="1"/>
  <c r="C10" i="2" s="1"/>
  <c r="X15" i="1"/>
  <c r="L15" i="1"/>
  <c r="G16" i="1" s="1"/>
  <c r="X16" i="1" l="1"/>
  <c r="L16" i="1"/>
  <c r="G17" i="1" s="1"/>
  <c r="X17" i="1" l="1"/>
  <c r="L17" i="1"/>
  <c r="G18" i="1" s="1"/>
  <c r="X18" i="1" l="1"/>
  <c r="L18" i="1"/>
  <c r="G19" i="1" s="1"/>
  <c r="X19" i="1" l="1"/>
  <c r="L19" i="1"/>
  <c r="G20" i="1" s="1"/>
  <c r="X20" i="1" l="1"/>
  <c r="L20" i="1"/>
  <c r="G21" i="1" s="1"/>
  <c r="X21" i="1" l="1"/>
  <c r="L21" i="1"/>
  <c r="G22" i="1" s="1"/>
  <c r="X22" i="1" l="1"/>
  <c r="L22" i="1"/>
  <c r="G23" i="1" s="1"/>
  <c r="X23" i="1" l="1"/>
  <c r="L23" i="1"/>
  <c r="G24" i="1" s="1"/>
  <c r="X24" i="1" l="1"/>
  <c r="L24" i="1"/>
  <c r="G25" i="1" s="1"/>
  <c r="X25" i="1" l="1"/>
  <c r="L25" i="1"/>
  <c r="G26" i="1" s="1"/>
  <c r="X26" i="1" l="1"/>
  <c r="L26" i="1"/>
  <c r="Y6" i="1" l="1"/>
  <c r="Y3" i="1"/>
  <c r="C4" i="2" s="1"/>
  <c r="C6" i="2" s="1"/>
  <c r="C7" i="2" s="1"/>
  <c r="C9" i="2" s="1"/>
  <c r="C11" i="2" s="1"/>
  <c r="Y4" i="1"/>
  <c r="X28" i="1"/>
  <c r="Y5" i="1" l="1"/>
  <c r="C12" i="2"/>
  <c r="Y21" i="1"/>
  <c r="Y24" i="1"/>
  <c r="Y18" i="1"/>
  <c r="Y16" i="1"/>
  <c r="Y19" i="1"/>
  <c r="Y13" i="1"/>
  <c r="Y17" i="1"/>
  <c r="Y12" i="1"/>
  <c r="Y25" i="1"/>
  <c r="Y14" i="1"/>
  <c r="Y23" i="1"/>
  <c r="Y20" i="1"/>
  <c r="Y22" i="1"/>
  <c r="Y26" i="1"/>
  <c r="Y15" i="1"/>
  <c r="Y28" i="1" l="1"/>
</calcChain>
</file>

<file path=xl/sharedStrings.xml><?xml version="1.0" encoding="utf-8"?>
<sst xmlns="http://schemas.openxmlformats.org/spreadsheetml/2006/main" count="88" uniqueCount="77">
  <si>
    <t>Monthly Peak
MW</t>
  </si>
  <si>
    <t>Firm Network
for Self</t>
  </si>
  <si>
    <t>Monthly Transmission System Peak Load (p. 400)</t>
  </si>
  <si>
    <t>Monthly
Peak</t>
  </si>
  <si>
    <t>Monthly Peaks (page 401b)</t>
  </si>
  <si>
    <t>Additions</t>
  </si>
  <si>
    <t>Retirements</t>
  </si>
  <si>
    <t>Adjustments</t>
  </si>
  <si>
    <t>Transfers</t>
  </si>
  <si>
    <t>End of Year</t>
  </si>
  <si>
    <t>Intercept</t>
  </si>
  <si>
    <t>Linear
Regression</t>
  </si>
  <si>
    <t>Slope ($/kW)</t>
  </si>
  <si>
    <t>Linear Regression</t>
  </si>
  <si>
    <t>Operations
Expenses</t>
  </si>
  <si>
    <t>Maintenance
Expenses</t>
  </si>
  <si>
    <t>General Plant Loader (%)</t>
  </si>
  <si>
    <t>General Plant Loader ($/kW)</t>
  </si>
  <si>
    <t>RECC Factor</t>
  </si>
  <si>
    <t>Total Annual Cost ($/kW-yr)</t>
  </si>
  <si>
    <t>Total O&amp;M
$/kW</t>
  </si>
  <si>
    <t>Annualized  ($/kW-yr)</t>
  </si>
  <si>
    <t>O&amp;M ($/kW-yr)</t>
  </si>
  <si>
    <t>Total ($/kW)</t>
  </si>
  <si>
    <t>All Plant</t>
  </si>
  <si>
    <t>Ratio</t>
  </si>
  <si>
    <t>General Plant Loader  A&amp;G</t>
  </si>
  <si>
    <t>General Plant</t>
  </si>
  <si>
    <t>SDG&amp;E</t>
  </si>
  <si>
    <t>Transmission Plant in Service (p. 204)</t>
  </si>
  <si>
    <t>Transmission O&amp;M</t>
  </si>
  <si>
    <t>Total Transmission
Expenses</t>
  </si>
  <si>
    <t>2004-2018</t>
  </si>
  <si>
    <t>Real Economic Carrying Charge</t>
  </si>
  <si>
    <t>Utility Capital Cost Structure</t>
  </si>
  <si>
    <t>Economic Life of Asset</t>
  </si>
  <si>
    <t>Capital
Ratio</t>
  </si>
  <si>
    <t>Cost
Factor</t>
  </si>
  <si>
    <t>Weighted
Cost</t>
  </si>
  <si>
    <t>Net-to-Gross
Multiplier</t>
  </si>
  <si>
    <t>Ratio x 
Multiplier</t>
  </si>
  <si>
    <t>Debt</t>
  </si>
  <si>
    <t>Inflation</t>
  </si>
  <si>
    <t>Equity</t>
  </si>
  <si>
    <t>State Tax</t>
  </si>
  <si>
    <t>Total</t>
  </si>
  <si>
    <t>Federal Tax</t>
  </si>
  <si>
    <t>Effective Federal Tax Rate</t>
  </si>
  <si>
    <t>Composite Income Tax</t>
  </si>
  <si>
    <t>Present Worth Revenue Requirement</t>
  </si>
  <si>
    <t>Infinite Series Adjustment</t>
  </si>
  <si>
    <t>Deferal Value</t>
  </si>
  <si>
    <t>RECC = PWRR x ISA x Deferral Value</t>
  </si>
  <si>
    <t>Utility Weighted Average Rate of Return</t>
  </si>
  <si>
    <t>from CPUC summary page on utility rate of return</t>
  </si>
  <si>
    <t>Maximum
Historical</t>
  </si>
  <si>
    <t>Annual Peak</t>
  </si>
  <si>
    <t>Historical Maximum</t>
  </si>
  <si>
    <t>Regression on:</t>
  </si>
  <si>
    <t>Exclude Sunrise?</t>
  </si>
  <si>
    <t>Yes</t>
  </si>
  <si>
    <t>No</t>
  </si>
  <si>
    <t>Zero Intercept?</t>
  </si>
  <si>
    <t>match</t>
  </si>
  <si>
    <t>Begin of Year 
(End of Previous)</t>
  </si>
  <si>
    <t>Average 2014,2016 value =</t>
  </si>
  <si>
    <t>2015 assumption w/o Sunr.</t>
  </si>
  <si>
    <t>Marginal Transmission Cost</t>
  </si>
  <si>
    <t>Annualized $/kW-yr</t>
  </si>
  <si>
    <t>R Squared</t>
  </si>
  <si>
    <t>Year of Growth</t>
  </si>
  <si>
    <t>SDG&amp;E's Escalation Factors</t>
  </si>
  <si>
    <t>Nominal</t>
  </si>
  <si>
    <t>2020$</t>
  </si>
  <si>
    <t>Nominal or 2020$?</t>
  </si>
  <si>
    <t>Net Additions</t>
  </si>
  <si>
    <t>$/kW-month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</si>
</sst>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* #,##0.000_);_(* \(#,##0.0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2" borderId="12" applyNumberFormat="0" applyAlignment="0" applyProtection="0"/>
    <xf numFmtId="0" fontId="5" fillId="3" borderId="13" applyNumberFormat="0" applyAlignment="0" applyProtection="0"/>
  </cellStyleXfs>
  <cellXfs count="11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3" fillId="0" borderId="0" xfId="0" applyFont="1"/>
    <xf numFmtId="164" fontId="0" fillId="0" borderId="0" xfId="1" applyNumberFormat="1" applyFont="1"/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164" fontId="0" fillId="0" borderId="0" xfId="1" applyNumberFormat="1" applyFont="1" applyBorder="1"/>
    <xf numFmtId="0" fontId="0" fillId="0" borderId="2" xfId="0" applyFont="1" applyBorder="1"/>
    <xf numFmtId="0" fontId="0" fillId="0" borderId="9" xfId="0" applyFont="1" applyBorder="1"/>
    <xf numFmtId="0" fontId="2" fillId="0" borderId="5" xfId="0" applyFont="1" applyBorder="1" applyAlignment="1">
      <alignment horizontal="right"/>
    </xf>
    <xf numFmtId="0" fontId="0" fillId="0" borderId="10" xfId="0" applyBorder="1"/>
    <xf numFmtId="164" fontId="2" fillId="0" borderId="0" xfId="1" applyNumberFormat="1" applyFont="1" applyBorder="1"/>
    <xf numFmtId="164" fontId="2" fillId="0" borderId="6" xfId="1" applyNumberFormat="1" applyFont="1" applyBorder="1"/>
    <xf numFmtId="164" fontId="0" fillId="0" borderId="7" xfId="1" applyNumberFormat="1" applyFont="1" applyBorder="1"/>
    <xf numFmtId="164" fontId="0" fillId="0" borderId="8" xfId="1" applyNumberFormat="1" applyFont="1" applyBorder="1"/>
    <xf numFmtId="0" fontId="0" fillId="0" borderId="9" xfId="0" applyBorder="1"/>
    <xf numFmtId="0" fontId="0" fillId="0" borderId="0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4" fontId="1" fillId="0" borderId="7" xfId="1" applyNumberFormat="1" applyFont="1" applyBorder="1"/>
    <xf numFmtId="0" fontId="2" fillId="0" borderId="2" xfId="0" applyFont="1" applyBorder="1"/>
    <xf numFmtId="0" fontId="0" fillId="0" borderId="10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164" fontId="1" fillId="0" borderId="10" xfId="1" applyNumberFormat="1" applyFont="1" applyBorder="1" applyAlignment="1">
      <alignment horizontal="center" wrapText="1"/>
    </xf>
    <xf numFmtId="164" fontId="1" fillId="0" borderId="6" xfId="1" applyNumberFormat="1" applyFont="1" applyBorder="1"/>
    <xf numFmtId="164" fontId="1" fillId="0" borderId="10" xfId="1" applyNumberFormat="1" applyFont="1" applyBorder="1"/>
    <xf numFmtId="164" fontId="1" fillId="0" borderId="11" xfId="1" applyNumberFormat="1" applyFont="1" applyBorder="1"/>
    <xf numFmtId="164" fontId="1" fillId="0" borderId="8" xfId="1" applyNumberFormat="1" applyFont="1" applyBorder="1"/>
    <xf numFmtId="164" fontId="0" fillId="0" borderId="10" xfId="1" applyNumberFormat="1" applyFont="1" applyBorder="1"/>
    <xf numFmtId="164" fontId="0" fillId="0" borderId="11" xfId="1" applyNumberFormat="1" applyFont="1" applyBorder="1"/>
    <xf numFmtId="165" fontId="0" fillId="0" borderId="0" xfId="2" applyNumberFormat="1" applyFont="1"/>
    <xf numFmtId="37" fontId="0" fillId="0" borderId="0" xfId="1" applyNumberFormat="1" applyFont="1" applyBorder="1" applyAlignment="1">
      <alignment horizontal="center"/>
    </xf>
    <xf numFmtId="37" fontId="2" fillId="0" borderId="0" xfId="1" applyNumberFormat="1" applyFont="1" applyFill="1" applyBorder="1" applyAlignment="1">
      <alignment horizontal="center"/>
    </xf>
    <xf numFmtId="0" fontId="0" fillId="0" borderId="0" xfId="0" applyBorder="1"/>
    <xf numFmtId="37" fontId="0" fillId="0" borderId="6" xfId="1" applyNumberFormat="1" applyFont="1" applyBorder="1" applyAlignment="1">
      <alignment horizontal="center"/>
    </xf>
    <xf numFmtId="37" fontId="0" fillId="0" borderId="8" xfId="1" applyNumberFormat="1" applyFont="1" applyBorder="1" applyAlignment="1">
      <alignment horizontal="center"/>
    </xf>
    <xf numFmtId="37" fontId="0" fillId="0" borderId="7" xfId="1" applyNumberFormat="1" applyFont="1" applyBorder="1" applyAlignment="1">
      <alignment horizontal="center"/>
    </xf>
    <xf numFmtId="0" fontId="0" fillId="0" borderId="1" xfId="0" applyBorder="1"/>
    <xf numFmtId="37" fontId="0" fillId="0" borderId="10" xfId="1" applyNumberFormat="1" applyFont="1" applyBorder="1" applyAlignment="1">
      <alignment horizontal="center"/>
    </xf>
    <xf numFmtId="165" fontId="0" fillId="0" borderId="6" xfId="2" applyNumberFormat="1" applyFont="1" applyBorder="1" applyAlignment="1">
      <alignment horizontal="center"/>
    </xf>
    <xf numFmtId="37" fontId="0" fillId="0" borderId="11" xfId="1" applyNumberFormat="1" applyFont="1" applyBorder="1" applyAlignment="1">
      <alignment horizontal="center"/>
    </xf>
    <xf numFmtId="165" fontId="0" fillId="0" borderId="8" xfId="2" applyNumberFormat="1" applyFont="1" applyBorder="1" applyAlignment="1">
      <alignment horizontal="center"/>
    </xf>
    <xf numFmtId="164" fontId="1" fillId="0" borderId="0" xfId="1" applyNumberFormat="1" applyFont="1" applyBorder="1"/>
    <xf numFmtId="164" fontId="2" fillId="0" borderId="0" xfId="1" applyNumberFormat="1" applyFont="1" applyFill="1" applyBorder="1" applyAlignment="1">
      <alignment horizontal="center"/>
    </xf>
    <xf numFmtId="0" fontId="0" fillId="0" borderId="3" xfId="0" applyFont="1" applyBorder="1"/>
    <xf numFmtId="164" fontId="0" fillId="0" borderId="6" xfId="1" applyNumberFormat="1" applyFont="1" applyBorder="1"/>
    <xf numFmtId="164" fontId="0" fillId="0" borderId="0" xfId="0" applyNumberFormat="1"/>
    <xf numFmtId="164" fontId="0" fillId="2" borderId="12" xfId="3" applyNumberFormat="1" applyFont="1"/>
    <xf numFmtId="0" fontId="0" fillId="0" borderId="14" xfId="0" applyBorder="1"/>
    <xf numFmtId="165" fontId="0" fillId="0" borderId="15" xfId="2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165" fontId="0" fillId="3" borderId="13" xfId="4" applyNumberFormat="1" applyFont="1"/>
    <xf numFmtId="0" fontId="0" fillId="0" borderId="17" xfId="0" applyBorder="1"/>
    <xf numFmtId="165" fontId="0" fillId="2" borderId="12" xfId="3" applyNumberFormat="1" applyFont="1"/>
    <xf numFmtId="165" fontId="0" fillId="0" borderId="0" xfId="2" applyNumberFormat="1" applyFont="1" applyBorder="1"/>
    <xf numFmtId="166" fontId="0" fillId="0" borderId="0" xfId="1" applyNumberFormat="1" applyFont="1" applyBorder="1"/>
    <xf numFmtId="166" fontId="0" fillId="0" borderId="18" xfId="0" applyNumberFormat="1" applyBorder="1"/>
    <xf numFmtId="0" fontId="0" fillId="0" borderId="19" xfId="0" applyBorder="1"/>
    <xf numFmtId="165" fontId="0" fillId="0" borderId="20" xfId="2" applyNumberFormat="1" applyFont="1" applyBorder="1"/>
    <xf numFmtId="165" fontId="0" fillId="0" borderId="20" xfId="0" applyNumberFormat="1" applyBorder="1"/>
    <xf numFmtId="0" fontId="0" fillId="0" borderId="20" xfId="0" applyBorder="1"/>
    <xf numFmtId="166" fontId="0" fillId="0" borderId="21" xfId="0" applyNumberFormat="1" applyBorder="1"/>
    <xf numFmtId="0" fontId="0" fillId="0" borderId="0" xfId="0" quotePrefix="1" applyAlignment="1">
      <alignment horizontal="right"/>
    </xf>
    <xf numFmtId="165" fontId="2" fillId="3" borderId="13" xfId="4" applyNumberFormat="1" applyFont="1"/>
    <xf numFmtId="43" fontId="0" fillId="3" borderId="13" xfId="4" applyNumberFormat="1" applyFont="1"/>
    <xf numFmtId="166" fontId="0" fillId="3" borderId="13" xfId="4" applyNumberFormat="1" applyFont="1"/>
    <xf numFmtId="165" fontId="2" fillId="3" borderId="13" xfId="2" applyNumberFormat="1" applyFont="1" applyFill="1" applyBorder="1"/>
    <xf numFmtId="10" fontId="0" fillId="3" borderId="13" xfId="4" applyNumberFormat="1" applyFont="1"/>
    <xf numFmtId="10" fontId="0" fillId="0" borderId="20" xfId="0" applyNumberFormat="1" applyBorder="1"/>
    <xf numFmtId="0" fontId="0" fillId="0" borderId="0" xfId="0" applyFill="1" applyBorder="1"/>
    <xf numFmtId="164" fontId="1" fillId="0" borderId="10" xfId="1" applyNumberFormat="1" applyFont="1" applyBorder="1" applyAlignment="1">
      <alignment horizontal="right"/>
    </xf>
    <xf numFmtId="0" fontId="2" fillId="0" borderId="3" xfId="0" applyFont="1" applyBorder="1"/>
    <xf numFmtId="0" fontId="0" fillId="0" borderId="0" xfId="0" applyFont="1" applyFill="1" applyBorder="1" applyAlignment="1">
      <alignment horizontal="center" wrapText="1"/>
    </xf>
    <xf numFmtId="164" fontId="0" fillId="0" borderId="0" xfId="0" applyNumberFormat="1" applyFont="1" applyBorder="1"/>
    <xf numFmtId="164" fontId="0" fillId="0" borderId="11" xfId="1" applyNumberFormat="1" applyFont="1" applyBorder="1" applyAlignment="1">
      <alignment horizontal="center"/>
    </xf>
    <xf numFmtId="164" fontId="0" fillId="4" borderId="0" xfId="0" applyNumberFormat="1" applyFont="1" applyFill="1" applyBorder="1"/>
    <xf numFmtId="164" fontId="0" fillId="4" borderId="0" xfId="1" applyNumberFormat="1" applyFont="1" applyFill="1" applyBorder="1"/>
    <xf numFmtId="164" fontId="0" fillId="4" borderId="6" xfId="1" applyNumberFormat="1" applyFont="1" applyFill="1" applyBorder="1"/>
    <xf numFmtId="164" fontId="0" fillId="4" borderId="7" xfId="1" applyNumberFormat="1" applyFont="1" applyFill="1" applyBorder="1"/>
    <xf numFmtId="164" fontId="0" fillId="4" borderId="8" xfId="1" applyNumberFormat="1" applyFont="1" applyFill="1" applyBorder="1"/>
    <xf numFmtId="0" fontId="0" fillId="0" borderId="9" xfId="0" applyBorder="1" applyAlignment="1">
      <alignment horizontal="center" wrapText="1"/>
    </xf>
    <xf numFmtId="164" fontId="0" fillId="0" borderId="10" xfId="1" applyNumberFormat="1" applyFont="1" applyBorder="1" applyAlignment="1">
      <alignment horizontal="center"/>
    </xf>
    <xf numFmtId="164" fontId="0" fillId="4" borderId="7" xfId="0" applyNumberFormat="1" applyFont="1" applyFill="1" applyBorder="1"/>
    <xf numFmtId="164" fontId="0" fillId="0" borderId="0" xfId="0" applyNumberFormat="1" applyFont="1" applyFill="1" applyBorder="1"/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164" fontId="0" fillId="0" borderId="16" xfId="1" applyNumberFormat="1" applyFont="1" applyBorder="1"/>
    <xf numFmtId="165" fontId="0" fillId="0" borderId="18" xfId="2" applyNumberFormat="1" applyFont="1" applyBorder="1"/>
    <xf numFmtId="164" fontId="0" fillId="0" borderId="18" xfId="0" applyNumberFormat="1" applyBorder="1"/>
    <xf numFmtId="164" fontId="0" fillId="0" borderId="18" xfId="1" applyNumberFormat="1" applyFont="1" applyBorder="1"/>
    <xf numFmtId="164" fontId="1" fillId="5" borderId="0" xfId="1" applyNumberFormat="1" applyFont="1" applyFill="1" applyBorder="1"/>
    <xf numFmtId="164" fontId="1" fillId="5" borderId="0" xfId="1" applyNumberFormat="1" applyFont="1" applyFill="1"/>
    <xf numFmtId="0" fontId="0" fillId="0" borderId="4" xfId="0" applyBorder="1"/>
    <xf numFmtId="0" fontId="6" fillId="0" borderId="5" xfId="0" applyFont="1" applyBorder="1" applyAlignment="1">
      <alignment horizontal="center"/>
    </xf>
    <xf numFmtId="0" fontId="4" fillId="2" borderId="12" xfId="3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4" fillId="2" borderId="22" xfId="3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11" xfId="0" applyFill="1" applyBorder="1"/>
    <xf numFmtId="9" fontId="0" fillId="0" borderId="8" xfId="2" applyFont="1" applyBorder="1"/>
    <xf numFmtId="43" fontId="7" fillId="4" borderId="0" xfId="1" applyFont="1" applyFill="1" applyBorder="1"/>
    <xf numFmtId="43" fontId="7" fillId="0" borderId="0" xfId="1" applyFont="1" applyFill="1" applyBorder="1"/>
    <xf numFmtId="43" fontId="2" fillId="4" borderId="0" xfId="1" applyFont="1" applyFill="1" applyBorder="1"/>
    <xf numFmtId="43" fontId="2" fillId="4" borderId="7" xfId="1" applyFont="1" applyFill="1" applyBorder="1"/>
    <xf numFmtId="43" fontId="2" fillId="0" borderId="0" xfId="1" applyFont="1"/>
    <xf numFmtId="43" fontId="0" fillId="0" borderId="0" xfId="0" applyNumberFormat="1"/>
    <xf numFmtId="0" fontId="0" fillId="0" borderId="15" xfId="0" applyFill="1" applyBorder="1" applyAlignment="1">
      <alignment horizontal="right"/>
    </xf>
    <xf numFmtId="164" fontId="0" fillId="0" borderId="21" xfId="1" applyNumberFormat="1" applyFont="1" applyBorder="1"/>
    <xf numFmtId="166" fontId="0" fillId="0" borderId="0" xfId="0" applyNumberFormat="1"/>
    <xf numFmtId="43" fontId="0" fillId="0" borderId="0" xfId="1" applyFont="1"/>
  </cellXfs>
  <cellStyles count="5">
    <cellStyle name="Comma" xfId="1" builtinId="3"/>
    <cellStyle name="Input" xfId="3" builtinId="20"/>
    <cellStyle name="Normal" xfId="0" builtinId="0"/>
    <cellStyle name="Output" xfId="4" builtinId="2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Additions vs. Load Growth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'Form 1 Data'!$U$12:$U$26</c:f>
              <c:numCache>
                <c:formatCode>_(* #,##0_);_(* \(#,##0\);_(* "-"??_);_(@_)</c:formatCode>
                <c:ptCount val="15"/>
                <c:pt idx="0">
                  <c:v>128</c:v>
                </c:pt>
                <c:pt idx="1">
                  <c:v>128</c:v>
                </c:pt>
                <c:pt idx="2">
                  <c:v>565</c:v>
                </c:pt>
                <c:pt idx="3">
                  <c:v>699</c:v>
                </c:pt>
                <c:pt idx="4">
                  <c:v>699</c:v>
                </c:pt>
                <c:pt idx="5">
                  <c:v>699</c:v>
                </c:pt>
                <c:pt idx="6">
                  <c:v>750</c:v>
                </c:pt>
                <c:pt idx="7">
                  <c:v>750</c:v>
                </c:pt>
                <c:pt idx="8">
                  <c:v>750</c:v>
                </c:pt>
                <c:pt idx="9">
                  <c:v>750</c:v>
                </c:pt>
                <c:pt idx="10">
                  <c:v>953</c:v>
                </c:pt>
                <c:pt idx="11">
                  <c:v>953</c:v>
                </c:pt>
                <c:pt idx="12">
                  <c:v>953</c:v>
                </c:pt>
                <c:pt idx="13">
                  <c:v>953</c:v>
                </c:pt>
                <c:pt idx="14">
                  <c:v>953</c:v>
                </c:pt>
              </c:numCache>
            </c:numRef>
          </c:xVal>
          <c:yVal>
            <c:numRef>
              <c:f>'Form 1 Data'!$X$12:$X$26</c:f>
              <c:numCache>
                <c:formatCode>_(* #,##0_);_(* \(#,##0\);_(* "-"??_);_(@_)</c:formatCode>
                <c:ptCount val="15"/>
                <c:pt idx="0">
                  <c:v>96202640.088093311</c:v>
                </c:pt>
                <c:pt idx="1">
                  <c:v>250469785.28740603</c:v>
                </c:pt>
                <c:pt idx="2">
                  <c:v>431571538.87399089</c:v>
                </c:pt>
                <c:pt idx="3">
                  <c:v>609304337.61825395</c:v>
                </c:pt>
                <c:pt idx="4">
                  <c:v>886807652.18037868</c:v>
                </c:pt>
                <c:pt idx="5">
                  <c:v>1092031919.5971913</c:v>
                </c:pt>
                <c:pt idx="6">
                  <c:v>1261483952.4322007</c:v>
                </c:pt>
                <c:pt idx="7">
                  <c:v>1361029773.0954287</c:v>
                </c:pt>
                <c:pt idx="8">
                  <c:v>1524840686.2417562</c:v>
                </c:pt>
                <c:pt idx="9">
                  <c:v>1720010512.3839808</c:v>
                </c:pt>
                <c:pt idx="10">
                  <c:v>1969743035.5594366</c:v>
                </c:pt>
                <c:pt idx="11">
                  <c:v>2630136569.1639738</c:v>
                </c:pt>
                <c:pt idx="12">
                  <c:v>3013194989.8723402</c:v>
                </c:pt>
                <c:pt idx="13">
                  <c:v>3318515966.7344675</c:v>
                </c:pt>
                <c:pt idx="14">
                  <c:v>3824592968.5834017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41-4E8B-852C-E5DAE909FCE6}"/>
            </c:ext>
          </c:extLst>
        </c:ser>
        <c:ser>
          <c:idx val="1"/>
          <c:order val="1"/>
          <c:spPr>
            <a:ln w="254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'Form 1 Data'!$U$12:$U$26</c:f>
              <c:numCache>
                <c:formatCode>_(* #,##0_);_(* \(#,##0\);_(* "-"??_);_(@_)</c:formatCode>
                <c:ptCount val="15"/>
                <c:pt idx="0">
                  <c:v>128</c:v>
                </c:pt>
                <c:pt idx="1">
                  <c:v>128</c:v>
                </c:pt>
                <c:pt idx="2">
                  <c:v>565</c:v>
                </c:pt>
                <c:pt idx="3">
                  <c:v>699</c:v>
                </c:pt>
                <c:pt idx="4">
                  <c:v>699</c:v>
                </c:pt>
                <c:pt idx="5">
                  <c:v>699</c:v>
                </c:pt>
                <c:pt idx="6">
                  <c:v>750</c:v>
                </c:pt>
                <c:pt idx="7">
                  <c:v>750</c:v>
                </c:pt>
                <c:pt idx="8">
                  <c:v>750</c:v>
                </c:pt>
                <c:pt idx="9">
                  <c:v>750</c:v>
                </c:pt>
                <c:pt idx="10">
                  <c:v>953</c:v>
                </c:pt>
                <c:pt idx="11">
                  <c:v>953</c:v>
                </c:pt>
                <c:pt idx="12">
                  <c:v>953</c:v>
                </c:pt>
                <c:pt idx="13">
                  <c:v>953</c:v>
                </c:pt>
                <c:pt idx="14">
                  <c:v>953</c:v>
                </c:pt>
              </c:numCache>
            </c:numRef>
          </c:xVal>
          <c:yVal>
            <c:numRef>
              <c:f>'Form 1 Data'!$Y$12:$Y$26</c:f>
              <c:numCache>
                <c:formatCode>_(* #,##0_);_(* \(#,##0\);_(* "-"??_);_(@_)</c:formatCode>
                <c:ptCount val="15"/>
                <c:pt idx="0">
                  <c:v>305702343.78842503</c:v>
                </c:pt>
                <c:pt idx="1">
                  <c:v>305702343.78842503</c:v>
                </c:pt>
                <c:pt idx="2">
                  <c:v>1349389251.8785946</c:v>
                </c:pt>
                <c:pt idx="3">
                  <c:v>1669421393.0321023</c:v>
                </c:pt>
                <c:pt idx="4">
                  <c:v>1669421393.0321023</c:v>
                </c:pt>
                <c:pt idx="5">
                  <c:v>1669421393.0321023</c:v>
                </c:pt>
                <c:pt idx="6">
                  <c:v>1791224670.635303</c:v>
                </c:pt>
                <c:pt idx="7">
                  <c:v>1791224670.635303</c:v>
                </c:pt>
                <c:pt idx="8">
                  <c:v>1791224670.635303</c:v>
                </c:pt>
                <c:pt idx="9">
                  <c:v>1791224670.635303</c:v>
                </c:pt>
                <c:pt idx="10">
                  <c:v>2276049481.4872584</c:v>
                </c:pt>
                <c:pt idx="11">
                  <c:v>2276049481.4872584</c:v>
                </c:pt>
                <c:pt idx="12">
                  <c:v>2276049481.4872584</c:v>
                </c:pt>
                <c:pt idx="13">
                  <c:v>2276049481.4872584</c:v>
                </c:pt>
                <c:pt idx="14">
                  <c:v>2276049481.4872584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41-4E8B-852C-E5DAE909F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213328"/>
        <c:axId val="568213008"/>
      </c:scatterChart>
      <c:valAx>
        <c:axId val="568213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213008"/>
        <c:crosses val="autoZero"/>
        <c:crossBetween val="midCat"/>
      </c:valAx>
      <c:valAx>
        <c:axId val="56821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213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163830</xdr:colOff>
      <xdr:row>10</xdr:row>
      <xdr:rowOff>125730</xdr:rowOff>
    </xdr:from>
    <xdr:to>
      <xdr:col>28</xdr:col>
      <xdr:colOff>1398270</xdr:colOff>
      <xdr:row>25</xdr:row>
      <xdr:rowOff>125730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CA8741-087F-46A1-B98B-83DA14CCE2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20"/>
  <sheetViews>
    <sheetView tabSelected="1" workbookViewId="0">
      <selection activeCell="C12" sqref="C12"/>
    </sheetView>
  </sheetViews>
  <sheetFormatPr defaultRowHeight="14.4" x14ac:dyDescent="0.3"/>
  <cols>
    <col min="2" max="2" width="43.88671875" customWidth="1"/>
    <col min="3" max="3" width="10.5546875" bestFit="1" customWidth="1"/>
  </cols>
  <sheetData>
    <row r="3" spans="2:10" ht="16.2" thickBot="1" x14ac:dyDescent="0.35">
      <c r="B3" s="6" t="s">
        <v>67</v>
      </c>
      <c r="E3" s="6" t="s">
        <v>33</v>
      </c>
      <c r="H3" s="6" t="s">
        <v>34</v>
      </c>
      <c r="I3" s="34"/>
    </row>
    <row r="4" spans="2:10" x14ac:dyDescent="0.3">
      <c r="B4" s="52" t="s">
        <v>12</v>
      </c>
      <c r="C4" s="91">
        <f>ROUND('Form 1 Data'!Y3,2)</f>
        <v>2388.3000000000002</v>
      </c>
      <c r="E4" s="51">
        <v>50</v>
      </c>
      <c r="F4" t="s">
        <v>35</v>
      </c>
    </row>
    <row r="5" spans="2:10" x14ac:dyDescent="0.3">
      <c r="B5" s="57" t="s">
        <v>16</v>
      </c>
      <c r="C5" s="92">
        <f>'Form 1 Data'!S26</f>
        <v>2.8074142616162187E-2</v>
      </c>
      <c r="E5" s="72">
        <v>7.5499999999999998E-2</v>
      </c>
      <c r="F5" t="s">
        <v>53</v>
      </c>
    </row>
    <row r="6" spans="2:10" x14ac:dyDescent="0.3">
      <c r="B6" s="57" t="s">
        <v>17</v>
      </c>
      <c r="C6" s="93">
        <f>C4*C5</f>
        <v>67.049474810180158</v>
      </c>
      <c r="E6" s="58">
        <v>0.02</v>
      </c>
      <c r="F6" t="s">
        <v>42</v>
      </c>
    </row>
    <row r="7" spans="2:10" x14ac:dyDescent="0.3">
      <c r="B7" s="57" t="s">
        <v>23</v>
      </c>
      <c r="C7" s="94">
        <f>C4+C6</f>
        <v>2455.3494748101803</v>
      </c>
      <c r="E7" s="58">
        <v>7.2499999999999995E-2</v>
      </c>
      <c r="F7" t="s">
        <v>44</v>
      </c>
    </row>
    <row r="8" spans="2:10" x14ac:dyDescent="0.3">
      <c r="B8" s="57" t="s">
        <v>18</v>
      </c>
      <c r="C8" s="92">
        <v>6.5500000000000003E-2</v>
      </c>
      <c r="E8" s="58">
        <v>0.21</v>
      </c>
      <c r="F8" t="s">
        <v>46</v>
      </c>
    </row>
    <row r="9" spans="2:10" x14ac:dyDescent="0.3">
      <c r="B9" s="57" t="s">
        <v>21</v>
      </c>
      <c r="C9" s="93">
        <f>C7*C8</f>
        <v>160.82539060006681</v>
      </c>
      <c r="E9" s="56">
        <f>E8*(1-E7)</f>
        <v>0.194775</v>
      </c>
      <c r="F9" t="s">
        <v>47</v>
      </c>
      <c r="G9" s="67"/>
    </row>
    <row r="10" spans="2:10" x14ac:dyDescent="0.3">
      <c r="B10" s="57" t="s">
        <v>22</v>
      </c>
      <c r="C10" s="94">
        <f>'Form 1 Data'!P28</f>
        <v>27.668125053945836</v>
      </c>
      <c r="E10" s="68">
        <f>E7+E9</f>
        <v>0.26727499999999998</v>
      </c>
      <c r="F10" t="s">
        <v>48</v>
      </c>
      <c r="G10" s="67"/>
    </row>
    <row r="11" spans="2:10" ht="15" thickBot="1" x14ac:dyDescent="0.35">
      <c r="B11" s="62" t="s">
        <v>19</v>
      </c>
      <c r="C11" s="114">
        <f>SUM(C9:C10)</f>
        <v>188.49351565401264</v>
      </c>
      <c r="E11" s="69">
        <f>J19</f>
        <v>1.1896796205943567</v>
      </c>
      <c r="F11" t="s">
        <v>49</v>
      </c>
    </row>
    <row r="12" spans="2:10" x14ac:dyDescent="0.3">
      <c r="B12" s="113" t="s">
        <v>76</v>
      </c>
      <c r="C12" s="116">
        <f>C11/12</f>
        <v>15.70779297116772</v>
      </c>
      <c r="E12" s="69">
        <f>(1/(1-((1+E6)/(1+E5))^E4))</f>
        <v>1.0760916710763844</v>
      </c>
      <c r="F12" t="s">
        <v>50</v>
      </c>
    </row>
    <row r="13" spans="2:10" x14ac:dyDescent="0.3">
      <c r="C13" s="115"/>
      <c r="E13" s="70">
        <f>(E5-E6)/(1+E5)</f>
        <v>5.1603905160390512E-2</v>
      </c>
      <c r="F13" t="s">
        <v>51</v>
      </c>
    </row>
    <row r="14" spans="2:10" x14ac:dyDescent="0.3">
      <c r="C14" s="115"/>
      <c r="E14" s="71">
        <f>E11*E12*E13</f>
        <v>6.6063542881343529E-2</v>
      </c>
      <c r="F14" t="s">
        <v>52</v>
      </c>
    </row>
    <row r="15" spans="2:10" ht="15" thickBot="1" x14ac:dyDescent="0.35">
      <c r="E15" s="1"/>
    </row>
    <row r="16" spans="2:10" ht="43.2" x14ac:dyDescent="0.3">
      <c r="E16" s="52"/>
      <c r="F16" s="53" t="s">
        <v>36</v>
      </c>
      <c r="G16" s="54" t="s">
        <v>37</v>
      </c>
      <c r="H16" s="54" t="s">
        <v>38</v>
      </c>
      <c r="I16" s="54" t="s">
        <v>39</v>
      </c>
      <c r="J16" s="55" t="s">
        <v>40</v>
      </c>
    </row>
    <row r="17" spans="5:10" x14ac:dyDescent="0.3">
      <c r="E17" s="57" t="s">
        <v>41</v>
      </c>
      <c r="F17" s="58">
        <v>0.48</v>
      </c>
      <c r="G17" s="58">
        <v>4.6800000000000001E-2</v>
      </c>
      <c r="H17" s="59">
        <f>F17*G17</f>
        <v>2.2464000000000001E-2</v>
      </c>
      <c r="I17" s="60">
        <v>1</v>
      </c>
      <c r="J17" s="61">
        <f>F17*I17</f>
        <v>0.48</v>
      </c>
    </row>
    <row r="18" spans="5:10" x14ac:dyDescent="0.3">
      <c r="E18" s="57" t="s">
        <v>43</v>
      </c>
      <c r="F18" s="59">
        <f>1-F17</f>
        <v>0.52</v>
      </c>
      <c r="G18" s="58">
        <v>0.10199999999999999</v>
      </c>
      <c r="H18" s="59">
        <f>F18*G18</f>
        <v>5.3039999999999997E-2</v>
      </c>
      <c r="I18" s="60">
        <f>1/(1-E10)</f>
        <v>1.3647685011429935</v>
      </c>
      <c r="J18" s="61">
        <f>F18*I18</f>
        <v>0.70967962059435663</v>
      </c>
    </row>
    <row r="19" spans="5:10" ht="15" thickBot="1" x14ac:dyDescent="0.35">
      <c r="E19" s="62" t="s">
        <v>45</v>
      </c>
      <c r="F19" s="63"/>
      <c r="G19" s="64"/>
      <c r="H19" s="73">
        <f>SUM(H17:H18)</f>
        <v>7.5504000000000002E-2</v>
      </c>
      <c r="I19" s="65"/>
      <c r="J19" s="66">
        <f>SUM(J17:J18)</f>
        <v>1.1896796205943567</v>
      </c>
    </row>
    <row r="20" spans="5:10" x14ac:dyDescent="0.3">
      <c r="E20" s="74" t="s">
        <v>54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E32"/>
  <sheetViews>
    <sheetView topLeftCell="A6" workbookViewId="0">
      <selection activeCell="B33" sqref="B33"/>
    </sheetView>
  </sheetViews>
  <sheetFormatPr defaultColWidth="24.33203125" defaultRowHeight="14.4" x14ac:dyDescent="0.3"/>
  <cols>
    <col min="1" max="1" width="8.44140625" customWidth="1"/>
    <col min="2" max="2" width="11.44140625" customWidth="1"/>
    <col min="5" max="6" width="26.44140625" customWidth="1"/>
    <col min="16" max="19" width="24.33203125" style="37"/>
    <col min="20" max="20" width="15.77734375" style="37" customWidth="1"/>
    <col min="21" max="23" width="17.109375" customWidth="1"/>
    <col min="24" max="24" width="16.6640625" customWidth="1"/>
    <col min="25" max="25" width="16.33203125" customWidth="1"/>
    <col min="26" max="26" width="11.21875" customWidth="1"/>
  </cols>
  <sheetData>
    <row r="2" spans="2:31" x14ac:dyDescent="0.3">
      <c r="X2" s="12" t="s">
        <v>70</v>
      </c>
      <c r="Y2" s="13" t="s">
        <v>32</v>
      </c>
      <c r="AA2" s="19"/>
      <c r="AB2" s="97"/>
      <c r="AC2" s="97"/>
      <c r="AD2" s="97"/>
      <c r="AE2" s="98" t="s">
        <v>63</v>
      </c>
    </row>
    <row r="3" spans="2:31" ht="15.6" x14ac:dyDescent="0.3">
      <c r="B3" s="6" t="s">
        <v>28</v>
      </c>
      <c r="X3" s="14" t="s">
        <v>12</v>
      </c>
      <c r="Y3" s="16">
        <f>INDEX(LINEST($X$12:$X$26,$U$12:$U$26,IF(AE$5=1,FALSE,TRUE),TRUE),1,1)/1000</f>
        <v>2388.2995608470706</v>
      </c>
      <c r="AA3" s="21" t="s">
        <v>58</v>
      </c>
      <c r="AB3" s="99" t="s">
        <v>57</v>
      </c>
      <c r="AC3" s="100" t="s">
        <v>56</v>
      </c>
      <c r="AD3" s="100" t="s">
        <v>57</v>
      </c>
      <c r="AE3" s="101">
        <f>MATCH(AB3,AC3:AD3,0)</f>
        <v>2</v>
      </c>
    </row>
    <row r="4" spans="2:31" x14ac:dyDescent="0.3">
      <c r="B4" s="2"/>
      <c r="G4" t="s">
        <v>65</v>
      </c>
      <c r="H4" s="7">
        <f>AVERAGE(H19,H21)</f>
        <v>187261370</v>
      </c>
      <c r="X4" s="14" t="s">
        <v>10</v>
      </c>
      <c r="Y4" s="16">
        <f>INDEX(LINEST($X$12:$X$26,$U$12:$U$26,IF(AE$5=1,"FALSE","TRUE"),"TRUE"),1,2)</f>
        <v>0</v>
      </c>
      <c r="AA4" s="21" t="s">
        <v>59</v>
      </c>
      <c r="AB4" s="99" t="s">
        <v>60</v>
      </c>
      <c r="AC4" s="100" t="s">
        <v>60</v>
      </c>
      <c r="AD4" s="100" t="s">
        <v>61</v>
      </c>
      <c r="AE4" s="101">
        <f>MATCH(AB4,AC4:AD4,0)</f>
        <v>1</v>
      </c>
    </row>
    <row r="5" spans="2:31" x14ac:dyDescent="0.3">
      <c r="B5" s="2"/>
      <c r="G5" t="s">
        <v>66</v>
      </c>
      <c r="H5" s="96">
        <v>187261370</v>
      </c>
      <c r="X5" s="14" t="s">
        <v>68</v>
      </c>
      <c r="Y5" s="16">
        <f>Summary!C11</f>
        <v>188.49351565401264</v>
      </c>
      <c r="Z5" s="112"/>
      <c r="AA5" s="21" t="s">
        <v>62</v>
      </c>
      <c r="AB5" s="99" t="s">
        <v>60</v>
      </c>
      <c r="AC5" s="100" t="s">
        <v>60</v>
      </c>
      <c r="AD5" s="100" t="s">
        <v>61</v>
      </c>
      <c r="AE5" s="101">
        <f>MATCH(AB5,AC5:AD5,0)</f>
        <v>1</v>
      </c>
    </row>
    <row r="6" spans="2:31" x14ac:dyDescent="0.3">
      <c r="B6" s="2"/>
      <c r="U6" s="37"/>
      <c r="V6" s="37"/>
      <c r="W6" s="37"/>
      <c r="X6" s="105" t="s">
        <v>69</v>
      </c>
      <c r="Y6" s="106">
        <f>RSQ(X12:X26,U12:U26)</f>
        <v>0.65295043835724043</v>
      </c>
      <c r="AA6" s="21" t="s">
        <v>74</v>
      </c>
      <c r="AB6" s="99" t="s">
        <v>73</v>
      </c>
      <c r="AC6" s="100" t="s">
        <v>72</v>
      </c>
      <c r="AD6" s="100" t="s">
        <v>73</v>
      </c>
      <c r="AE6" s="101">
        <f>MATCH(AB6,AC6:AD6,0)</f>
        <v>2</v>
      </c>
    </row>
    <row r="7" spans="2:31" x14ac:dyDescent="0.3">
      <c r="B7" s="2"/>
      <c r="Y7" s="15"/>
      <c r="Z7" s="37"/>
      <c r="AA7" s="22" t="s">
        <v>58</v>
      </c>
      <c r="AB7" s="102" t="s">
        <v>75</v>
      </c>
      <c r="AC7" s="103" t="s">
        <v>5</v>
      </c>
      <c r="AD7" s="103" t="s">
        <v>75</v>
      </c>
      <c r="AE7" s="104">
        <f>MATCH(AB7,AC7:AD7,0)</f>
        <v>2</v>
      </c>
    </row>
    <row r="8" spans="2:31" x14ac:dyDescent="0.3">
      <c r="B8" s="19"/>
      <c r="C8" s="3" t="s">
        <v>2</v>
      </c>
      <c r="D8" s="4"/>
      <c r="E8" s="3" t="s">
        <v>4</v>
      </c>
      <c r="F8" s="76"/>
      <c r="G8" s="24" t="s">
        <v>29</v>
      </c>
      <c r="H8" s="4"/>
      <c r="I8" s="4"/>
      <c r="J8" s="4"/>
      <c r="K8" s="4"/>
      <c r="L8" s="4"/>
      <c r="M8" s="3" t="s">
        <v>30</v>
      </c>
      <c r="N8" s="4"/>
      <c r="O8" s="4"/>
      <c r="P8" s="5"/>
      <c r="Q8" s="41" t="s">
        <v>26</v>
      </c>
      <c r="R8" s="4"/>
      <c r="S8" s="5"/>
      <c r="T8" s="3" t="s">
        <v>13</v>
      </c>
      <c r="U8" s="24"/>
      <c r="V8" s="24"/>
      <c r="W8" s="24"/>
      <c r="X8" s="11"/>
      <c r="Y8" s="48"/>
    </row>
    <row r="9" spans="2:31" ht="28.8" x14ac:dyDescent="0.3">
      <c r="B9" s="14"/>
      <c r="C9" s="25" t="s">
        <v>0</v>
      </c>
      <c r="D9" s="20" t="s">
        <v>1</v>
      </c>
      <c r="E9" s="25" t="s">
        <v>3</v>
      </c>
      <c r="F9" s="26" t="s">
        <v>55</v>
      </c>
      <c r="G9" s="85" t="s">
        <v>64</v>
      </c>
      <c r="H9" s="89" t="s">
        <v>5</v>
      </c>
      <c r="I9" s="89" t="s">
        <v>6</v>
      </c>
      <c r="J9" s="89" t="s">
        <v>7</v>
      </c>
      <c r="K9" s="89" t="s">
        <v>8</v>
      </c>
      <c r="L9" s="90" t="s">
        <v>9</v>
      </c>
      <c r="M9" s="25" t="s">
        <v>14</v>
      </c>
      <c r="N9" s="20" t="s">
        <v>15</v>
      </c>
      <c r="O9" s="20" t="s">
        <v>31</v>
      </c>
      <c r="P9" s="26" t="s">
        <v>20</v>
      </c>
      <c r="Q9" s="25" t="s">
        <v>27</v>
      </c>
      <c r="R9" s="20" t="s">
        <v>24</v>
      </c>
      <c r="S9" s="26" t="s">
        <v>25</v>
      </c>
      <c r="T9" s="85" t="str">
        <f>AB3</f>
        <v>Historical Maximum</v>
      </c>
      <c r="U9" s="8" t="str">
        <f>"Change in "&amp;AB3</f>
        <v>Change in Historical Maximum</v>
      </c>
      <c r="V9" s="8" t="str">
        <f>"Nominal
"&amp;AB7</f>
        <v>Nominal
Net Additions</v>
      </c>
      <c r="W9" s="8" t="s">
        <v>71</v>
      </c>
      <c r="X9" s="8" t="str">
        <f>"Cumulative Net Additions "&amp;AB6</f>
        <v>Cumulative Net Additions 2020$</v>
      </c>
      <c r="Y9" s="9" t="s">
        <v>11</v>
      </c>
      <c r="AA9" s="77"/>
    </row>
    <row r="10" spans="2:31" x14ac:dyDescent="0.3">
      <c r="B10" s="21">
        <v>2002</v>
      </c>
      <c r="C10" s="27">
        <v>3031</v>
      </c>
      <c r="D10" s="46">
        <v>3031</v>
      </c>
      <c r="E10" s="29">
        <v>3031</v>
      </c>
      <c r="F10" s="28">
        <f>MAX(E$10:E10)</f>
        <v>3031</v>
      </c>
      <c r="G10" s="32">
        <v>765152822</v>
      </c>
      <c r="H10" s="10">
        <v>66832563</v>
      </c>
      <c r="I10" s="10">
        <v>3931197</v>
      </c>
      <c r="J10" s="10">
        <v>0</v>
      </c>
      <c r="K10" s="10">
        <v>-1756306</v>
      </c>
      <c r="L10" s="49">
        <f t="shared" ref="L10:L25" si="0">G10+H10-I10+J10+K10</f>
        <v>826297882</v>
      </c>
      <c r="M10" s="32">
        <v>72666325</v>
      </c>
      <c r="N10" s="10">
        <v>6932805</v>
      </c>
      <c r="O10" s="10">
        <f t="shared" ref="O10:O12" si="1">SUM(M10:N10)</f>
        <v>79599130</v>
      </c>
      <c r="P10" s="38">
        <f t="shared" ref="P10:P25" si="2">SUM(M10:N10)/E10/1000</f>
        <v>26.261672715275488</v>
      </c>
      <c r="Q10" s="42">
        <v>108429852</v>
      </c>
      <c r="R10" s="35">
        <v>4751863345</v>
      </c>
      <c r="S10" s="43">
        <f t="shared" ref="S10:S23" si="3">Q10/R10</f>
        <v>2.2818385994641855E-2</v>
      </c>
      <c r="T10" s="86">
        <f t="shared" ref="T10:T26" si="4">CHOOSE($AE$3,E10,F10)</f>
        <v>3031</v>
      </c>
      <c r="U10" s="78"/>
      <c r="V10" s="78"/>
      <c r="W10" s="78"/>
      <c r="X10" s="10"/>
      <c r="Y10" s="49"/>
      <c r="Z10" s="50"/>
    </row>
    <row r="11" spans="2:31" x14ac:dyDescent="0.3">
      <c r="B11" s="21">
        <v>2003</v>
      </c>
      <c r="C11" s="27">
        <v>3937</v>
      </c>
      <c r="D11" s="46">
        <v>3937</v>
      </c>
      <c r="E11" s="29">
        <v>3937</v>
      </c>
      <c r="F11" s="28">
        <f>MAX(E$10:E11)</f>
        <v>3937</v>
      </c>
      <c r="G11" s="32">
        <f>L10</f>
        <v>826297882</v>
      </c>
      <c r="H11" s="10">
        <v>48040915</v>
      </c>
      <c r="I11" s="10">
        <v>3106512</v>
      </c>
      <c r="J11" s="10">
        <v>0</v>
      </c>
      <c r="K11" s="10">
        <v>1393295</v>
      </c>
      <c r="L11" s="49">
        <f t="shared" si="0"/>
        <v>872625580</v>
      </c>
      <c r="M11" s="32">
        <v>138660589</v>
      </c>
      <c r="N11" s="10">
        <v>8827915</v>
      </c>
      <c r="O11" s="10">
        <f t="shared" si="1"/>
        <v>147488504</v>
      </c>
      <c r="P11" s="38">
        <f t="shared" si="2"/>
        <v>37.462154940309887</v>
      </c>
      <c r="Q11" s="42">
        <v>119912676</v>
      </c>
      <c r="R11" s="35">
        <v>5019863998</v>
      </c>
      <c r="S11" s="43">
        <f t="shared" si="3"/>
        <v>2.3887634415548961E-2</v>
      </c>
      <c r="T11" s="86">
        <f t="shared" si="4"/>
        <v>3937</v>
      </c>
      <c r="U11" s="78"/>
      <c r="V11" s="88"/>
      <c r="W11" s="108"/>
      <c r="X11" s="10"/>
      <c r="Y11" s="49"/>
      <c r="Z11" s="50"/>
    </row>
    <row r="12" spans="2:31" x14ac:dyDescent="0.3">
      <c r="B12" s="21">
        <v>2004</v>
      </c>
      <c r="C12" s="27">
        <v>4065</v>
      </c>
      <c r="D12" s="46">
        <v>4065</v>
      </c>
      <c r="E12" s="29">
        <v>4065</v>
      </c>
      <c r="F12" s="28">
        <f>MAX(E$10:E12)</f>
        <v>4065</v>
      </c>
      <c r="G12" s="32">
        <f t="shared" ref="G12:G26" si="5">L11</f>
        <v>872625580</v>
      </c>
      <c r="H12" s="10">
        <v>85375331</v>
      </c>
      <c r="I12" s="10">
        <v>7136868</v>
      </c>
      <c r="J12" s="10">
        <v>-1</v>
      </c>
      <c r="K12" s="10">
        <v>3838637</v>
      </c>
      <c r="L12" s="49">
        <f t="shared" si="0"/>
        <v>954702679</v>
      </c>
      <c r="M12" s="32">
        <v>210874971</v>
      </c>
      <c r="N12" s="10">
        <v>9358065</v>
      </c>
      <c r="O12" s="10">
        <f t="shared" si="1"/>
        <v>220233036</v>
      </c>
      <c r="P12" s="38">
        <f t="shared" si="2"/>
        <v>54.177868634686348</v>
      </c>
      <c r="Q12" s="42">
        <v>113432171</v>
      </c>
      <c r="R12" s="35">
        <v>5313457626</v>
      </c>
      <c r="S12" s="43">
        <f t="shared" si="3"/>
        <v>2.1348089885002499E-2</v>
      </c>
      <c r="T12" s="86">
        <f t="shared" si="4"/>
        <v>4065</v>
      </c>
      <c r="U12" s="80">
        <f>T12-$T$11</f>
        <v>128</v>
      </c>
      <c r="V12" s="80">
        <f>CHOOSE(AE$7,H12,G12-G11)</f>
        <v>46327698</v>
      </c>
      <c r="W12" s="107">
        <f>(W13/W14)*W13</f>
        <v>0.52258892872290008</v>
      </c>
      <c r="X12" s="81">
        <f t="shared" ref="X12:X26" si="6">IF(AE$6=1,1,W$28/W12)*V12+X11</f>
        <v>96202640.088093311</v>
      </c>
      <c r="Y12" s="82">
        <f t="shared" ref="Y12:Y26" si="7">$Y$4+$Y$3*U12*1000</f>
        <v>305702343.78842503</v>
      </c>
      <c r="Z12" s="50"/>
    </row>
    <row r="13" spans="2:31" x14ac:dyDescent="0.3">
      <c r="B13" s="21">
        <v>2005</v>
      </c>
      <c r="C13" s="27">
        <v>4058</v>
      </c>
      <c r="D13" s="46">
        <v>4058</v>
      </c>
      <c r="E13" s="29">
        <v>4058</v>
      </c>
      <c r="F13" s="28">
        <f>MAX(E$10:E13)</f>
        <v>4065</v>
      </c>
      <c r="G13" s="32">
        <f t="shared" si="5"/>
        <v>954702679</v>
      </c>
      <c r="H13" s="10">
        <v>104653341</v>
      </c>
      <c r="I13" s="10">
        <v>5729049</v>
      </c>
      <c r="J13" s="10">
        <v>1573676</v>
      </c>
      <c r="K13" s="10">
        <v>5957025</v>
      </c>
      <c r="L13" s="49">
        <f t="shared" si="0"/>
        <v>1061157672</v>
      </c>
      <c r="M13" s="32">
        <v>203540166</v>
      </c>
      <c r="N13" s="10">
        <v>11175611</v>
      </c>
      <c r="O13" s="10">
        <f>SUM(M13:N13)</f>
        <v>214715777</v>
      </c>
      <c r="P13" s="38">
        <f t="shared" si="2"/>
        <v>52.91172424839823</v>
      </c>
      <c r="Q13" s="42">
        <v>123237715</v>
      </c>
      <c r="R13" s="35">
        <v>5584232353</v>
      </c>
      <c r="S13" s="43">
        <f t="shared" si="3"/>
        <v>2.2068873071478371E-2</v>
      </c>
      <c r="T13" s="86">
        <f t="shared" si="4"/>
        <v>4065</v>
      </c>
      <c r="U13" s="80">
        <f t="shared" ref="U13:U26" si="8">T13-$T$11</f>
        <v>128</v>
      </c>
      <c r="V13" s="80">
        <f t="shared" ref="V13:V26" si="9">CHOOSE(AE$7,H13,G13-G12)</f>
        <v>82077099</v>
      </c>
      <c r="W13" s="109">
        <v>0.57737108402008819</v>
      </c>
      <c r="X13" s="81">
        <f t="shared" si="6"/>
        <v>250469785.28740603</v>
      </c>
      <c r="Y13" s="82">
        <f t="shared" si="7"/>
        <v>305702343.78842503</v>
      </c>
      <c r="Z13" s="50"/>
    </row>
    <row r="14" spans="2:31" x14ac:dyDescent="0.3">
      <c r="B14" s="21">
        <v>2006</v>
      </c>
      <c r="C14" s="29">
        <v>4502</v>
      </c>
      <c r="D14" s="46">
        <v>4502</v>
      </c>
      <c r="E14" s="29">
        <v>4502</v>
      </c>
      <c r="F14" s="28">
        <f>MAX(E$10:E14)</f>
        <v>4502</v>
      </c>
      <c r="G14" s="32">
        <f t="shared" si="5"/>
        <v>1061157672</v>
      </c>
      <c r="H14" s="10">
        <v>116199343</v>
      </c>
      <c r="I14" s="10">
        <v>9867130</v>
      </c>
      <c r="J14" s="10">
        <v>-4461</v>
      </c>
      <c r="K14" s="10">
        <v>8928832</v>
      </c>
      <c r="L14" s="49">
        <f t="shared" si="0"/>
        <v>1176414256</v>
      </c>
      <c r="M14" s="32">
        <v>243278718</v>
      </c>
      <c r="N14" s="10">
        <v>18507617</v>
      </c>
      <c r="O14" s="10">
        <f t="shared" ref="O14:O26" si="10">SUM(M14:N14)</f>
        <v>261786335</v>
      </c>
      <c r="P14" s="38">
        <f t="shared" si="2"/>
        <v>58.148897156819189</v>
      </c>
      <c r="Q14" s="42">
        <v>136042272</v>
      </c>
      <c r="R14" s="35">
        <v>5942107600</v>
      </c>
      <c r="S14" s="43">
        <f t="shared" si="3"/>
        <v>2.2894616044987135E-2</v>
      </c>
      <c r="T14" s="86">
        <f t="shared" si="4"/>
        <v>4502</v>
      </c>
      <c r="U14" s="80">
        <f t="shared" si="8"/>
        <v>565</v>
      </c>
      <c r="V14" s="80">
        <f t="shared" si="9"/>
        <v>106454993</v>
      </c>
      <c r="W14" s="109">
        <v>0.63789596438100715</v>
      </c>
      <c r="X14" s="81">
        <f t="shared" si="6"/>
        <v>431571538.87399089</v>
      </c>
      <c r="Y14" s="82">
        <f t="shared" si="7"/>
        <v>1349389251.8785946</v>
      </c>
      <c r="Z14" s="50"/>
    </row>
    <row r="15" spans="2:31" x14ac:dyDescent="0.3">
      <c r="B15" s="21">
        <v>2007</v>
      </c>
      <c r="C15" s="29">
        <v>4636</v>
      </c>
      <c r="D15" s="46">
        <v>4636</v>
      </c>
      <c r="E15" s="29">
        <v>4636</v>
      </c>
      <c r="F15" s="28">
        <f>MAX(E$10:E15)</f>
        <v>4636</v>
      </c>
      <c r="G15" s="32">
        <f t="shared" si="5"/>
        <v>1176414256</v>
      </c>
      <c r="H15" s="10">
        <v>203686431</v>
      </c>
      <c r="I15" s="10">
        <v>8763776</v>
      </c>
      <c r="J15" s="10">
        <v>-114972</v>
      </c>
      <c r="K15" s="10">
        <v>1810913</v>
      </c>
      <c r="L15" s="49">
        <f t="shared" si="0"/>
        <v>1373032852</v>
      </c>
      <c r="M15" s="32">
        <v>10212089</v>
      </c>
      <c r="N15" s="10">
        <v>22089060</v>
      </c>
      <c r="O15" s="10">
        <f t="shared" si="10"/>
        <v>32301149</v>
      </c>
      <c r="P15" s="38">
        <f t="shared" si="2"/>
        <v>6.9674609577221744</v>
      </c>
      <c r="Q15" s="42">
        <v>146332085</v>
      </c>
      <c r="R15" s="35">
        <v>6751863922</v>
      </c>
      <c r="S15" s="43">
        <f t="shared" si="3"/>
        <v>2.1672842742460709E-2</v>
      </c>
      <c r="T15" s="86">
        <f t="shared" si="4"/>
        <v>4636</v>
      </c>
      <c r="U15" s="80">
        <f t="shared" si="8"/>
        <v>699</v>
      </c>
      <c r="V15" s="80">
        <f t="shared" si="9"/>
        <v>115256584</v>
      </c>
      <c r="W15" s="109">
        <v>0.70372768774804451</v>
      </c>
      <c r="X15" s="81">
        <f t="shared" si="6"/>
        <v>609304337.61825395</v>
      </c>
      <c r="Y15" s="82">
        <f t="shared" si="7"/>
        <v>1669421393.0321023</v>
      </c>
      <c r="Z15" s="50"/>
    </row>
    <row r="16" spans="2:31" x14ac:dyDescent="0.3">
      <c r="B16" s="21">
        <v>2008</v>
      </c>
      <c r="C16" s="29">
        <v>4351</v>
      </c>
      <c r="D16" s="46">
        <v>4351</v>
      </c>
      <c r="E16" s="29">
        <v>4351</v>
      </c>
      <c r="F16" s="28">
        <f>MAX(E$10:E16)</f>
        <v>4636</v>
      </c>
      <c r="G16" s="32">
        <f t="shared" si="5"/>
        <v>1373032852</v>
      </c>
      <c r="H16" s="10">
        <v>154140918</v>
      </c>
      <c r="I16" s="10">
        <v>5707932</v>
      </c>
      <c r="J16" s="10">
        <v>334679</v>
      </c>
      <c r="K16" s="10">
        <v>-6941</v>
      </c>
      <c r="L16" s="49">
        <f t="shared" si="0"/>
        <v>1521793576</v>
      </c>
      <c r="M16" s="32">
        <v>93009110</v>
      </c>
      <c r="N16" s="10">
        <v>19229675</v>
      </c>
      <c r="O16" s="10">
        <f t="shared" si="10"/>
        <v>112238785</v>
      </c>
      <c r="P16" s="38">
        <f t="shared" si="2"/>
        <v>25.796089404734541</v>
      </c>
      <c r="Q16" s="42">
        <v>152081614</v>
      </c>
      <c r="R16" s="35">
        <v>7255663693</v>
      </c>
      <c r="S16" s="43">
        <f t="shared" si="3"/>
        <v>2.0960400100506697E-2</v>
      </c>
      <c r="T16" s="86">
        <f t="shared" si="4"/>
        <v>4636</v>
      </c>
      <c r="U16" s="80">
        <f t="shared" si="8"/>
        <v>699</v>
      </c>
      <c r="V16" s="80">
        <f t="shared" si="9"/>
        <v>196618596</v>
      </c>
      <c r="W16" s="109">
        <v>0.76888765883582644</v>
      </c>
      <c r="X16" s="81">
        <f t="shared" si="6"/>
        <v>886807652.18037868</v>
      </c>
      <c r="Y16" s="82">
        <f t="shared" si="7"/>
        <v>1669421393.0321023</v>
      </c>
      <c r="Z16" s="50"/>
    </row>
    <row r="17" spans="2:26" x14ac:dyDescent="0.3">
      <c r="B17" s="21">
        <v>2009</v>
      </c>
      <c r="C17" s="29">
        <v>4482</v>
      </c>
      <c r="D17" s="46">
        <v>4482</v>
      </c>
      <c r="E17" s="29">
        <v>4482</v>
      </c>
      <c r="F17" s="28">
        <f>MAX(E$10:E17)</f>
        <v>4636</v>
      </c>
      <c r="G17" s="32">
        <f t="shared" si="5"/>
        <v>1521793576</v>
      </c>
      <c r="H17" s="10">
        <v>134513607</v>
      </c>
      <c r="I17" s="10">
        <v>6071337</v>
      </c>
      <c r="J17" s="10">
        <v>-50309</v>
      </c>
      <c r="K17" s="10">
        <v>-463589</v>
      </c>
      <c r="L17" s="49">
        <f t="shared" si="0"/>
        <v>1649721948</v>
      </c>
      <c r="M17" s="32">
        <v>64718865</v>
      </c>
      <c r="N17" s="10">
        <v>85844441</v>
      </c>
      <c r="O17" s="10">
        <f t="shared" si="10"/>
        <v>150563306</v>
      </c>
      <c r="P17" s="38">
        <f t="shared" si="2"/>
        <v>33.592883980365905</v>
      </c>
      <c r="Q17" s="42">
        <v>161082698</v>
      </c>
      <c r="R17" s="35">
        <v>7650327394</v>
      </c>
      <c r="S17" s="43">
        <f t="shared" si="3"/>
        <v>2.1055660719348293E-2</v>
      </c>
      <c r="T17" s="86">
        <f t="shared" si="4"/>
        <v>4636</v>
      </c>
      <c r="U17" s="80">
        <f t="shared" si="8"/>
        <v>699</v>
      </c>
      <c r="V17" s="80">
        <f t="shared" si="9"/>
        <v>148760724</v>
      </c>
      <c r="W17" s="109">
        <v>0.78662191900817124</v>
      </c>
      <c r="X17" s="81">
        <f t="shared" si="6"/>
        <v>1092031919.5971913</v>
      </c>
      <c r="Y17" s="82">
        <f t="shared" si="7"/>
        <v>1669421393.0321023</v>
      </c>
      <c r="Z17" s="50"/>
    </row>
    <row r="18" spans="2:26" x14ac:dyDescent="0.3">
      <c r="B18" s="21">
        <v>2010</v>
      </c>
      <c r="C18" s="29">
        <v>4687</v>
      </c>
      <c r="D18" s="46">
        <v>4687</v>
      </c>
      <c r="E18" s="29">
        <v>4687</v>
      </c>
      <c r="F18" s="28">
        <f>MAX(E$10:E18)</f>
        <v>4687</v>
      </c>
      <c r="G18" s="32">
        <f t="shared" si="5"/>
        <v>1649721948</v>
      </c>
      <c r="H18" s="10">
        <v>103897914</v>
      </c>
      <c r="I18" s="10">
        <v>11559895</v>
      </c>
      <c r="J18" s="10">
        <v>154622</v>
      </c>
      <c r="K18" s="10">
        <v>-14111277</v>
      </c>
      <c r="L18" s="49">
        <f t="shared" si="0"/>
        <v>1728103312</v>
      </c>
      <c r="M18" s="32">
        <v>71051129</v>
      </c>
      <c r="N18" s="10">
        <v>92117879</v>
      </c>
      <c r="O18" s="10">
        <f t="shared" si="10"/>
        <v>163169008</v>
      </c>
      <c r="P18" s="38">
        <f t="shared" si="2"/>
        <v>34.81310177085556</v>
      </c>
      <c r="Q18" s="42">
        <v>171081428</v>
      </c>
      <c r="R18" s="35">
        <v>8114074314</v>
      </c>
      <c r="S18" s="43">
        <f t="shared" si="3"/>
        <v>2.1084528114909743E-2</v>
      </c>
      <c r="T18" s="86">
        <f t="shared" si="4"/>
        <v>4687</v>
      </c>
      <c r="U18" s="80">
        <f t="shared" si="8"/>
        <v>750</v>
      </c>
      <c r="V18" s="80">
        <f t="shared" si="9"/>
        <v>127928372</v>
      </c>
      <c r="W18" s="109">
        <v>0.81926907977998764</v>
      </c>
      <c r="X18" s="81">
        <f t="shared" si="6"/>
        <v>1261483952.4322007</v>
      </c>
      <c r="Y18" s="82">
        <f t="shared" si="7"/>
        <v>1791224670.635303</v>
      </c>
      <c r="Z18" s="50"/>
    </row>
    <row r="19" spans="2:26" x14ac:dyDescent="0.3">
      <c r="B19" s="21">
        <v>2011</v>
      </c>
      <c r="C19" s="29">
        <v>4371</v>
      </c>
      <c r="D19" s="46">
        <v>4371</v>
      </c>
      <c r="E19" s="29">
        <v>4371</v>
      </c>
      <c r="F19" s="28">
        <f>MAX(E$10:E19)</f>
        <v>4687</v>
      </c>
      <c r="G19" s="32">
        <f t="shared" si="5"/>
        <v>1728103312</v>
      </c>
      <c r="H19" s="10">
        <v>138087041</v>
      </c>
      <c r="I19" s="10">
        <v>5608398</v>
      </c>
      <c r="J19" s="10">
        <v>966077</v>
      </c>
      <c r="K19" s="10">
        <v>0</v>
      </c>
      <c r="L19" s="49">
        <f t="shared" si="0"/>
        <v>1861548032</v>
      </c>
      <c r="M19" s="32">
        <v>39868457</v>
      </c>
      <c r="N19" s="10">
        <v>21533587</v>
      </c>
      <c r="O19" s="10">
        <f t="shared" si="10"/>
        <v>61402044</v>
      </c>
      <c r="P19" s="38">
        <f t="shared" si="2"/>
        <v>14.047596431022651</v>
      </c>
      <c r="Q19" s="42">
        <v>187204624</v>
      </c>
      <c r="R19" s="35">
        <v>8569379655</v>
      </c>
      <c r="S19" s="43">
        <f t="shared" si="3"/>
        <v>2.1845761482952992E-2</v>
      </c>
      <c r="T19" s="86">
        <f t="shared" si="4"/>
        <v>4687</v>
      </c>
      <c r="U19" s="80">
        <f t="shared" si="8"/>
        <v>750</v>
      </c>
      <c r="V19" s="80">
        <f t="shared" si="9"/>
        <v>78381364</v>
      </c>
      <c r="W19" s="109">
        <v>0.85446889921297509</v>
      </c>
      <c r="X19" s="81">
        <f t="shared" si="6"/>
        <v>1361029773.0954287</v>
      </c>
      <c r="Y19" s="82">
        <f t="shared" si="7"/>
        <v>1791224670.635303</v>
      </c>
      <c r="Z19" s="50"/>
    </row>
    <row r="20" spans="2:26" x14ac:dyDescent="0.3">
      <c r="B20" s="21">
        <v>2012</v>
      </c>
      <c r="C20" s="29">
        <v>4600</v>
      </c>
      <c r="D20" s="46">
        <v>4600</v>
      </c>
      <c r="E20" s="29">
        <v>4600</v>
      </c>
      <c r="F20" s="28">
        <f>MAX(E$10:E20)</f>
        <v>4687</v>
      </c>
      <c r="G20" s="32">
        <f t="shared" si="5"/>
        <v>1861548032</v>
      </c>
      <c r="H20" s="95">
        <f>IF(AE4=2,1785430216,H5)</f>
        <v>187261370</v>
      </c>
      <c r="I20" s="10">
        <v>5230769</v>
      </c>
      <c r="J20" s="10">
        <v>13935</v>
      </c>
      <c r="K20" s="10">
        <v>-17315373</v>
      </c>
      <c r="L20" s="49">
        <f t="shared" si="0"/>
        <v>2026277195</v>
      </c>
      <c r="M20" s="32">
        <v>53476343</v>
      </c>
      <c r="N20" s="10">
        <v>22059108</v>
      </c>
      <c r="O20" s="10">
        <f t="shared" si="10"/>
        <v>75535451</v>
      </c>
      <c r="P20" s="38">
        <f t="shared" si="2"/>
        <v>16.420750217391305</v>
      </c>
      <c r="Q20" s="42">
        <v>203501252</v>
      </c>
      <c r="R20" s="35">
        <v>9316078103</v>
      </c>
      <c r="S20" s="43">
        <f t="shared" si="3"/>
        <v>2.1844090372585834E-2</v>
      </c>
      <c r="T20" s="86">
        <f t="shared" si="4"/>
        <v>4687</v>
      </c>
      <c r="U20" s="80">
        <f t="shared" si="8"/>
        <v>750</v>
      </c>
      <c r="V20" s="80">
        <f t="shared" si="9"/>
        <v>133444720</v>
      </c>
      <c r="W20" s="109">
        <v>0.88402599950021632</v>
      </c>
      <c r="X20" s="81">
        <f t="shared" si="6"/>
        <v>1524840686.2417562</v>
      </c>
      <c r="Y20" s="82">
        <f t="shared" si="7"/>
        <v>1791224670.635303</v>
      </c>
      <c r="Z20" s="50"/>
    </row>
    <row r="21" spans="2:26" x14ac:dyDescent="0.3">
      <c r="B21" s="21">
        <v>2013</v>
      </c>
      <c r="C21" s="29">
        <v>4604</v>
      </c>
      <c r="D21" s="46">
        <v>4604</v>
      </c>
      <c r="E21" s="29">
        <v>4604</v>
      </c>
      <c r="F21" s="28">
        <f>MAX(E$10:E21)</f>
        <v>4687</v>
      </c>
      <c r="G21" s="32">
        <f t="shared" si="5"/>
        <v>2026277195</v>
      </c>
      <c r="H21" s="10">
        <v>236435699</v>
      </c>
      <c r="I21" s="10">
        <v>17230045</v>
      </c>
      <c r="J21" s="10">
        <v>-673720</v>
      </c>
      <c r="K21" s="10">
        <v>-1257499</v>
      </c>
      <c r="L21" s="49">
        <f t="shared" si="0"/>
        <v>2243551630</v>
      </c>
      <c r="M21" s="32">
        <v>56139939</v>
      </c>
      <c r="N21" s="10">
        <v>53476343</v>
      </c>
      <c r="O21" s="10">
        <f t="shared" si="10"/>
        <v>109616282</v>
      </c>
      <c r="P21" s="38">
        <f t="shared" si="2"/>
        <v>23.808923110338839</v>
      </c>
      <c r="Q21" s="42">
        <v>232593567</v>
      </c>
      <c r="R21" s="35">
        <v>11489748602</v>
      </c>
      <c r="S21" s="43">
        <f t="shared" si="3"/>
        <v>2.0243573210950223E-2</v>
      </c>
      <c r="T21" s="86">
        <f t="shared" si="4"/>
        <v>4687</v>
      </c>
      <c r="U21" s="80">
        <f t="shared" si="8"/>
        <v>750</v>
      </c>
      <c r="V21" s="80">
        <f t="shared" si="9"/>
        <v>164729163</v>
      </c>
      <c r="W21" s="109">
        <v>0.91593423276485186</v>
      </c>
      <c r="X21" s="81">
        <f t="shared" si="6"/>
        <v>1720010512.3839808</v>
      </c>
      <c r="Y21" s="82">
        <f t="shared" si="7"/>
        <v>1791224670.635303</v>
      </c>
      <c r="Z21" s="50"/>
    </row>
    <row r="22" spans="2:26" x14ac:dyDescent="0.3">
      <c r="B22" s="21">
        <v>2014</v>
      </c>
      <c r="C22" s="29">
        <v>4890</v>
      </c>
      <c r="D22" s="46">
        <v>4890</v>
      </c>
      <c r="E22" s="75">
        <v>4890</v>
      </c>
      <c r="F22" s="28">
        <f>MAX(E$10:E22)</f>
        <v>4890</v>
      </c>
      <c r="G22" s="32">
        <f t="shared" si="5"/>
        <v>2243551630</v>
      </c>
      <c r="H22" s="10">
        <v>599991676</v>
      </c>
      <c r="I22" s="10">
        <v>10915871</v>
      </c>
      <c r="J22" s="10">
        <v>-936187</v>
      </c>
      <c r="K22" s="10">
        <v>320664</v>
      </c>
      <c r="L22" s="49">
        <f t="shared" ref="L22" si="11">G22+H22-I22+J22+K22</f>
        <v>2832011912</v>
      </c>
      <c r="M22" s="32">
        <v>49603604</v>
      </c>
      <c r="N22" s="10">
        <v>31489913</v>
      </c>
      <c r="O22" s="10">
        <f t="shared" si="10"/>
        <v>81093517</v>
      </c>
      <c r="P22" s="38">
        <f t="shared" ref="P22" si="12">SUM(M22:N22)/E22/1000</f>
        <v>16.583541308793457</v>
      </c>
      <c r="Q22" s="42">
        <v>266955908</v>
      </c>
      <c r="R22" s="35">
        <v>10372233351</v>
      </c>
      <c r="S22" s="43">
        <f t="shared" si="3"/>
        <v>2.5737553231413024E-2</v>
      </c>
      <c r="T22" s="86">
        <f t="shared" si="4"/>
        <v>4890</v>
      </c>
      <c r="U22" s="80">
        <f t="shared" si="8"/>
        <v>953</v>
      </c>
      <c r="V22" s="80">
        <f t="shared" si="9"/>
        <v>217274435</v>
      </c>
      <c r="W22" s="109">
        <v>0.94414782849358214</v>
      </c>
      <c r="X22" s="81">
        <f t="shared" si="6"/>
        <v>1969743035.5594366</v>
      </c>
      <c r="Y22" s="82">
        <f t="shared" si="7"/>
        <v>2276049481.4872584</v>
      </c>
      <c r="Z22" s="50"/>
    </row>
    <row r="23" spans="2:26" x14ac:dyDescent="0.3">
      <c r="B23" s="21">
        <v>2015</v>
      </c>
      <c r="C23" s="29">
        <v>4711</v>
      </c>
      <c r="D23" s="46">
        <v>4711</v>
      </c>
      <c r="E23" s="75">
        <v>4711</v>
      </c>
      <c r="F23" s="28">
        <f>MAX(E$10:E23)</f>
        <v>4890</v>
      </c>
      <c r="G23" s="32">
        <f t="shared" si="5"/>
        <v>2832011912</v>
      </c>
      <c r="H23" s="10">
        <v>360021004</v>
      </c>
      <c r="I23" s="10">
        <v>8413671</v>
      </c>
      <c r="J23" s="10">
        <v>-6449710</v>
      </c>
      <c r="K23" s="10">
        <v>923884</v>
      </c>
      <c r="L23" s="49">
        <f t="shared" si="0"/>
        <v>3178093419</v>
      </c>
      <c r="M23" s="32">
        <v>54493233</v>
      </c>
      <c r="N23" s="10">
        <v>30847864</v>
      </c>
      <c r="O23" s="10">
        <f t="shared" si="10"/>
        <v>85341097</v>
      </c>
      <c r="P23" s="38">
        <f t="shared" si="2"/>
        <v>18.115282742517511</v>
      </c>
      <c r="Q23" s="42">
        <v>301645136</v>
      </c>
      <c r="R23" s="35">
        <v>11301251484</v>
      </c>
      <c r="S23" s="43">
        <f t="shared" si="3"/>
        <v>2.6691303739861099E-2</v>
      </c>
      <c r="T23" s="86">
        <f t="shared" si="4"/>
        <v>4890</v>
      </c>
      <c r="U23" s="80">
        <f t="shared" si="8"/>
        <v>953</v>
      </c>
      <c r="V23" s="80">
        <f t="shared" si="9"/>
        <v>588460282</v>
      </c>
      <c r="W23" s="109">
        <v>0.9669874059882686</v>
      </c>
      <c r="X23" s="81">
        <f t="shared" si="6"/>
        <v>2630136569.1639738</v>
      </c>
      <c r="Y23" s="82">
        <f t="shared" si="7"/>
        <v>2276049481.4872584</v>
      </c>
      <c r="Z23" s="50"/>
    </row>
    <row r="24" spans="2:26" x14ac:dyDescent="0.3">
      <c r="B24" s="21">
        <v>2016</v>
      </c>
      <c r="C24" s="29">
        <v>4343</v>
      </c>
      <c r="D24" s="46">
        <v>4343</v>
      </c>
      <c r="E24" s="29">
        <v>4343</v>
      </c>
      <c r="F24" s="28">
        <f>MAX(E$10:E24)</f>
        <v>4890</v>
      </c>
      <c r="G24" s="32">
        <f t="shared" si="5"/>
        <v>3178093419</v>
      </c>
      <c r="H24" s="10">
        <v>294785914</v>
      </c>
      <c r="I24" s="10">
        <v>13601255</v>
      </c>
      <c r="J24" s="10">
        <v>169290</v>
      </c>
      <c r="K24" s="10">
        <v>-1844</v>
      </c>
      <c r="L24" s="49">
        <f t="shared" si="0"/>
        <v>3459445524</v>
      </c>
      <c r="M24" s="32">
        <v>53991977</v>
      </c>
      <c r="N24" s="10">
        <v>33884584</v>
      </c>
      <c r="O24" s="10">
        <f t="shared" si="10"/>
        <v>87876561</v>
      </c>
      <c r="P24" s="38">
        <f t="shared" si="2"/>
        <v>20.234068846419525</v>
      </c>
      <c r="Q24" s="42">
        <v>332015542</v>
      </c>
      <c r="R24" s="35">
        <v>12012937207</v>
      </c>
      <c r="S24" s="43">
        <f t="shared" ref="S24" si="13">Q24/R24</f>
        <v>2.7638165111404465E-2</v>
      </c>
      <c r="T24" s="86">
        <f t="shared" si="4"/>
        <v>4890</v>
      </c>
      <c r="U24" s="80">
        <f t="shared" si="8"/>
        <v>953</v>
      </c>
      <c r="V24" s="80">
        <f t="shared" si="9"/>
        <v>346081507</v>
      </c>
      <c r="W24" s="109">
        <v>0.98043736447397778</v>
      </c>
      <c r="X24" s="81">
        <f t="shared" si="6"/>
        <v>3013194989.8723402</v>
      </c>
      <c r="Y24" s="82">
        <f t="shared" si="7"/>
        <v>2276049481.4872584</v>
      </c>
      <c r="Z24" s="50"/>
    </row>
    <row r="25" spans="2:26" s="37" customFormat="1" x14ac:dyDescent="0.3">
      <c r="B25" s="21">
        <v>2017</v>
      </c>
      <c r="C25" s="29">
        <v>4544</v>
      </c>
      <c r="D25" s="46">
        <f>C25</f>
        <v>4544</v>
      </c>
      <c r="E25" s="29">
        <v>4544</v>
      </c>
      <c r="F25" s="28">
        <f>MAX(E$10:E25)</f>
        <v>4890</v>
      </c>
      <c r="G25" s="32">
        <f t="shared" si="5"/>
        <v>3459445524</v>
      </c>
      <c r="H25" s="46">
        <v>477152556</v>
      </c>
      <c r="I25" s="10">
        <v>5816263</v>
      </c>
      <c r="J25" s="10">
        <v>-129790</v>
      </c>
      <c r="K25" s="10">
        <v>6421682</v>
      </c>
      <c r="L25" s="49">
        <f t="shared" si="0"/>
        <v>3937073709</v>
      </c>
      <c r="M25" s="32">
        <v>53385432</v>
      </c>
      <c r="N25" s="10">
        <v>33710178</v>
      </c>
      <c r="O25" s="10">
        <f t="shared" si="10"/>
        <v>87095610</v>
      </c>
      <c r="P25" s="38">
        <f t="shared" si="2"/>
        <v>19.167167693661973</v>
      </c>
      <c r="Q25" s="42">
        <v>348911868</v>
      </c>
      <c r="R25" s="35">
        <v>12656886295</v>
      </c>
      <c r="S25" s="43">
        <f>Q25/R25</f>
        <v>2.756695919262819E-2</v>
      </c>
      <c r="T25" s="86">
        <f t="shared" si="4"/>
        <v>4890</v>
      </c>
      <c r="U25" s="80">
        <f t="shared" si="8"/>
        <v>953</v>
      </c>
      <c r="V25" s="80">
        <f t="shared" si="9"/>
        <v>281352105</v>
      </c>
      <c r="W25" s="109">
        <v>1</v>
      </c>
      <c r="X25" s="81">
        <f t="shared" si="6"/>
        <v>3318515966.7344675</v>
      </c>
      <c r="Y25" s="82">
        <f t="shared" si="7"/>
        <v>2276049481.4872584</v>
      </c>
      <c r="Z25" s="50"/>
    </row>
    <row r="26" spans="2:26" x14ac:dyDescent="0.3">
      <c r="B26" s="22">
        <v>2018</v>
      </c>
      <c r="C26" s="30">
        <v>4377</v>
      </c>
      <c r="D26" s="23">
        <v>4377</v>
      </c>
      <c r="E26" s="30">
        <v>4377</v>
      </c>
      <c r="F26" s="31">
        <f>MAX(E$10:E26)</f>
        <v>4890</v>
      </c>
      <c r="G26" s="33">
        <f t="shared" si="5"/>
        <v>3937073709</v>
      </c>
      <c r="H26" s="23">
        <v>609823456</v>
      </c>
      <c r="I26" s="17">
        <v>16151271</v>
      </c>
      <c r="J26" s="17">
        <v>-81751</v>
      </c>
      <c r="K26" s="17">
        <v>4664797</v>
      </c>
      <c r="L26" s="18">
        <f>G26+H26-I26+J26+K26</f>
        <v>4535328940</v>
      </c>
      <c r="M26" s="33">
        <v>52409192</v>
      </c>
      <c r="N26" s="17">
        <v>36166053</v>
      </c>
      <c r="O26" s="17">
        <f t="shared" si="10"/>
        <v>88575245</v>
      </c>
      <c r="P26" s="39">
        <f t="shared" ref="P26" si="14">SUM(M26:N26)/E26/1000</f>
        <v>20.236519305460362</v>
      </c>
      <c r="Q26" s="44">
        <v>383134489</v>
      </c>
      <c r="R26" s="40">
        <v>13647237397</v>
      </c>
      <c r="S26" s="45">
        <f>Q26/R26</f>
        <v>2.8074142616162187E-2</v>
      </c>
      <c r="T26" s="79">
        <f t="shared" si="4"/>
        <v>4890</v>
      </c>
      <c r="U26" s="87">
        <f t="shared" si="8"/>
        <v>953</v>
      </c>
      <c r="V26" s="87">
        <f t="shared" si="9"/>
        <v>477628185</v>
      </c>
      <c r="W26" s="110">
        <v>1.0241883217209757</v>
      </c>
      <c r="X26" s="83">
        <f t="shared" si="6"/>
        <v>3824592968.5834017</v>
      </c>
      <c r="Y26" s="84">
        <f t="shared" si="7"/>
        <v>2276049481.4872584</v>
      </c>
      <c r="Z26" s="50"/>
    </row>
    <row r="27" spans="2:26" x14ac:dyDescent="0.3">
      <c r="B27" s="1"/>
      <c r="W27" s="111">
        <v>1.0535842014611958</v>
      </c>
      <c r="X27" s="7"/>
      <c r="Y27" s="7"/>
    </row>
    <row r="28" spans="2:26" x14ac:dyDescent="0.3">
      <c r="B28" s="1" t="s">
        <v>32</v>
      </c>
      <c r="P28" s="36">
        <f>AVERAGE(P12:P26)</f>
        <v>27.668125053945836</v>
      </c>
      <c r="Q28" s="36"/>
      <c r="R28" s="36"/>
      <c r="S28" s="36"/>
      <c r="T28" s="36"/>
      <c r="U28" s="88"/>
      <c r="V28" s="88"/>
      <c r="W28" s="108">
        <f>W27*1.03</f>
        <v>1.0851917275050318</v>
      </c>
      <c r="X28" s="47">
        <f>AVERAGE(X12:X26)</f>
        <v>1599329088.5141532</v>
      </c>
      <c r="Y28" s="47">
        <f>AVERAGE(Y12:Y26)</f>
        <v>1700946947.2352839</v>
      </c>
    </row>
    <row r="29" spans="2:26" x14ac:dyDescent="0.3">
      <c r="B29" s="1"/>
    </row>
    <row r="30" spans="2:26" x14ac:dyDescent="0.3">
      <c r="B30" s="1"/>
    </row>
    <row r="31" spans="2:26" x14ac:dyDescent="0.3">
      <c r="B31" s="1"/>
    </row>
    <row r="32" spans="2:26" x14ac:dyDescent="0.3">
      <c r="B32" s="1"/>
    </row>
  </sheetData>
  <dataValidations count="5">
    <dataValidation type="list" allowBlank="1" showInputMessage="1" showErrorMessage="1" sqref="AB3" xr:uid="{296BFEF8-8541-4D95-9E72-5B0376DA0614}">
      <formula1>$AC$3:$AD$3</formula1>
    </dataValidation>
    <dataValidation type="list" allowBlank="1" showInputMessage="1" showErrorMessage="1" sqref="AB4" xr:uid="{8AA4F3CC-3CA5-4B7D-ACD7-15EF34AF9B42}">
      <formula1>$AC$4:$AD$4</formula1>
    </dataValidation>
    <dataValidation type="list" allowBlank="1" showInputMessage="1" showErrorMessage="1" sqref="AB5" xr:uid="{B2797939-19A1-42B3-810C-C97BE4948685}">
      <formula1>$AC$5:$AD$5</formula1>
    </dataValidation>
    <dataValidation type="list" allowBlank="1" showInputMessage="1" showErrorMessage="1" sqref="AB6" xr:uid="{D5307582-D4CB-487D-9BA9-7A7407535F68}">
      <formula1>$AC$6:$AD$6</formula1>
    </dataValidation>
    <dataValidation type="list" allowBlank="1" showInputMessage="1" showErrorMessage="1" sqref="AB7" xr:uid="{6BD82C08-C102-400C-BF79-3F78C118BE12}">
      <formula1>$AC$7:$AD$7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Form 1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Patrick</cp:lastModifiedBy>
  <dcterms:created xsi:type="dcterms:W3CDTF">2018-11-19T17:08:32Z</dcterms:created>
  <dcterms:modified xsi:type="dcterms:W3CDTF">2020-04-23T00:00:10Z</dcterms:modified>
</cp:coreProperties>
</file>