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drawings/drawing1.xml" ContentType="application/vnd.openxmlformats-officedocument.drawing+xml"/>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drawings/drawing2.xml" ContentType="application/vnd.openxmlformats-officedocument.drawing+xml"/>
  <Override PartName="/xl/customProperty10.bin" ContentType="application/vnd.openxmlformats-officedocument.spreadsheetml.customProperty"/>
  <Override PartName="/xl/customProperty11.bin" ContentType="application/vnd.openxmlformats-officedocument.spreadsheetml.customProperty"/>
  <Override PartName="/xl/customProperty12.bin" ContentType="application/vnd.openxmlformats-officedocument.spreadsheetml.customProperty"/>
  <Override PartName="/xl/customProperty13.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codeName="ThisWorkbook" defaultThemeVersion="124226"/>
  <mc:AlternateContent xmlns:mc="http://schemas.openxmlformats.org/markup-compatibility/2006">
    <mc:Choice Requires="x15">
      <x15ac:absPath xmlns:x15ac="http://schemas.microsoft.com/office/spreadsheetml/2010/11/ac" url="C:\Users\gvaldivi\OneDrive - Sempra Energy\User Folders\Desktop\ACTIVITIES (Current)\COPIES OF WORK IN PROGRESS (AL, DATA REQUEST...)\"/>
    </mc:Choice>
  </mc:AlternateContent>
  <xr:revisionPtr revIDLastSave="0" documentId="13_ncr:1_{AA2584D1-833A-4AED-B2C0-0B8C839F57AA}" xr6:coauthVersionLast="41" xr6:coauthVersionMax="41" xr10:uidLastSave="{00000000-0000-0000-0000-000000000000}"/>
  <bookViews>
    <workbookView xWindow="-120" yWindow="-120" windowWidth="29040" windowHeight="15840" tabRatio="873" firstSheet="1" activeTab="1" xr2:uid="{00000000-000D-0000-FFFF-FFFF00000000}"/>
  </bookViews>
  <sheets>
    <sheet name="Business Unit Reporting" sheetId="136" state="hidden" r:id="rId1"/>
    <sheet name="Program MW " sheetId="33" r:id="rId2"/>
    <sheet name="Ex ante LI &amp; Eligibility Stats" sheetId="34" r:id="rId3"/>
    <sheet name="Ex post LI &amp; Eligibility Stats" sheetId="35" r:id="rId4"/>
    <sheet name="TA-TI Distribution@" sheetId="36" state="hidden" r:id="rId5"/>
    <sheet name="Auto DR (TI) &amp; Tech Deployment" sheetId="131" r:id="rId6"/>
    <sheet name="17-18 DRP Carryover Expend" sheetId="135" r:id="rId7"/>
    <sheet name="Marketing" sheetId="134" r:id="rId8"/>
    <sheet name="Fund Shift Log" sheetId="29" r:id="rId9"/>
    <sheet name="DRP Expenditures" sheetId="117" r:id="rId10"/>
    <sheet name="Event Summary" sheetId="57" r:id="rId11"/>
    <sheet name="SDGE Costs - AMDRMA Balance" sheetId="119" r:id="rId12"/>
    <sheet name="SDGE Costs -GRC " sheetId="120" r:id="rId13"/>
    <sheet name="SDGE Costs -DPDRMA" sheetId="129" r:id="rId14"/>
  </sheets>
  <externalReferences>
    <externalReference r:id="rId15"/>
    <externalReference r:id="rId16"/>
  </externalReferences>
  <definedNames>
    <definedName name="_AMO_UniqueIdentifier" hidden="1">"'149b2d1a-72c1-44e5-bc61-8e647e92c66a'"</definedName>
    <definedName name="_DAT1" localSheetId="9">#REF!</definedName>
    <definedName name="_DAT1" localSheetId="7">#REF!</definedName>
    <definedName name="_DAT1" localSheetId="11">#REF!</definedName>
    <definedName name="_DAT1" localSheetId="13">#REF!</definedName>
    <definedName name="_DAT1">#REF!</definedName>
    <definedName name="_DAT10" localSheetId="9">#REF!</definedName>
    <definedName name="_DAT10" localSheetId="7">#REF!</definedName>
    <definedName name="_DAT10" localSheetId="13">#REF!</definedName>
    <definedName name="_DAT10">#REF!</definedName>
    <definedName name="_DAT11" localSheetId="9">#REF!</definedName>
    <definedName name="_DAT11" localSheetId="7">#REF!</definedName>
    <definedName name="_DAT11" localSheetId="13">#REF!</definedName>
    <definedName name="_DAT11">#REF!</definedName>
    <definedName name="_DAT12" localSheetId="9">#REF!</definedName>
    <definedName name="_DAT12" localSheetId="13">#REF!</definedName>
    <definedName name="_DAT12">#REF!</definedName>
    <definedName name="_DAT13" localSheetId="9">#REF!</definedName>
    <definedName name="_DAT13" localSheetId="13">#REF!</definedName>
    <definedName name="_DAT13">#REF!</definedName>
    <definedName name="_DAT14" localSheetId="9">#REF!</definedName>
    <definedName name="_DAT14" localSheetId="13">#REF!</definedName>
    <definedName name="_DAT14">#REF!</definedName>
    <definedName name="_DAT15" localSheetId="9">#REF!</definedName>
    <definedName name="_DAT15" localSheetId="13">#REF!</definedName>
    <definedName name="_DAT15">#REF!</definedName>
    <definedName name="_DAT16" localSheetId="9">#REF!</definedName>
    <definedName name="_DAT16" localSheetId="13">#REF!</definedName>
    <definedName name="_DAT16">#REF!</definedName>
    <definedName name="_DAT17" localSheetId="9">#REF!</definedName>
    <definedName name="_DAT17" localSheetId="13">#REF!</definedName>
    <definedName name="_DAT17">#REF!</definedName>
    <definedName name="_DAT2" localSheetId="9">#REF!</definedName>
    <definedName name="_DAT2" localSheetId="13">#REF!</definedName>
    <definedName name="_DAT2">#REF!</definedName>
    <definedName name="_DAT3" localSheetId="9">#REF!</definedName>
    <definedName name="_DAT3" localSheetId="13">#REF!</definedName>
    <definedName name="_DAT3">#REF!</definedName>
    <definedName name="_DAT4" localSheetId="9">#REF!</definedName>
    <definedName name="_DAT4" localSheetId="13">#REF!</definedName>
    <definedName name="_DAT4">#REF!</definedName>
    <definedName name="_DAT5" localSheetId="9">#REF!</definedName>
    <definedName name="_DAT5" localSheetId="13">#REF!</definedName>
    <definedName name="_DAT5">#REF!</definedName>
    <definedName name="_DAT6" localSheetId="9">#REF!</definedName>
    <definedName name="_DAT6" localSheetId="13">#REF!</definedName>
    <definedName name="_DAT6">#REF!</definedName>
    <definedName name="_DAT7" localSheetId="9">#REF!</definedName>
    <definedName name="_DAT7" localSheetId="13">#REF!</definedName>
    <definedName name="_DAT7">#REF!</definedName>
    <definedName name="_DAT8" localSheetId="9">#REF!</definedName>
    <definedName name="_DAT8" localSheetId="13">#REF!</definedName>
    <definedName name="_DAT8">#REF!</definedName>
    <definedName name="_DAT9" localSheetId="9">#REF!</definedName>
    <definedName name="_DAT9" localSheetId="13">#REF!</definedName>
    <definedName name="_DAT9">#REF!</definedName>
    <definedName name="_xlnm._FilterDatabase" localSheetId="10" hidden="1">'Event Summary'!#REF!</definedName>
    <definedName name="Achieve_GRC" localSheetId="9">#REF!</definedName>
    <definedName name="Achieve_GRC" localSheetId="2">#REF!</definedName>
    <definedName name="Achieve_GRC" localSheetId="3">#REF!</definedName>
    <definedName name="Achieve_GRC" localSheetId="1">#REF!</definedName>
    <definedName name="Achieve_GRC" localSheetId="13">#REF!</definedName>
    <definedName name="Achieve_GRC" localSheetId="4">#REF!</definedName>
    <definedName name="Achieve_GRC">#REF!</definedName>
    <definedName name="Achieve_Service_Excellenc" localSheetId="9">#REF!</definedName>
    <definedName name="Achieve_Service_Excellenc" localSheetId="2">#REF!</definedName>
    <definedName name="Achieve_Service_Excellenc" localSheetId="3">#REF!</definedName>
    <definedName name="Achieve_Service_Excellenc" localSheetId="1">#REF!</definedName>
    <definedName name="Achieve_Service_Excellenc" localSheetId="13">#REF!</definedName>
    <definedName name="Achieve_Service_Excellenc" localSheetId="4">#REF!</definedName>
    <definedName name="Achieve_Service_Excellenc">#REF!</definedName>
    <definedName name="Achieve_Service_Excellence" localSheetId="9">#REF!</definedName>
    <definedName name="Achieve_Service_Excellence" localSheetId="2">#REF!</definedName>
    <definedName name="Achieve_Service_Excellence" localSheetId="3">#REF!</definedName>
    <definedName name="Achieve_Service_Excellence" localSheetId="1">#REF!</definedName>
    <definedName name="Achieve_Service_Excellence" localSheetId="13">#REF!</definedName>
    <definedName name="Achieve_Service_Excellence" localSheetId="4">#REF!</definedName>
    <definedName name="Achieve_Service_Excellence">#REF!</definedName>
    <definedName name="Collect_Revenue" localSheetId="9">#REF!</definedName>
    <definedName name="Collect_Revenue" localSheetId="2">#REF!</definedName>
    <definedName name="Collect_Revenue" localSheetId="3">#REF!</definedName>
    <definedName name="Collect_Revenue" localSheetId="1">#REF!</definedName>
    <definedName name="Collect_Revenue" localSheetId="13">#REF!</definedName>
    <definedName name="Collect_Revenue" localSheetId="4">#REF!</definedName>
    <definedName name="Collect_Revenue">#REF!</definedName>
    <definedName name="DATA1" localSheetId="9">#REF!</definedName>
    <definedName name="DATA1" localSheetId="13">#REF!</definedName>
    <definedName name="DATA1">#REF!</definedName>
    <definedName name="DATA10" localSheetId="9">#REF!</definedName>
    <definedName name="DATA10" localSheetId="13">#REF!</definedName>
    <definedName name="DATA10">#REF!</definedName>
    <definedName name="DATA11" localSheetId="9">#REF!</definedName>
    <definedName name="DATA11" localSheetId="13">#REF!</definedName>
    <definedName name="DATA11">#REF!</definedName>
    <definedName name="DATA12" localSheetId="9">#REF!</definedName>
    <definedName name="DATA12" localSheetId="13">#REF!</definedName>
    <definedName name="DATA12">#REF!</definedName>
    <definedName name="DATA13" localSheetId="9">#REF!</definedName>
    <definedName name="DATA13" localSheetId="13">#REF!</definedName>
    <definedName name="DATA13">#REF!</definedName>
    <definedName name="DATA14" localSheetId="9">#REF!</definedName>
    <definedName name="DATA14" localSheetId="13">#REF!</definedName>
    <definedName name="DATA14">#REF!</definedName>
    <definedName name="DATA15" localSheetId="9">#REF!</definedName>
    <definedName name="DATA15" localSheetId="13">#REF!</definedName>
    <definedName name="DATA15">#REF!</definedName>
    <definedName name="DATA16" localSheetId="9">#REF!</definedName>
    <definedName name="DATA16" localSheetId="13">#REF!</definedName>
    <definedName name="DATA16">#REF!</definedName>
    <definedName name="DATA17" localSheetId="9">#REF!</definedName>
    <definedName name="DATA17" localSheetId="13">#REF!</definedName>
    <definedName name="DATA17">#REF!</definedName>
    <definedName name="DATA18" localSheetId="9">#REF!</definedName>
    <definedName name="DATA18" localSheetId="13">#REF!</definedName>
    <definedName name="DATA18">#REF!</definedName>
    <definedName name="DATA19" localSheetId="9">#REF!</definedName>
    <definedName name="DATA19" localSheetId="13">#REF!</definedName>
    <definedName name="DATA19">#REF!</definedName>
    <definedName name="DATA2" localSheetId="9">#REF!</definedName>
    <definedName name="DATA2" localSheetId="13">#REF!</definedName>
    <definedName name="DATA2">#REF!</definedName>
    <definedName name="DATA20" localSheetId="9">#REF!</definedName>
    <definedName name="DATA20" localSheetId="13">#REF!</definedName>
    <definedName name="DATA20">#REF!</definedName>
    <definedName name="DATA3" localSheetId="9">#REF!</definedName>
    <definedName name="DATA3" localSheetId="13">#REF!</definedName>
    <definedName name="DATA3">#REF!</definedName>
    <definedName name="DATA4" localSheetId="9">#REF!</definedName>
    <definedName name="DATA4" localSheetId="13">#REF!</definedName>
    <definedName name="DATA4">#REF!</definedName>
    <definedName name="DATA5" localSheetId="9">#REF!</definedName>
    <definedName name="DATA5" localSheetId="13">#REF!</definedName>
    <definedName name="DATA5">#REF!</definedName>
    <definedName name="data5000">'[1]ACTMA Detail'!$N$2:$N$102</definedName>
    <definedName name="DATA6" localSheetId="9">#REF!</definedName>
    <definedName name="DATA6" localSheetId="7">#REF!</definedName>
    <definedName name="DATA6" localSheetId="13">#REF!</definedName>
    <definedName name="DATA6">#REF!</definedName>
    <definedName name="DATA7" localSheetId="9">#REF!</definedName>
    <definedName name="DATA7" localSheetId="7">#REF!</definedName>
    <definedName name="DATA7" localSheetId="13">#REF!</definedName>
    <definedName name="DATA7">#REF!</definedName>
    <definedName name="DATA8" localSheetId="9">#REF!</definedName>
    <definedName name="DATA8" localSheetId="7">#REF!</definedName>
    <definedName name="DATA8" localSheetId="13">#REF!</definedName>
    <definedName name="DATA8">#REF!</definedName>
    <definedName name="DATA9" localSheetId="9">#REF!</definedName>
    <definedName name="DATA9" localSheetId="13">#REF!</definedName>
    <definedName name="DATA9">#REF!</definedName>
    <definedName name="DayTypeList" localSheetId="9">[2]LOOKUP!$E$2:$E$14</definedName>
    <definedName name="DayTypeList" localSheetId="11">[2]LOOKUP!$E$2:$E$14</definedName>
    <definedName name="DayTypeList" localSheetId="13">[2]LOOKUP!$E$2:$E$14</definedName>
    <definedName name="DayTypeList" localSheetId="12">[2]LOOKUP!$E$2:$E$14</definedName>
    <definedName name="DayTypeList">[2]LOOKUP!$E$2:$E$14</definedName>
    <definedName name="Enhance_Delivery_Channels" localSheetId="9">#REF!</definedName>
    <definedName name="Enhance_Delivery_Channels" localSheetId="2">#REF!</definedName>
    <definedName name="Enhance_Delivery_Channels" localSheetId="3">#REF!</definedName>
    <definedName name="Enhance_Delivery_Channels" localSheetId="1">#REF!</definedName>
    <definedName name="Enhance_Delivery_Channels" localSheetId="13">#REF!</definedName>
    <definedName name="Enhance_Delivery_Channels" localSheetId="4">#REF!</definedName>
    <definedName name="Enhance_Delivery_Channels">#REF!</definedName>
    <definedName name="Ethics_and_Compliance" localSheetId="9">#REF!</definedName>
    <definedName name="Ethics_and_Compliance" localSheetId="2">#REF!</definedName>
    <definedName name="Ethics_and_Compliance" localSheetId="3">#REF!</definedName>
    <definedName name="Ethics_and_Compliance" localSheetId="1">#REF!</definedName>
    <definedName name="Ethics_and_Compliance" localSheetId="13">#REF!</definedName>
    <definedName name="Ethics_and_Compliance" localSheetId="4">#REF!</definedName>
    <definedName name="Ethics_and_Compliance">#REF!</definedName>
    <definedName name="Launch_Refine_Market" localSheetId="9">#REF!</definedName>
    <definedName name="Launch_Refine_Market" localSheetId="2">#REF!</definedName>
    <definedName name="Launch_Refine_Market" localSheetId="3">#REF!</definedName>
    <definedName name="Launch_Refine_Market" localSheetId="1">#REF!</definedName>
    <definedName name="Launch_Refine_Market" localSheetId="13">#REF!</definedName>
    <definedName name="Launch_Refine_Market" localSheetId="4">#REF!</definedName>
    <definedName name="Launch_Refine_Market">#REF!</definedName>
    <definedName name="Manage_AMI" localSheetId="9">#REF!</definedName>
    <definedName name="Manage_AMI" localSheetId="2">#REF!</definedName>
    <definedName name="Manage_AMI" localSheetId="3">#REF!</definedName>
    <definedName name="Manage_AMI" localSheetId="1">#REF!</definedName>
    <definedName name="Manage_AMI" localSheetId="13">#REF!</definedName>
    <definedName name="Manage_AMI" localSheetId="4">#REF!</definedName>
    <definedName name="Manage_AMI">#REF!</definedName>
    <definedName name="Meet_Financial_Targets" localSheetId="9">#REF!</definedName>
    <definedName name="Meet_Financial_Targets" localSheetId="2">#REF!</definedName>
    <definedName name="Meet_Financial_Targets" localSheetId="3">#REF!</definedName>
    <definedName name="Meet_Financial_Targets" localSheetId="1">#REF!</definedName>
    <definedName name="Meet_Financial_Targets" localSheetId="13">#REF!</definedName>
    <definedName name="Meet_Financial_Targets" localSheetId="4">#REF!</definedName>
    <definedName name="Meet_Financial_Targets">#REF!</definedName>
    <definedName name="nnnnnn">'[1]ACTMA Detail'!$P$2:$P$102</definedName>
    <definedName name="_xlnm.Print_Area" localSheetId="6">'17-18 DRP Carryover Expend'!$A$1:$N$36</definedName>
    <definedName name="_xlnm.Print_Area" localSheetId="5">'Auto DR (TI) &amp; Tech Deployment'!$A$1:$P$45</definedName>
    <definedName name="_xlnm.Print_Area" localSheetId="9">'DRP Expenditures'!$A$54:$N$65</definedName>
    <definedName name="_xlnm.Print_Area" localSheetId="2">'Ex ante LI &amp; Eligibility Stats'!$A$1:$O$19</definedName>
    <definedName name="_xlnm.Print_Area" localSheetId="3">'Ex post LI &amp; Eligibility Stats'!$A$1:$O$26</definedName>
    <definedName name="_xlnm.Print_Area" localSheetId="8">'Fund Shift Log'!$A$1:$E$19</definedName>
    <definedName name="_xlnm.Print_Area" localSheetId="7">Marketing!$A$1:$Q$49</definedName>
    <definedName name="_xlnm.Print_Area" localSheetId="1">'Program MW '!$A$1:$S$61</definedName>
    <definedName name="_xlnm.Print_Area" localSheetId="11">'SDGE Costs - AMDRMA Balance'!$A$63:$K$67</definedName>
    <definedName name="_xlnm.Print_Area" localSheetId="13">'SDGE Costs -DPDRMA'!$A$2:$N$47</definedName>
    <definedName name="_xlnm.Print_Area" localSheetId="12">'SDGE Costs -GRC '!$A$1:$N$36</definedName>
    <definedName name="Reliability_Expectations" localSheetId="9">#REF!</definedName>
    <definedName name="Reliability_Expectations" localSheetId="2">#REF!</definedName>
    <definedName name="Reliability_Expectations" localSheetId="3">#REF!</definedName>
    <definedName name="Reliability_Expectations" localSheetId="7">#REF!</definedName>
    <definedName name="Reliability_Expectations" localSheetId="1">#REF!</definedName>
    <definedName name="Reliability_Expectations" localSheetId="13">#REF!</definedName>
    <definedName name="Reliability_Expectations" localSheetId="4">#REF!</definedName>
    <definedName name="Reliability_Expectations">#REF!</definedName>
    <definedName name="SAPBEXhrIndnt" hidden="1">"Wide"</definedName>
    <definedName name="SAPsysID" hidden="1">"708C5W7SBKP804JT78WJ0JNKI"</definedName>
    <definedName name="SAPwbID" hidden="1">"ARS"</definedName>
    <definedName name="Stabilization_Customer_Base" localSheetId="9">#REF!</definedName>
    <definedName name="Stabilization_Customer_Base" localSheetId="2">#REF!</definedName>
    <definedName name="Stabilization_Customer_Base" localSheetId="3">#REF!</definedName>
    <definedName name="Stabilization_Customer_Base" localSheetId="7">#REF!</definedName>
    <definedName name="Stabilization_Customer_Base" localSheetId="1">#REF!</definedName>
    <definedName name="Stabilization_Customer_Base" localSheetId="13">#REF!</definedName>
    <definedName name="Stabilization_Customer_Base" localSheetId="4">#REF!</definedName>
    <definedName name="Stabilization_Customer_Base">#REF!</definedName>
    <definedName name="TEST0" localSheetId="9">#REF!</definedName>
    <definedName name="TEST0" localSheetId="7">#REF!</definedName>
    <definedName name="TEST0" localSheetId="13">#REF!</definedName>
    <definedName name="TEST0">#REF!</definedName>
    <definedName name="TEST1" localSheetId="9">#REF!</definedName>
    <definedName name="TEST1" localSheetId="13">#REF!</definedName>
    <definedName name="TEST1">#REF!</definedName>
    <definedName name="TEST10" localSheetId="9">#REF!</definedName>
    <definedName name="TEST10" localSheetId="13">#REF!</definedName>
    <definedName name="TEST10">#REF!</definedName>
    <definedName name="TEST11" localSheetId="9">#REF!</definedName>
    <definedName name="TEST11" localSheetId="13">#REF!</definedName>
    <definedName name="TEST11">#REF!</definedName>
    <definedName name="TEST12" localSheetId="9">#REF!</definedName>
    <definedName name="TEST12" localSheetId="13">#REF!</definedName>
    <definedName name="TEST12">#REF!</definedName>
    <definedName name="TEST13" localSheetId="9">#REF!</definedName>
    <definedName name="TEST13" localSheetId="13">#REF!</definedName>
    <definedName name="TEST13">#REF!</definedName>
    <definedName name="TEST14" localSheetId="9">#REF!</definedName>
    <definedName name="TEST14" localSheetId="13">#REF!</definedName>
    <definedName name="TEST14">#REF!</definedName>
    <definedName name="TEST15" localSheetId="9">#REF!</definedName>
    <definedName name="TEST15" localSheetId="13">#REF!</definedName>
    <definedName name="TEST15">#REF!</definedName>
    <definedName name="TEST16" localSheetId="9">#REF!</definedName>
    <definedName name="TEST16" localSheetId="13">#REF!</definedName>
    <definedName name="TEST16">#REF!</definedName>
    <definedName name="TEST17" localSheetId="9">#REF!</definedName>
    <definedName name="TEST17" localSheetId="13">#REF!</definedName>
    <definedName name="TEST17">#REF!</definedName>
    <definedName name="TEST18" localSheetId="9">#REF!</definedName>
    <definedName name="TEST18" localSheetId="13">#REF!</definedName>
    <definedName name="TEST18">#REF!</definedName>
    <definedName name="TEST19" localSheetId="9">#REF!</definedName>
    <definedName name="TEST19" localSheetId="13">#REF!</definedName>
    <definedName name="TEST19">#REF!</definedName>
    <definedName name="TEST2" localSheetId="9">#REF!</definedName>
    <definedName name="TEST2" localSheetId="13">#REF!</definedName>
    <definedName name="TEST2">#REF!</definedName>
    <definedName name="TEST20" localSheetId="9">#REF!</definedName>
    <definedName name="TEST20" localSheetId="13">#REF!</definedName>
    <definedName name="TEST20">#REF!</definedName>
    <definedName name="TEST21" localSheetId="9">#REF!</definedName>
    <definedName name="TEST21" localSheetId="13">#REF!</definedName>
    <definedName name="TEST21">#REF!</definedName>
    <definedName name="TEST22" localSheetId="9">#REF!</definedName>
    <definedName name="TEST22" localSheetId="13">#REF!</definedName>
    <definedName name="TEST22">#REF!</definedName>
    <definedName name="TEST23" localSheetId="9">#REF!</definedName>
    <definedName name="TEST23" localSheetId="13">#REF!</definedName>
    <definedName name="TEST23">#REF!</definedName>
    <definedName name="TEST24" localSheetId="9">#REF!</definedName>
    <definedName name="TEST24" localSheetId="13">#REF!</definedName>
    <definedName name="TEST24">#REF!</definedName>
    <definedName name="TEST25" localSheetId="9">#REF!</definedName>
    <definedName name="TEST25" localSheetId="13">#REF!</definedName>
    <definedName name="TEST25">#REF!</definedName>
    <definedName name="TEST26" localSheetId="9">#REF!</definedName>
    <definedName name="TEST26" localSheetId="13">#REF!</definedName>
    <definedName name="TEST26">#REF!</definedName>
    <definedName name="TEST27" localSheetId="9">#REF!</definedName>
    <definedName name="TEST27" localSheetId="13">#REF!</definedName>
    <definedName name="TEST27">#REF!</definedName>
    <definedName name="TEST28" localSheetId="9">#REF!</definedName>
    <definedName name="TEST28" localSheetId="13">#REF!</definedName>
    <definedName name="TEST28">#REF!</definedName>
    <definedName name="TEST3" localSheetId="9">#REF!</definedName>
    <definedName name="TEST3" localSheetId="13">#REF!</definedName>
    <definedName name="TEST3">#REF!</definedName>
    <definedName name="TEST4" localSheetId="9">#REF!</definedName>
    <definedName name="TEST4" localSheetId="13">#REF!</definedName>
    <definedName name="TEST4">#REF!</definedName>
    <definedName name="TEST5" localSheetId="9">#REF!</definedName>
    <definedName name="TEST5" localSheetId="13">#REF!</definedName>
    <definedName name="TEST5">#REF!</definedName>
    <definedName name="TEST6" localSheetId="9">#REF!</definedName>
    <definedName name="TEST6" localSheetId="13">#REF!</definedName>
    <definedName name="TEST6">#REF!</definedName>
    <definedName name="TEST7" localSheetId="9">#REF!</definedName>
    <definedName name="TEST7" localSheetId="13">#REF!</definedName>
    <definedName name="TEST7">#REF!</definedName>
    <definedName name="TEST8" localSheetId="9">#REF!</definedName>
    <definedName name="TEST8" localSheetId="13">#REF!</definedName>
    <definedName name="TEST8">#REF!</definedName>
    <definedName name="TEST9" localSheetId="9">#REF!</definedName>
    <definedName name="TEST9" localSheetId="13">#REF!</definedName>
    <definedName name="TEST9">#REF!</definedName>
    <definedName name="TESTHKEY" localSheetId="9">#REF!</definedName>
    <definedName name="TESTHKEY" localSheetId="13">#REF!</definedName>
    <definedName name="TESTHKEY">#REF!</definedName>
    <definedName name="TESTKEYS" localSheetId="9">#REF!</definedName>
    <definedName name="TESTKEYS" localSheetId="13">#REF!</definedName>
    <definedName name="TESTKEYS">#REF!</definedName>
    <definedName name="TESTVKEY" localSheetId="9">#REF!</definedName>
    <definedName name="TESTVKEY" localSheetId="13">#REF!</definedName>
    <definedName name="TESTVKEY">#REF!</definedName>
    <definedName name="Valued_Service_Provider" localSheetId="9">#REF!</definedName>
    <definedName name="Valued_Service_Provider" localSheetId="2">#REF!</definedName>
    <definedName name="Valued_Service_Provider" localSheetId="3">#REF!</definedName>
    <definedName name="Valued_Service_Provider" localSheetId="1">#REF!</definedName>
    <definedName name="Valued_Service_Provider" localSheetId="13">#REF!</definedName>
    <definedName name="Valued_Service_Provider" localSheetId="4">#REF!</definedName>
    <definedName name="Valued_Service_Provider">#REF!</definedName>
    <definedName name="Voice_of_Customer" localSheetId="9">#REF!</definedName>
    <definedName name="Voice_of_Customer" localSheetId="2">#REF!</definedName>
    <definedName name="Voice_of_Customer" localSheetId="3">#REF!</definedName>
    <definedName name="Voice_of_Customer" localSheetId="1">#REF!</definedName>
    <definedName name="Voice_of_Customer" localSheetId="13">#REF!</definedName>
    <definedName name="Voice_of_Customer" localSheetId="4">#REF!</definedName>
    <definedName name="Voice_of_Customer">#REF!</definedName>
    <definedName name="Z_E5DF83AA_DC53_4EBF_A523_33DA0FE284E8_.wvu.PrintArea" localSheetId="3" hidden="1">'Ex post LI &amp; Eligibility Stats'!$A$2:$O$22</definedName>
    <definedName name="Z_E5DF83AA_DC53_4EBF_A523_33DA0FE284E8_.wvu.PrintArea" localSheetId="1" hidden="1">'Program MW '!$A$1:$Z$50</definedName>
    <definedName name="Z_E5DF83AA_DC53_4EBF_A523_33DA0FE284E8_.wvu.PrintArea" localSheetId="4" hidden="1">'TA-TI Distribution@'!#REF!</definedName>
  </definedNames>
  <calcPr calcId="191028"/>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O29" i="117" l="1"/>
  <c r="L24" i="131" l="1"/>
  <c r="M24" i="131"/>
  <c r="M35" i="131" l="1"/>
  <c r="M34" i="131"/>
  <c r="M23" i="131"/>
  <c r="M13" i="131" l="1"/>
  <c r="N33" i="119" l="1"/>
  <c r="L34" i="131" l="1"/>
  <c r="K34" i="131"/>
  <c r="L35" i="131"/>
  <c r="L23" i="131"/>
  <c r="K13" i="131" l="1"/>
  <c r="L13" i="131"/>
  <c r="K35" i="131" l="1"/>
  <c r="J34" i="131" l="1"/>
  <c r="K24" i="131"/>
  <c r="K23" i="131"/>
  <c r="K35" i="119" l="1"/>
  <c r="N28" i="119"/>
  <c r="Q11" i="134" l="1"/>
  <c r="J38" i="131" l="1"/>
  <c r="J35" i="131"/>
  <c r="J24" i="131"/>
  <c r="J23" i="131"/>
  <c r="G145" i="136" l="1"/>
  <c r="G132" i="136"/>
  <c r="G119" i="136"/>
  <c r="G106" i="136"/>
  <c r="G93" i="136"/>
  <c r="G80" i="136"/>
  <c r="G67" i="136"/>
  <c r="G54" i="136"/>
  <c r="G41" i="136"/>
  <c r="G28" i="136"/>
  <c r="G2" i="136"/>
  <c r="G15" i="136"/>
  <c r="H69" i="136" l="1"/>
  <c r="H70" i="136"/>
  <c r="H71" i="136"/>
  <c r="H56" i="136"/>
  <c r="H57" i="136"/>
  <c r="H58" i="136"/>
  <c r="H43" i="136"/>
  <c r="H44" i="136"/>
  <c r="H45" i="136"/>
  <c r="H30" i="136"/>
  <c r="H31" i="136"/>
  <c r="H32" i="136"/>
  <c r="H17" i="136"/>
  <c r="H18" i="136"/>
  <c r="H19" i="136"/>
  <c r="H147" i="136" l="1"/>
  <c r="H134" i="136"/>
  <c r="H121" i="136"/>
  <c r="H108" i="136"/>
  <c r="H95" i="136"/>
  <c r="H82" i="136"/>
  <c r="H4" i="136"/>
  <c r="H5" i="136"/>
  <c r="H6" i="136"/>
  <c r="G3" i="136" l="1"/>
  <c r="G147" i="136" l="1"/>
  <c r="G146" i="136"/>
  <c r="G134" i="136"/>
  <c r="G133" i="136"/>
  <c r="G121" i="136"/>
  <c r="G120" i="136"/>
  <c r="G108" i="136"/>
  <c r="G107" i="136"/>
  <c r="G95" i="136"/>
  <c r="G94" i="136"/>
  <c r="G82" i="136"/>
  <c r="G81" i="136"/>
  <c r="G69" i="136"/>
  <c r="G70" i="136"/>
  <c r="G71" i="136"/>
  <c r="G72" i="136"/>
  <c r="G73" i="136"/>
  <c r="G74" i="136"/>
  <c r="G75" i="136"/>
  <c r="G76" i="136"/>
  <c r="G77" i="136"/>
  <c r="G78" i="136"/>
  <c r="G79" i="136"/>
  <c r="G68" i="136"/>
  <c r="G56" i="136"/>
  <c r="G57" i="136"/>
  <c r="G58" i="136"/>
  <c r="G59" i="136"/>
  <c r="G60" i="136"/>
  <c r="G61" i="136"/>
  <c r="G62" i="136"/>
  <c r="G63" i="136"/>
  <c r="G64" i="136"/>
  <c r="G65" i="136"/>
  <c r="G66" i="136"/>
  <c r="G55" i="136"/>
  <c r="G43" i="136"/>
  <c r="G44" i="136"/>
  <c r="G45" i="136"/>
  <c r="G46" i="136"/>
  <c r="G47" i="136"/>
  <c r="G48" i="136"/>
  <c r="G49" i="136"/>
  <c r="G50" i="136"/>
  <c r="G51" i="136"/>
  <c r="G52" i="136"/>
  <c r="G53" i="136"/>
  <c r="G42" i="136"/>
  <c r="G30" i="136"/>
  <c r="G31" i="136"/>
  <c r="G32" i="136"/>
  <c r="G33" i="136"/>
  <c r="G34" i="136"/>
  <c r="G35" i="136"/>
  <c r="G36" i="136"/>
  <c r="G37" i="136"/>
  <c r="G38" i="136"/>
  <c r="G39" i="136"/>
  <c r="G40" i="136"/>
  <c r="G29" i="136"/>
  <c r="G17" i="136"/>
  <c r="G18" i="136"/>
  <c r="G19" i="136"/>
  <c r="G20" i="136"/>
  <c r="G21" i="136"/>
  <c r="G22" i="136"/>
  <c r="G23" i="136"/>
  <c r="G24" i="136"/>
  <c r="G25" i="136"/>
  <c r="G26" i="136"/>
  <c r="G27" i="136"/>
  <c r="G16" i="136"/>
  <c r="G4" i="136"/>
  <c r="G5" i="136"/>
  <c r="G6" i="136"/>
  <c r="G7" i="136"/>
  <c r="G8" i="136"/>
  <c r="G9" i="136"/>
  <c r="G10" i="136"/>
  <c r="G11" i="136"/>
  <c r="G12" i="136"/>
  <c r="G13" i="136"/>
  <c r="G14" i="136"/>
  <c r="I24" i="131" l="1"/>
  <c r="I23" i="131"/>
  <c r="I34" i="131"/>
  <c r="I35" i="131"/>
  <c r="I38" i="131"/>
  <c r="I37" i="131"/>
  <c r="I36" i="131"/>
  <c r="H23" i="131" l="1"/>
  <c r="N22" i="129" l="1"/>
  <c r="N21" i="129"/>
  <c r="H35" i="131" l="1"/>
  <c r="H34" i="131"/>
  <c r="H24" i="131"/>
  <c r="K32" i="131" l="1"/>
  <c r="G34" i="131" l="1"/>
  <c r="G35" i="131"/>
  <c r="G37" i="131"/>
  <c r="G38" i="131"/>
  <c r="G36" i="131"/>
  <c r="G24" i="131"/>
  <c r="G23" i="131"/>
  <c r="F38" i="131" l="1"/>
  <c r="F35" i="131"/>
  <c r="F34" i="131"/>
  <c r="F37" i="131"/>
  <c r="F36" i="131"/>
  <c r="F23" i="131"/>
  <c r="F24" i="131"/>
  <c r="O11" i="35"/>
  <c r="E35" i="131"/>
  <c r="E34" i="131"/>
  <c r="E38" i="131"/>
  <c r="E37" i="131"/>
  <c r="E36" i="131"/>
  <c r="E24" i="131"/>
  <c r="E23" i="131"/>
  <c r="E22" i="131"/>
  <c r="N8" i="35"/>
  <c r="D38" i="131"/>
  <c r="D34" i="131"/>
  <c r="D37" i="131"/>
  <c r="D36" i="131"/>
  <c r="D35" i="131"/>
  <c r="J17" i="33"/>
  <c r="D33" i="131" s="1"/>
  <c r="J16" i="33"/>
  <c r="D22" i="131" s="1"/>
  <c r="D23" i="131"/>
  <c r="D24" i="131"/>
  <c r="E24" i="33"/>
  <c r="C37" i="131"/>
  <c r="C36" i="131"/>
  <c r="C35" i="131"/>
  <c r="C34" i="131"/>
  <c r="B34" i="131"/>
  <c r="C24" i="131"/>
  <c r="C23" i="131"/>
  <c r="B24" i="131"/>
  <c r="B23" i="131"/>
  <c r="C38" i="131"/>
  <c r="B38" i="131"/>
  <c r="B37" i="131"/>
  <c r="B36" i="131"/>
  <c r="B35" i="131"/>
  <c r="N15" i="129"/>
  <c r="C40" i="134"/>
  <c r="C18" i="33"/>
  <c r="H9" i="136" s="1"/>
  <c r="C19" i="33"/>
  <c r="H10" i="136" s="1"/>
  <c r="C16" i="33"/>
  <c r="H7" i="136" s="1"/>
  <c r="H38" i="131"/>
  <c r="E33" i="33"/>
  <c r="C17" i="33"/>
  <c r="H8" i="136" s="1"/>
  <c r="B50" i="119"/>
  <c r="B35" i="119"/>
  <c r="L50" i="119"/>
  <c r="L35" i="119"/>
  <c r="M50" i="119"/>
  <c r="Q15" i="134"/>
  <c r="O46" i="134"/>
  <c r="O45" i="134"/>
  <c r="O43" i="134"/>
  <c r="O44" i="134"/>
  <c r="O39" i="134"/>
  <c r="O38" i="134"/>
  <c r="O37" i="134"/>
  <c r="O36" i="134"/>
  <c r="O35" i="134"/>
  <c r="O23" i="134"/>
  <c r="O22" i="134"/>
  <c r="O21" i="134"/>
  <c r="O20" i="134"/>
  <c r="O19" i="134"/>
  <c r="O18" i="134"/>
  <c r="O17" i="134"/>
  <c r="O16" i="134"/>
  <c r="O15" i="134"/>
  <c r="O14" i="134"/>
  <c r="O13" i="134"/>
  <c r="O12" i="134"/>
  <c r="O11" i="134"/>
  <c r="O27" i="134"/>
  <c r="O28" i="134"/>
  <c r="O29" i="134"/>
  <c r="O30" i="134"/>
  <c r="O31" i="134"/>
  <c r="Q46" i="117"/>
  <c r="Q48" i="117" s="1"/>
  <c r="Q29" i="117"/>
  <c r="Q30" i="117" s="1"/>
  <c r="Q14" i="117"/>
  <c r="Q16" i="117" s="1"/>
  <c r="B20" i="117"/>
  <c r="C20" i="117"/>
  <c r="D20" i="117"/>
  <c r="E20" i="117"/>
  <c r="F20" i="117"/>
  <c r="G20" i="117"/>
  <c r="H20" i="117"/>
  <c r="I20" i="117"/>
  <c r="J20" i="117"/>
  <c r="K20" i="117"/>
  <c r="L20" i="117"/>
  <c r="M20" i="117"/>
  <c r="N50" i="117"/>
  <c r="O47" i="117"/>
  <c r="P47" i="117" s="1"/>
  <c r="S47" i="117" s="1"/>
  <c r="O34" i="117"/>
  <c r="P34" i="117" s="1"/>
  <c r="S34" i="117" s="1"/>
  <c r="O33" i="117"/>
  <c r="P33" i="117" s="1"/>
  <c r="S33" i="117" s="1"/>
  <c r="O35" i="117"/>
  <c r="P35" i="117" s="1"/>
  <c r="O36" i="117"/>
  <c r="P36" i="117" s="1"/>
  <c r="S36" i="117" s="1"/>
  <c r="Q37" i="117"/>
  <c r="O19" i="117"/>
  <c r="P19" i="117" s="1"/>
  <c r="O11" i="117"/>
  <c r="P11" i="117" s="1"/>
  <c r="S11" i="117" s="1"/>
  <c r="F17" i="33"/>
  <c r="H21" i="136" s="1"/>
  <c r="G17" i="33"/>
  <c r="C33" i="131" s="1"/>
  <c r="I17" i="33"/>
  <c r="H34" i="136" s="1"/>
  <c r="J18" i="33"/>
  <c r="J19" i="33"/>
  <c r="J20" i="33"/>
  <c r="H36" i="131" s="1"/>
  <c r="J21" i="33"/>
  <c r="H37" i="131" s="1"/>
  <c r="L17" i="33"/>
  <c r="H47" i="136" s="1"/>
  <c r="M17" i="33"/>
  <c r="O17" i="33"/>
  <c r="H60" i="136" s="1"/>
  <c r="O18" i="33"/>
  <c r="H61" i="136" s="1"/>
  <c r="O19" i="33"/>
  <c r="H62" i="136" s="1"/>
  <c r="O20" i="33"/>
  <c r="H63" i="136" s="1"/>
  <c r="O21" i="33"/>
  <c r="H64" i="136" s="1"/>
  <c r="F18" i="33"/>
  <c r="H22" i="136" s="1"/>
  <c r="G18" i="33"/>
  <c r="I18" i="33"/>
  <c r="H35" i="136" s="1"/>
  <c r="L18" i="33"/>
  <c r="H48" i="136" s="1"/>
  <c r="L19" i="33"/>
  <c r="H49" i="136" s="1"/>
  <c r="L20" i="33"/>
  <c r="H50" i="136" s="1"/>
  <c r="L21" i="33"/>
  <c r="H51" i="136" s="1"/>
  <c r="M18" i="33"/>
  <c r="F19" i="33"/>
  <c r="H23" i="136" s="1"/>
  <c r="G19" i="33"/>
  <c r="I19" i="33"/>
  <c r="H36" i="136" s="1"/>
  <c r="I20" i="33"/>
  <c r="H37" i="136" s="1"/>
  <c r="I21" i="33"/>
  <c r="H38" i="136" s="1"/>
  <c r="M19" i="33"/>
  <c r="F20" i="33"/>
  <c r="H24" i="136" s="1"/>
  <c r="F21" i="33"/>
  <c r="H25" i="136" s="1"/>
  <c r="G20" i="33"/>
  <c r="M20" i="33"/>
  <c r="G21" i="33"/>
  <c r="M21" i="33"/>
  <c r="D16" i="33"/>
  <c r="B22" i="131" s="1"/>
  <c r="F16" i="33"/>
  <c r="H20" i="136" s="1"/>
  <c r="G16" i="33"/>
  <c r="C22" i="131" s="1"/>
  <c r="C25" i="131" s="1"/>
  <c r="I16" i="33"/>
  <c r="H33" i="136" s="1"/>
  <c r="L16" i="33"/>
  <c r="H46" i="136" s="1"/>
  <c r="M16" i="33"/>
  <c r="S40" i="33"/>
  <c r="M33" i="131" s="1"/>
  <c r="M39" i="131" s="1"/>
  <c r="S39" i="33"/>
  <c r="M22" i="131" s="1"/>
  <c r="M25" i="131" s="1"/>
  <c r="P39" i="33"/>
  <c r="L22" i="131" s="1"/>
  <c r="M17" i="129"/>
  <c r="M24" i="129"/>
  <c r="M28" i="129"/>
  <c r="M33" i="129"/>
  <c r="B33" i="129"/>
  <c r="C33" i="129"/>
  <c r="D33" i="129"/>
  <c r="E33" i="129"/>
  <c r="F33" i="129"/>
  <c r="G33" i="129"/>
  <c r="H33" i="129"/>
  <c r="I33" i="129"/>
  <c r="J33" i="129"/>
  <c r="K33" i="129"/>
  <c r="L33" i="129"/>
  <c r="O46" i="117"/>
  <c r="P46" i="117" s="1"/>
  <c r="O45" i="117"/>
  <c r="P45" i="117" s="1"/>
  <c r="S45" i="117" s="1"/>
  <c r="O44" i="117"/>
  <c r="P44" i="117" s="1"/>
  <c r="S44" i="117" s="1"/>
  <c r="O39" i="33"/>
  <c r="L35" i="33"/>
  <c r="H120" i="136" s="1"/>
  <c r="M39" i="33"/>
  <c r="K22" i="131" s="1"/>
  <c r="M40" i="33"/>
  <c r="K33" i="131" s="1"/>
  <c r="N14" i="129"/>
  <c r="K16" i="117"/>
  <c r="I35" i="33"/>
  <c r="H107" i="136" s="1"/>
  <c r="I46" i="33"/>
  <c r="I45" i="33"/>
  <c r="I41" i="33"/>
  <c r="J40" i="33"/>
  <c r="J33" i="131" s="1"/>
  <c r="J39" i="131" s="1"/>
  <c r="J39" i="33"/>
  <c r="J22" i="131" s="1"/>
  <c r="N9" i="119"/>
  <c r="N10" i="119"/>
  <c r="N11" i="119"/>
  <c r="N12" i="119"/>
  <c r="N13" i="119"/>
  <c r="N14" i="119"/>
  <c r="N15" i="119"/>
  <c r="N16" i="119"/>
  <c r="N17" i="119"/>
  <c r="N18" i="119"/>
  <c r="N19" i="119"/>
  <c r="N20" i="119"/>
  <c r="N21" i="119"/>
  <c r="N22" i="119"/>
  <c r="N23" i="119"/>
  <c r="N24" i="119"/>
  <c r="N25" i="119"/>
  <c r="N26" i="119"/>
  <c r="N27" i="119"/>
  <c r="N29" i="119"/>
  <c r="N30" i="119"/>
  <c r="N31" i="119"/>
  <c r="N32" i="119"/>
  <c r="N34" i="119"/>
  <c r="B17" i="129"/>
  <c r="B24" i="129"/>
  <c r="B28" i="129"/>
  <c r="C24" i="129"/>
  <c r="D24" i="129"/>
  <c r="E24" i="129"/>
  <c r="F24" i="129"/>
  <c r="G24" i="129"/>
  <c r="H24" i="129"/>
  <c r="I24" i="129"/>
  <c r="J24" i="129"/>
  <c r="K24" i="129"/>
  <c r="L24" i="129"/>
  <c r="D17" i="129"/>
  <c r="D28" i="129"/>
  <c r="F17" i="129"/>
  <c r="F28" i="129"/>
  <c r="L17" i="129"/>
  <c r="L28" i="129"/>
  <c r="N20" i="129"/>
  <c r="B13" i="29"/>
  <c r="R48" i="117"/>
  <c r="R16" i="117"/>
  <c r="N13" i="129"/>
  <c r="O22" i="33"/>
  <c r="H65" i="136" s="1"/>
  <c r="L22" i="33"/>
  <c r="H52" i="136" s="1"/>
  <c r="G13" i="131"/>
  <c r="F13" i="131"/>
  <c r="E13" i="131"/>
  <c r="G48" i="117"/>
  <c r="G41" i="117"/>
  <c r="G37" i="117"/>
  <c r="G30" i="117"/>
  <c r="G24" i="117"/>
  <c r="G16" i="117"/>
  <c r="D13" i="131"/>
  <c r="D47" i="134"/>
  <c r="C13" i="131"/>
  <c r="C35" i="119"/>
  <c r="M16" i="117"/>
  <c r="L16" i="117"/>
  <c r="J16" i="117"/>
  <c r="I16" i="117"/>
  <c r="H16" i="117"/>
  <c r="F16" i="117"/>
  <c r="E16" i="117"/>
  <c r="D16" i="117"/>
  <c r="C16" i="117"/>
  <c r="N23" i="135"/>
  <c r="M24" i="135"/>
  <c r="L24" i="135"/>
  <c r="L27" i="135"/>
  <c r="L21" i="135"/>
  <c r="L18" i="135"/>
  <c r="L30" i="135"/>
  <c r="L15" i="135"/>
  <c r="L12" i="135"/>
  <c r="K24" i="135"/>
  <c r="J24" i="135"/>
  <c r="I24" i="135"/>
  <c r="H24" i="135"/>
  <c r="G24" i="135"/>
  <c r="F24" i="135"/>
  <c r="E24" i="135"/>
  <c r="B24" i="135"/>
  <c r="C24" i="135"/>
  <c r="D24" i="135"/>
  <c r="M12" i="135"/>
  <c r="K12" i="135"/>
  <c r="J12" i="135"/>
  <c r="I12" i="135"/>
  <c r="H12" i="135"/>
  <c r="G12" i="135"/>
  <c r="F12" i="135"/>
  <c r="E12" i="135"/>
  <c r="D12" i="135"/>
  <c r="B12" i="135"/>
  <c r="C12" i="135"/>
  <c r="B27" i="135"/>
  <c r="B21" i="135"/>
  <c r="B18" i="135"/>
  <c r="B30" i="135"/>
  <c r="B15" i="135"/>
  <c r="N11" i="135"/>
  <c r="Q41" i="117"/>
  <c r="Q24" i="117"/>
  <c r="Q20" i="117"/>
  <c r="R20" i="117"/>
  <c r="A42" i="119"/>
  <c r="D41" i="33"/>
  <c r="D42" i="33"/>
  <c r="C41" i="33"/>
  <c r="C42" i="33"/>
  <c r="N47" i="119"/>
  <c r="N46" i="119"/>
  <c r="N45" i="119"/>
  <c r="N44" i="119"/>
  <c r="N43" i="119"/>
  <c r="P47" i="134"/>
  <c r="M47" i="134"/>
  <c r="L47" i="134"/>
  <c r="K47" i="134"/>
  <c r="J47" i="134"/>
  <c r="I47" i="134"/>
  <c r="H47" i="134"/>
  <c r="G47" i="134"/>
  <c r="F47" i="134"/>
  <c r="E47" i="134"/>
  <c r="C47" i="134"/>
  <c r="B47" i="134"/>
  <c r="M40" i="134"/>
  <c r="L40" i="134"/>
  <c r="K40" i="134"/>
  <c r="J40" i="134"/>
  <c r="I40" i="134"/>
  <c r="H40" i="134"/>
  <c r="G40" i="134"/>
  <c r="F40" i="134"/>
  <c r="E40" i="134"/>
  <c r="D40" i="134"/>
  <c r="B40" i="134"/>
  <c r="M32" i="134"/>
  <c r="L32" i="134"/>
  <c r="K32" i="134"/>
  <c r="J32" i="134"/>
  <c r="I32" i="134"/>
  <c r="H32" i="134"/>
  <c r="G32" i="134"/>
  <c r="F32" i="134"/>
  <c r="E32" i="134"/>
  <c r="D32" i="134"/>
  <c r="C32" i="134"/>
  <c r="B32" i="134"/>
  <c r="N29" i="135"/>
  <c r="M30" i="135"/>
  <c r="K30" i="135"/>
  <c r="J30" i="135"/>
  <c r="I30" i="135"/>
  <c r="H30" i="135"/>
  <c r="G30" i="135"/>
  <c r="F30" i="135"/>
  <c r="E30" i="135"/>
  <c r="D30" i="135"/>
  <c r="C30" i="135"/>
  <c r="M21" i="135"/>
  <c r="K21" i="135"/>
  <c r="J21" i="135"/>
  <c r="I21" i="135"/>
  <c r="H21" i="135"/>
  <c r="G21" i="135"/>
  <c r="G27" i="135"/>
  <c r="G18" i="135"/>
  <c r="G15" i="135"/>
  <c r="F21" i="135"/>
  <c r="E21" i="135"/>
  <c r="D21" i="135"/>
  <c r="C21" i="135"/>
  <c r="N20" i="135"/>
  <c r="N21" i="135" s="1"/>
  <c r="N26" i="135"/>
  <c r="N27" i="135" s="1"/>
  <c r="M18" i="135"/>
  <c r="K18" i="135"/>
  <c r="J18" i="135"/>
  <c r="I18" i="135"/>
  <c r="H18" i="135"/>
  <c r="F18" i="135"/>
  <c r="E18" i="135"/>
  <c r="D18" i="135"/>
  <c r="C18" i="135"/>
  <c r="N17" i="135"/>
  <c r="N18" i="135" s="1"/>
  <c r="C15" i="135"/>
  <c r="C27" i="135"/>
  <c r="D15" i="135"/>
  <c r="D27" i="135"/>
  <c r="E15" i="135"/>
  <c r="F15" i="135"/>
  <c r="H15" i="135"/>
  <c r="I15" i="135"/>
  <c r="J15" i="135"/>
  <c r="K15" i="135"/>
  <c r="M15" i="135"/>
  <c r="M27" i="135"/>
  <c r="M48" i="117"/>
  <c r="L48" i="117"/>
  <c r="K48" i="117"/>
  <c r="B48" i="117"/>
  <c r="B41" i="117"/>
  <c r="B37" i="117"/>
  <c r="B30" i="117"/>
  <c r="B24" i="117"/>
  <c r="B16" i="117"/>
  <c r="C48" i="117"/>
  <c r="D48" i="117"/>
  <c r="E48" i="117"/>
  <c r="F48" i="117"/>
  <c r="F41" i="117"/>
  <c r="F37" i="117"/>
  <c r="F30" i="117"/>
  <c r="F24" i="117"/>
  <c r="H48" i="117"/>
  <c r="I48" i="117"/>
  <c r="J48" i="117"/>
  <c r="J41" i="117"/>
  <c r="J37" i="117"/>
  <c r="J30" i="117"/>
  <c r="J24" i="117"/>
  <c r="O15" i="117"/>
  <c r="P15" i="117" s="1"/>
  <c r="S15" i="117" s="1"/>
  <c r="O14" i="117"/>
  <c r="P14" i="117" s="1"/>
  <c r="O13" i="117"/>
  <c r="P13" i="117" s="1"/>
  <c r="S13" i="117" s="1"/>
  <c r="O12" i="117"/>
  <c r="P12" i="117" s="1"/>
  <c r="N11" i="35"/>
  <c r="N12" i="35"/>
  <c r="N10" i="35"/>
  <c r="O10" i="35"/>
  <c r="O12" i="35"/>
  <c r="N13" i="35"/>
  <c r="O13" i="35"/>
  <c r="N14" i="35"/>
  <c r="O14" i="35"/>
  <c r="N15" i="35"/>
  <c r="O15" i="35"/>
  <c r="N16" i="35"/>
  <c r="O16" i="35"/>
  <c r="N17" i="35"/>
  <c r="O17" i="35"/>
  <c r="N18" i="35"/>
  <c r="O18" i="35"/>
  <c r="O9" i="35"/>
  <c r="N9" i="35"/>
  <c r="R40" i="33"/>
  <c r="P40" i="33"/>
  <c r="L33" i="131" s="1"/>
  <c r="O40" i="33"/>
  <c r="L40" i="33"/>
  <c r="L39" i="33"/>
  <c r="L41" i="33"/>
  <c r="L42" i="33"/>
  <c r="L43" i="33"/>
  <c r="L44" i="33"/>
  <c r="L45" i="33"/>
  <c r="L46" i="33"/>
  <c r="I40" i="33"/>
  <c r="G40" i="33"/>
  <c r="I33" i="131" s="1"/>
  <c r="F40" i="33"/>
  <c r="D40" i="33"/>
  <c r="H33" i="131" s="1"/>
  <c r="C40" i="33"/>
  <c r="S17" i="33"/>
  <c r="G33" i="131" s="1"/>
  <c r="G39" i="131" s="1"/>
  <c r="R17" i="33"/>
  <c r="H73" i="136" s="1"/>
  <c r="R12" i="33"/>
  <c r="H68" i="136" s="1"/>
  <c r="R16" i="33"/>
  <c r="H72" i="136" s="1"/>
  <c r="R18" i="33"/>
  <c r="H74" i="136" s="1"/>
  <c r="R19" i="33"/>
  <c r="H75" i="136" s="1"/>
  <c r="R20" i="33"/>
  <c r="H76" i="136" s="1"/>
  <c r="R21" i="33"/>
  <c r="H77" i="136" s="1"/>
  <c r="R22" i="33"/>
  <c r="H78" i="136" s="1"/>
  <c r="R23" i="33"/>
  <c r="H79" i="136" s="1"/>
  <c r="P17" i="33"/>
  <c r="F33" i="131" s="1"/>
  <c r="D17" i="33"/>
  <c r="B33" i="131" s="1"/>
  <c r="A38" i="33"/>
  <c r="D32" i="131"/>
  <c r="F32" i="131" s="1"/>
  <c r="H32" i="131" s="1"/>
  <c r="J32" i="131" s="1"/>
  <c r="C32" i="131"/>
  <c r="E32" i="131" s="1"/>
  <c r="G32" i="131" s="1"/>
  <c r="M32" i="131"/>
  <c r="S42" i="33"/>
  <c r="R42" i="33"/>
  <c r="P42" i="33"/>
  <c r="O42" i="33"/>
  <c r="M42" i="33"/>
  <c r="J42" i="33"/>
  <c r="I42" i="33"/>
  <c r="G42" i="33"/>
  <c r="F42" i="33"/>
  <c r="D19" i="33"/>
  <c r="S19" i="33"/>
  <c r="P19" i="33"/>
  <c r="C20" i="33"/>
  <c r="H11" i="136" s="1"/>
  <c r="D20" i="33"/>
  <c r="P20" i="33"/>
  <c r="S20" i="33"/>
  <c r="J45" i="33"/>
  <c r="D21" i="131"/>
  <c r="F21" i="131" s="1"/>
  <c r="H21" i="131" s="1"/>
  <c r="J21" i="131" s="1"/>
  <c r="L21" i="131" s="1"/>
  <c r="C21" i="131"/>
  <c r="E21" i="131" s="1"/>
  <c r="G21" i="131" s="1"/>
  <c r="I21" i="131" s="1"/>
  <c r="K21" i="131" s="1"/>
  <c r="M21" i="131" s="1"/>
  <c r="A37" i="33"/>
  <c r="C4" i="134"/>
  <c r="L24" i="117"/>
  <c r="E28" i="129"/>
  <c r="E17" i="129"/>
  <c r="I32" i="33"/>
  <c r="N16" i="129"/>
  <c r="I41" i="117"/>
  <c r="I37" i="117"/>
  <c r="I30" i="117"/>
  <c r="I24" i="117"/>
  <c r="H41" i="117"/>
  <c r="H37" i="117"/>
  <c r="H30" i="117"/>
  <c r="H24" i="117"/>
  <c r="E41" i="117"/>
  <c r="D41" i="117"/>
  <c r="D37" i="117"/>
  <c r="D30" i="117"/>
  <c r="D24" i="117"/>
  <c r="C41" i="117"/>
  <c r="C37" i="117"/>
  <c r="C30" i="117"/>
  <c r="C24" i="117"/>
  <c r="E37" i="117"/>
  <c r="E30" i="117"/>
  <c r="E24" i="117"/>
  <c r="G4" i="117"/>
  <c r="O23" i="117"/>
  <c r="P23" i="117" s="1"/>
  <c r="K24" i="117"/>
  <c r="M24" i="117"/>
  <c r="R24" i="117"/>
  <c r="O27" i="117"/>
  <c r="P27" i="117" s="1"/>
  <c r="S27" i="117" s="1"/>
  <c r="O28" i="117"/>
  <c r="P28" i="117" s="1"/>
  <c r="S28" i="117" s="1"/>
  <c r="P29" i="117"/>
  <c r="K30" i="117"/>
  <c r="L30" i="117"/>
  <c r="M30" i="117"/>
  <c r="R30" i="117"/>
  <c r="K37" i="117"/>
  <c r="L37" i="117"/>
  <c r="M37" i="117"/>
  <c r="M41" i="117"/>
  <c r="R37" i="117"/>
  <c r="O40" i="117"/>
  <c r="P40" i="117" s="1"/>
  <c r="K41" i="117"/>
  <c r="L41" i="117"/>
  <c r="R41" i="117"/>
  <c r="D9" i="33"/>
  <c r="D10" i="33" s="1"/>
  <c r="D12" i="33"/>
  <c r="D18" i="33"/>
  <c r="D21" i="33"/>
  <c r="D22" i="33"/>
  <c r="D23" i="33"/>
  <c r="F43" i="33"/>
  <c r="C35" i="33"/>
  <c r="H81" i="136" s="1"/>
  <c r="H13" i="131"/>
  <c r="N35" i="129"/>
  <c r="N31" i="129"/>
  <c r="K28" i="129"/>
  <c r="K17" i="129"/>
  <c r="J28" i="129"/>
  <c r="I28" i="129"/>
  <c r="H28" i="129"/>
  <c r="G28" i="129"/>
  <c r="C28" i="129"/>
  <c r="N27" i="129"/>
  <c r="N23" i="129"/>
  <c r="J17" i="129"/>
  <c r="I17" i="129"/>
  <c r="H17" i="129"/>
  <c r="G17" i="129"/>
  <c r="C17" i="129"/>
  <c r="N12" i="129"/>
  <c r="E5" i="129"/>
  <c r="N32" i="120"/>
  <c r="M30" i="120"/>
  <c r="L30" i="120"/>
  <c r="K30" i="120"/>
  <c r="J30" i="120"/>
  <c r="I30" i="120"/>
  <c r="H30" i="120"/>
  <c r="G30" i="120"/>
  <c r="F30" i="120"/>
  <c r="E30" i="120"/>
  <c r="D30" i="120"/>
  <c r="D15" i="120"/>
  <c r="D19" i="120"/>
  <c r="D23" i="120"/>
  <c r="B15" i="120"/>
  <c r="B19" i="120"/>
  <c r="B23" i="120"/>
  <c r="B30" i="120"/>
  <c r="C15" i="120"/>
  <c r="C19" i="120"/>
  <c r="C23" i="120"/>
  <c r="C30" i="120"/>
  <c r="E15" i="120"/>
  <c r="E19" i="120"/>
  <c r="E23" i="120"/>
  <c r="F15" i="120"/>
  <c r="F19" i="120"/>
  <c r="F23" i="120"/>
  <c r="G15" i="120"/>
  <c r="G19" i="120"/>
  <c r="G23" i="120"/>
  <c r="H15" i="120"/>
  <c r="H19" i="120"/>
  <c r="H23" i="120"/>
  <c r="I15" i="120"/>
  <c r="I19" i="120"/>
  <c r="I23" i="120"/>
  <c r="J15" i="120"/>
  <c r="J19" i="120"/>
  <c r="J23" i="120"/>
  <c r="K15" i="120"/>
  <c r="K19" i="120"/>
  <c r="K23" i="120"/>
  <c r="L15" i="120"/>
  <c r="L19" i="120"/>
  <c r="L23" i="120"/>
  <c r="M15" i="120"/>
  <c r="M19" i="120"/>
  <c r="M23" i="120"/>
  <c r="N29" i="120"/>
  <c r="N28" i="120"/>
  <c r="N27" i="120"/>
  <c r="N26" i="120"/>
  <c r="N22" i="120"/>
  <c r="N18" i="120"/>
  <c r="N14" i="120"/>
  <c r="N13" i="120"/>
  <c r="N12" i="120"/>
  <c r="N11" i="120"/>
  <c r="E4" i="120"/>
  <c r="K50" i="119"/>
  <c r="J50" i="119"/>
  <c r="I50" i="119"/>
  <c r="H50" i="119"/>
  <c r="H35" i="119"/>
  <c r="G50" i="119"/>
  <c r="G35" i="119"/>
  <c r="F50" i="119"/>
  <c r="F35" i="119"/>
  <c r="E50" i="119"/>
  <c r="D50" i="119"/>
  <c r="D35" i="119"/>
  <c r="C50" i="119"/>
  <c r="N49" i="119"/>
  <c r="N48" i="119"/>
  <c r="N42" i="119"/>
  <c r="N41" i="119"/>
  <c r="N40" i="119"/>
  <c r="N38" i="119"/>
  <c r="N39" i="119"/>
  <c r="M35" i="119"/>
  <c r="J35" i="119"/>
  <c r="I35" i="119"/>
  <c r="I51" i="119" s="1"/>
  <c r="I53" i="119" s="1"/>
  <c r="E35" i="119"/>
  <c r="E3" i="119"/>
  <c r="C3" i="29"/>
  <c r="K27" i="135"/>
  <c r="J27" i="135"/>
  <c r="I27" i="135"/>
  <c r="H27" i="135"/>
  <c r="F27" i="135"/>
  <c r="E27" i="135"/>
  <c r="N14" i="135"/>
  <c r="G4" i="135"/>
  <c r="J13" i="131"/>
  <c r="I13" i="131"/>
  <c r="B13" i="131"/>
  <c r="G4" i="131"/>
  <c r="U47" i="36"/>
  <c r="U49" i="36" s="1"/>
  <c r="Q47" i="36"/>
  <c r="Q49" i="36" s="1"/>
  <c r="M47" i="36"/>
  <c r="M49" i="36" s="1"/>
  <c r="I47" i="36"/>
  <c r="I49" i="36" s="1"/>
  <c r="F47" i="36"/>
  <c r="F49" i="36" s="1"/>
  <c r="B47" i="36"/>
  <c r="B49" i="36" s="1"/>
  <c r="V42" i="36"/>
  <c r="R42" i="36"/>
  <c r="N42" i="36"/>
  <c r="Y40" i="36"/>
  <c r="U40" i="36"/>
  <c r="Q40" i="36"/>
  <c r="L40" i="36"/>
  <c r="K40" i="36"/>
  <c r="K33" i="36"/>
  <c r="L33" i="36"/>
  <c r="H40" i="36"/>
  <c r="G40" i="36"/>
  <c r="E40" i="36"/>
  <c r="D40" i="36"/>
  <c r="C40" i="36"/>
  <c r="Y39" i="36"/>
  <c r="U39" i="36"/>
  <c r="Q39" i="36"/>
  <c r="M39" i="36"/>
  <c r="I39" i="36"/>
  <c r="Y38" i="36"/>
  <c r="U38" i="36"/>
  <c r="Q38" i="36"/>
  <c r="M38" i="36"/>
  <c r="I38" i="36"/>
  <c r="Y37" i="36"/>
  <c r="U37" i="36"/>
  <c r="Q37" i="36"/>
  <c r="M37" i="36"/>
  <c r="I37" i="36"/>
  <c r="Y36" i="36"/>
  <c r="U36" i="36"/>
  <c r="Q36" i="36"/>
  <c r="M36" i="36"/>
  <c r="I36" i="36"/>
  <c r="Y35" i="36"/>
  <c r="U35" i="36"/>
  <c r="Q35" i="36"/>
  <c r="M35" i="36"/>
  <c r="I35" i="36"/>
  <c r="X33" i="36"/>
  <c r="X42" i="36" s="1"/>
  <c r="W33" i="36"/>
  <c r="T33" i="36"/>
  <c r="T42" i="36" s="1"/>
  <c r="S33" i="36"/>
  <c r="P33" i="36"/>
  <c r="O33" i="36"/>
  <c r="O42" i="36" s="1"/>
  <c r="H33" i="36"/>
  <c r="G33" i="36"/>
  <c r="D33" i="36"/>
  <c r="D42" i="36" s="1"/>
  <c r="C33" i="36"/>
  <c r="Y32" i="36"/>
  <c r="U32" i="36"/>
  <c r="Q32" i="36"/>
  <c r="M32" i="36"/>
  <c r="I32" i="36"/>
  <c r="E32" i="36"/>
  <c r="E28" i="36"/>
  <c r="Q31" i="36"/>
  <c r="M31" i="36"/>
  <c r="I31" i="36"/>
  <c r="Q30" i="36"/>
  <c r="M30" i="36"/>
  <c r="I30" i="36"/>
  <c r="Q29" i="36"/>
  <c r="M29" i="36"/>
  <c r="I29" i="36"/>
  <c r="I28" i="36"/>
  <c r="Y28" i="36"/>
  <c r="U28" i="36"/>
  <c r="Q28" i="36"/>
  <c r="M28" i="36"/>
  <c r="V20" i="36"/>
  <c r="V22" i="36" s="1"/>
  <c r="R20" i="36"/>
  <c r="R22" i="36" s="1"/>
  <c r="N20" i="36"/>
  <c r="N22" i="36" s="1"/>
  <c r="J20" i="36"/>
  <c r="J22" i="36" s="1"/>
  <c r="F20" i="36"/>
  <c r="F22" i="36" s="1"/>
  <c r="B20" i="36"/>
  <c r="B22" i="36" s="1"/>
  <c r="U14" i="36"/>
  <c r="Q14" i="36"/>
  <c r="M14" i="36"/>
  <c r="X13" i="36"/>
  <c r="W13" i="36"/>
  <c r="U13" i="36"/>
  <c r="T13" i="36"/>
  <c r="S13" i="36"/>
  <c r="Q13" i="36"/>
  <c r="P13" i="36"/>
  <c r="O13" i="36"/>
  <c r="M13" i="36"/>
  <c r="L13" i="36"/>
  <c r="K13" i="36"/>
  <c r="I13" i="36"/>
  <c r="H13" i="36"/>
  <c r="G13" i="36"/>
  <c r="G7" i="36"/>
  <c r="E13" i="36"/>
  <c r="D13" i="36"/>
  <c r="Y11" i="36"/>
  <c r="Y9" i="36"/>
  <c r="Y10" i="36"/>
  <c r="Y5" i="36"/>
  <c r="Y6" i="36"/>
  <c r="X7" i="36"/>
  <c r="W7" i="36"/>
  <c r="T7" i="36"/>
  <c r="S7" i="36"/>
  <c r="P7" i="36"/>
  <c r="P15" i="36" s="1"/>
  <c r="O7" i="36"/>
  <c r="L7" i="36"/>
  <c r="K7" i="36"/>
  <c r="H7" i="36"/>
  <c r="D7" i="36"/>
  <c r="C7" i="36"/>
  <c r="C15" i="36" s="1"/>
  <c r="U6" i="36"/>
  <c r="U5" i="36"/>
  <c r="Q6" i="36"/>
  <c r="Q5" i="36"/>
  <c r="M6" i="36"/>
  <c r="M5" i="36"/>
  <c r="I6" i="36"/>
  <c r="E6" i="36"/>
  <c r="E5" i="36"/>
  <c r="I5" i="36"/>
  <c r="H3" i="35"/>
  <c r="H3" i="34"/>
  <c r="Q47" i="33"/>
  <c r="Q33" i="33"/>
  <c r="N47" i="33"/>
  <c r="K47" i="33"/>
  <c r="K33" i="33"/>
  <c r="H47" i="33"/>
  <c r="E47" i="33"/>
  <c r="B47" i="33"/>
  <c r="B33" i="33"/>
  <c r="S46" i="33"/>
  <c r="R46" i="33"/>
  <c r="P46" i="33"/>
  <c r="O46" i="33"/>
  <c r="M46" i="33"/>
  <c r="J46" i="33"/>
  <c r="G46" i="33"/>
  <c r="F46" i="33"/>
  <c r="D46" i="33"/>
  <c r="C46" i="33"/>
  <c r="S45" i="33"/>
  <c r="R45" i="33"/>
  <c r="P45" i="33"/>
  <c r="O45" i="33"/>
  <c r="M45" i="33"/>
  <c r="G45" i="33"/>
  <c r="F45" i="33"/>
  <c r="D45" i="33"/>
  <c r="C45" i="33"/>
  <c r="S35" i="33"/>
  <c r="S41" i="33"/>
  <c r="S43" i="33"/>
  <c r="S44" i="33"/>
  <c r="S32" i="33"/>
  <c r="S33" i="33" s="1"/>
  <c r="R35" i="33"/>
  <c r="H146" i="136" s="1"/>
  <c r="R39" i="33"/>
  <c r="R41" i="33"/>
  <c r="R43" i="33"/>
  <c r="R44" i="33"/>
  <c r="R32" i="33"/>
  <c r="P44" i="33"/>
  <c r="O44" i="33"/>
  <c r="M44" i="33"/>
  <c r="J44" i="33"/>
  <c r="I44" i="33"/>
  <c r="G44" i="33"/>
  <c r="F44" i="33"/>
  <c r="D44" i="33"/>
  <c r="C44" i="33"/>
  <c r="P43" i="33"/>
  <c r="O43" i="33"/>
  <c r="M43" i="33"/>
  <c r="J43" i="33"/>
  <c r="I43" i="33"/>
  <c r="G43" i="33"/>
  <c r="D43" i="33"/>
  <c r="C43" i="33"/>
  <c r="P41" i="33"/>
  <c r="O41" i="33"/>
  <c r="M41" i="33"/>
  <c r="J41" i="33"/>
  <c r="G41" i="33"/>
  <c r="F41" i="33"/>
  <c r="I39" i="33"/>
  <c r="G39" i="33"/>
  <c r="I22" i="131" s="1"/>
  <c r="I25" i="131" s="1"/>
  <c r="F39" i="33"/>
  <c r="D39" i="33"/>
  <c r="H22" i="131" s="1"/>
  <c r="H25" i="131" s="1"/>
  <c r="C39" i="33"/>
  <c r="H85" i="136" s="1"/>
  <c r="P35" i="33"/>
  <c r="O35" i="33"/>
  <c r="H133" i="136" s="1"/>
  <c r="M35" i="33"/>
  <c r="J35" i="33"/>
  <c r="G35" i="33"/>
  <c r="F35" i="33"/>
  <c r="H94" i="136" s="1"/>
  <c r="D35" i="33"/>
  <c r="N33" i="33"/>
  <c r="N48" i="33" s="1"/>
  <c r="H33" i="33"/>
  <c r="P32" i="33"/>
  <c r="P33" i="33" s="1"/>
  <c r="O32" i="33"/>
  <c r="M32" i="33"/>
  <c r="M33" i="33" s="1"/>
  <c r="L32" i="33"/>
  <c r="J32" i="33"/>
  <c r="J33" i="33" s="1"/>
  <c r="G32" i="33"/>
  <c r="G33" i="33" s="1"/>
  <c r="F32" i="33"/>
  <c r="D32" i="33"/>
  <c r="D33" i="33" s="1"/>
  <c r="C32" i="33"/>
  <c r="C28" i="33"/>
  <c r="Q24" i="33"/>
  <c r="Q10" i="33"/>
  <c r="N24" i="33"/>
  <c r="K24" i="33"/>
  <c r="H24" i="33"/>
  <c r="S23" i="33"/>
  <c r="P23" i="33"/>
  <c r="O23" i="33"/>
  <c r="H66" i="136" s="1"/>
  <c r="M23" i="33"/>
  <c r="L23" i="33"/>
  <c r="H53" i="136" s="1"/>
  <c r="J23" i="33"/>
  <c r="I23" i="33"/>
  <c r="H40" i="136" s="1"/>
  <c r="G23" i="33"/>
  <c r="F23" i="33"/>
  <c r="H27" i="136" s="1"/>
  <c r="C23" i="33"/>
  <c r="H14" i="136" s="1"/>
  <c r="S22" i="33"/>
  <c r="P22" i="33"/>
  <c r="M22" i="33"/>
  <c r="J22" i="33"/>
  <c r="I22" i="33"/>
  <c r="H39" i="136" s="1"/>
  <c r="G22" i="33"/>
  <c r="F22" i="33"/>
  <c r="H26" i="136" s="1"/>
  <c r="B24" i="33"/>
  <c r="B10" i="33"/>
  <c r="S21" i="33"/>
  <c r="P21" i="33"/>
  <c r="C21" i="33"/>
  <c r="H12" i="136" s="1"/>
  <c r="S18" i="33"/>
  <c r="P18" i="33"/>
  <c r="S16" i="33"/>
  <c r="G22" i="131" s="1"/>
  <c r="G25" i="131" s="1"/>
  <c r="P16" i="33"/>
  <c r="O16" i="33"/>
  <c r="H59" i="136" s="1"/>
  <c r="S12" i="33"/>
  <c r="P12" i="33"/>
  <c r="O12" i="33"/>
  <c r="H55" i="136" s="1"/>
  <c r="M12" i="33"/>
  <c r="L12" i="33"/>
  <c r="H42" i="136" s="1"/>
  <c r="J12" i="33"/>
  <c r="I12" i="33"/>
  <c r="H29" i="136" s="1"/>
  <c r="G12" i="33"/>
  <c r="F12" i="33"/>
  <c r="H16" i="136" s="1"/>
  <c r="C12" i="33"/>
  <c r="H3" i="136" s="1"/>
  <c r="N10" i="33"/>
  <c r="N25" i="33" s="1"/>
  <c r="K10" i="33"/>
  <c r="H10" i="33"/>
  <c r="E10" i="33"/>
  <c r="S9" i="33"/>
  <c r="S10" i="33" s="1"/>
  <c r="R9" i="33"/>
  <c r="P9" i="33"/>
  <c r="P10" i="33" s="1"/>
  <c r="O9" i="33"/>
  <c r="M9" i="33"/>
  <c r="M10" i="33" s="1"/>
  <c r="L9" i="33"/>
  <c r="J9" i="33"/>
  <c r="J10" i="33" s="1"/>
  <c r="I9" i="33"/>
  <c r="G9" i="33"/>
  <c r="G10" i="33" s="1"/>
  <c r="F9" i="33"/>
  <c r="C9" i="33"/>
  <c r="C22" i="33"/>
  <c r="H13" i="136" s="1"/>
  <c r="F4" i="33"/>
  <c r="D4" i="33"/>
  <c r="D28" i="33" s="1"/>
  <c r="O20" i="117"/>
  <c r="P42" i="36"/>
  <c r="E33" i="131"/>
  <c r="I39" i="131"/>
  <c r="K39" i="131"/>
  <c r="L25" i="131"/>
  <c r="L39" i="131"/>
  <c r="H98" i="136" l="1"/>
  <c r="H89" i="136"/>
  <c r="H100" i="136"/>
  <c r="H139" i="136"/>
  <c r="H141" i="136"/>
  <c r="H103" i="136"/>
  <c r="H155" i="136"/>
  <c r="H104" i="136"/>
  <c r="S29" i="117"/>
  <c r="H90" i="136"/>
  <c r="H116" i="136"/>
  <c r="H152" i="136"/>
  <c r="H91" i="136"/>
  <c r="H153" i="136"/>
  <c r="H99" i="136"/>
  <c r="H130" i="136"/>
  <c r="H126" i="136"/>
  <c r="H113" i="136"/>
  <c r="H111" i="136"/>
  <c r="J25" i="131"/>
  <c r="H150" i="136"/>
  <c r="H143" i="136"/>
  <c r="H92" i="136"/>
  <c r="H157" i="136"/>
  <c r="H101" i="136"/>
  <c r="H129" i="136"/>
  <c r="H124" i="136"/>
  <c r="H151" i="136"/>
  <c r="H88" i="136"/>
  <c r="H117" i="136"/>
  <c r="H135" i="136"/>
  <c r="H123" i="136"/>
  <c r="H83" i="136"/>
  <c r="H148" i="136"/>
  <c r="H136" i="136"/>
  <c r="H96" i="136"/>
  <c r="H122" i="136"/>
  <c r="H149" i="136"/>
  <c r="H109" i="136"/>
  <c r="H97" i="136"/>
  <c r="H110" i="136"/>
  <c r="H84" i="136"/>
  <c r="H140" i="136"/>
  <c r="H86" i="136"/>
  <c r="H112" i="136"/>
  <c r="H128" i="136"/>
  <c r="H125" i="136"/>
  <c r="H87" i="136"/>
  <c r="H118" i="136"/>
  <c r="H137" i="136"/>
  <c r="H115" i="136"/>
  <c r="H142" i="136"/>
  <c r="H154" i="136"/>
  <c r="H156" i="136"/>
  <c r="H105" i="136"/>
  <c r="H144" i="136"/>
  <c r="S15" i="36"/>
  <c r="H102" i="136"/>
  <c r="H114" i="136"/>
  <c r="H131" i="136"/>
  <c r="H127" i="136"/>
  <c r="H138" i="136"/>
  <c r="H48" i="33"/>
  <c r="O33" i="33"/>
  <c r="H132" i="136"/>
  <c r="C10" i="33"/>
  <c r="H2" i="136"/>
  <c r="R10" i="33"/>
  <c r="H67" i="136"/>
  <c r="C33" i="33"/>
  <c r="H80" i="136"/>
  <c r="F10" i="33"/>
  <c r="H15" i="136"/>
  <c r="L10" i="33"/>
  <c r="H41" i="136"/>
  <c r="I10" i="33"/>
  <c r="H28" i="136"/>
  <c r="O10" i="33"/>
  <c r="H54" i="136"/>
  <c r="L33" i="33"/>
  <c r="H119" i="136"/>
  <c r="I33" i="33"/>
  <c r="H106" i="136"/>
  <c r="F33" i="33"/>
  <c r="H93" i="136"/>
  <c r="R33" i="33"/>
  <c r="H145" i="136"/>
  <c r="D36" i="129"/>
  <c r="D37" i="129" s="1"/>
  <c r="F22" i="131"/>
  <c r="C42" i="36"/>
  <c r="L42" i="36"/>
  <c r="G151" i="136"/>
  <c r="G155" i="136"/>
  <c r="G138" i="136"/>
  <c r="G142" i="136"/>
  <c r="G149" i="136"/>
  <c r="G153" i="136"/>
  <c r="G157" i="136"/>
  <c r="G136" i="136"/>
  <c r="G140" i="136"/>
  <c r="G144" i="136"/>
  <c r="G123" i="136"/>
  <c r="G127" i="136"/>
  <c r="G131" i="136"/>
  <c r="G148" i="136"/>
  <c r="G156" i="136"/>
  <c r="G139" i="136"/>
  <c r="G122" i="136"/>
  <c r="G128" i="136"/>
  <c r="G112" i="136"/>
  <c r="G116" i="136"/>
  <c r="G99" i="136"/>
  <c r="G103" i="136"/>
  <c r="G86" i="136"/>
  <c r="G90" i="136"/>
  <c r="G150" i="136"/>
  <c r="G141" i="136"/>
  <c r="G124" i="136"/>
  <c r="G129" i="136"/>
  <c r="G109" i="136"/>
  <c r="G113" i="136"/>
  <c r="G117" i="136"/>
  <c r="G96" i="136"/>
  <c r="G100" i="136"/>
  <c r="G104" i="136"/>
  <c r="G83" i="136"/>
  <c r="G87" i="136"/>
  <c r="G91" i="136"/>
  <c r="G137" i="136"/>
  <c r="G111" i="136"/>
  <c r="G102" i="136"/>
  <c r="G89" i="136"/>
  <c r="G152" i="136"/>
  <c r="G135" i="136"/>
  <c r="G143" i="136"/>
  <c r="G125" i="136"/>
  <c r="G130" i="136"/>
  <c r="G110" i="136"/>
  <c r="G114" i="136"/>
  <c r="G118" i="136"/>
  <c r="G97" i="136"/>
  <c r="G101" i="136"/>
  <c r="G105" i="136"/>
  <c r="G84" i="136"/>
  <c r="G88" i="136"/>
  <c r="G92" i="136"/>
  <c r="G154" i="136"/>
  <c r="G126" i="136"/>
  <c r="G115" i="136"/>
  <c r="G98" i="136"/>
  <c r="G85" i="136"/>
  <c r="M7" i="36"/>
  <c r="M15" i="36" s="1"/>
  <c r="J50" i="117"/>
  <c r="L15" i="36"/>
  <c r="E39" i="131"/>
  <c r="E25" i="33"/>
  <c r="Q33" i="36"/>
  <c r="Q42" i="36" s="1"/>
  <c r="F25" i="131"/>
  <c r="H15" i="36"/>
  <c r="X15" i="36"/>
  <c r="G15" i="36"/>
  <c r="I32" i="135"/>
  <c r="C51" i="119"/>
  <c r="C53" i="119" s="1"/>
  <c r="E25" i="131"/>
  <c r="Y13" i="36"/>
  <c r="E33" i="36"/>
  <c r="F51" i="119"/>
  <c r="F53" i="119" s="1"/>
  <c r="D25" i="131"/>
  <c r="K25" i="131"/>
  <c r="D15" i="36"/>
  <c r="O15" i="36"/>
  <c r="L33" i="120"/>
  <c r="E36" i="129"/>
  <c r="E37" i="129" s="1"/>
  <c r="E42" i="36"/>
  <c r="E7" i="36"/>
  <c r="E15" i="36" s="1"/>
  <c r="Q7" i="36"/>
  <c r="Q15" i="36" s="1"/>
  <c r="Y7" i="36"/>
  <c r="Y15" i="36" s="1"/>
  <c r="H42" i="36"/>
  <c r="B33" i="120"/>
  <c r="H36" i="129"/>
  <c r="H37" i="129" s="1"/>
  <c r="L50" i="117"/>
  <c r="S14" i="117"/>
  <c r="N12" i="135"/>
  <c r="N33" i="129"/>
  <c r="L51" i="119"/>
  <c r="L53" i="119" s="1"/>
  <c r="I33" i="36"/>
  <c r="K33" i="120"/>
  <c r="F33" i="120"/>
  <c r="E33" i="120"/>
  <c r="B32" i="135"/>
  <c r="B36" i="129"/>
  <c r="B37" i="129" s="1"/>
  <c r="L24" i="33"/>
  <c r="F47" i="33"/>
  <c r="M36" i="129"/>
  <c r="M37" i="129" s="1"/>
  <c r="L36" i="129"/>
  <c r="L37" i="129" s="1"/>
  <c r="N15" i="120"/>
  <c r="O47" i="134"/>
  <c r="I50" i="117"/>
  <c r="C24" i="33"/>
  <c r="C25" i="33" s="1"/>
  <c r="G47" i="33"/>
  <c r="G48" i="33" s="1"/>
  <c r="P47" i="33"/>
  <c r="P48" i="33" s="1"/>
  <c r="O47" i="33"/>
  <c r="L47" i="33"/>
  <c r="M51" i="119"/>
  <c r="M53" i="119" s="1"/>
  <c r="E51" i="119"/>
  <c r="E53" i="119" s="1"/>
  <c r="G51" i="119"/>
  <c r="G53" i="119" s="1"/>
  <c r="J51" i="119"/>
  <c r="J53" i="119" s="1"/>
  <c r="D51" i="119"/>
  <c r="D53" i="119" s="1"/>
  <c r="K51" i="119"/>
  <c r="K53" i="119" s="1"/>
  <c r="Q50" i="117"/>
  <c r="Q25" i="33"/>
  <c r="J47" i="33"/>
  <c r="J48" i="33" s="1"/>
  <c r="R47" i="33"/>
  <c r="R48" i="33" s="1"/>
  <c r="C33" i="120"/>
  <c r="I36" i="129"/>
  <c r="I37" i="129" s="1"/>
  <c r="G32" i="135"/>
  <c r="E32" i="135"/>
  <c r="D50" i="117"/>
  <c r="G50" i="117"/>
  <c r="R50" i="117"/>
  <c r="I47" i="33"/>
  <c r="M47" i="33"/>
  <c r="M48" i="33" s="1"/>
  <c r="O24" i="117"/>
  <c r="G24" i="33"/>
  <c r="G25" i="33" s="1"/>
  <c r="M24" i="33"/>
  <c r="M25" i="33" s="1"/>
  <c r="B25" i="33"/>
  <c r="Q48" i="33"/>
  <c r="I7" i="36"/>
  <c r="I15" i="36" s="1"/>
  <c r="T15" i="36"/>
  <c r="Y33" i="36"/>
  <c r="Y42" i="36" s="1"/>
  <c r="M40" i="36"/>
  <c r="F32" i="135"/>
  <c r="H51" i="119"/>
  <c r="H53" i="119" s="1"/>
  <c r="M33" i="120"/>
  <c r="I33" i="120"/>
  <c r="N23" i="120"/>
  <c r="C36" i="129"/>
  <c r="C37" i="129" s="1"/>
  <c r="J36" i="129"/>
  <c r="J37" i="129" s="1"/>
  <c r="G36" i="129"/>
  <c r="G37" i="129" s="1"/>
  <c r="K36" i="129"/>
  <c r="K37" i="129" s="1"/>
  <c r="C32" i="135"/>
  <c r="N15" i="135"/>
  <c r="M32" i="135"/>
  <c r="H25" i="33"/>
  <c r="E50" i="117"/>
  <c r="K32" i="135"/>
  <c r="D32" i="135"/>
  <c r="O16" i="117"/>
  <c r="N30" i="120"/>
  <c r="O24" i="33"/>
  <c r="O25" i="33" s="1"/>
  <c r="K48" i="33"/>
  <c r="W15" i="36"/>
  <c r="G42" i="36"/>
  <c r="U33" i="36"/>
  <c r="U42" i="36" s="1"/>
  <c r="J33" i="120"/>
  <c r="F50" i="117"/>
  <c r="M50" i="117"/>
  <c r="P20" i="117"/>
  <c r="N30" i="135"/>
  <c r="H32" i="135"/>
  <c r="J32" i="135"/>
  <c r="N24" i="135"/>
  <c r="D39" i="131"/>
  <c r="S47" i="33"/>
  <c r="S48" i="33" s="1"/>
  <c r="K15" i="36"/>
  <c r="S42" i="36"/>
  <c r="W42" i="36"/>
  <c r="I40" i="36"/>
  <c r="I42" i="36" s="1"/>
  <c r="N19" i="120"/>
  <c r="D33" i="120"/>
  <c r="O41" i="117"/>
  <c r="K50" i="117"/>
  <c r="B51" i="119"/>
  <c r="B53" i="119" s="1"/>
  <c r="I4" i="33"/>
  <c r="F28" i="33"/>
  <c r="G4" i="33"/>
  <c r="G28" i="33" s="1"/>
  <c r="N28" i="129"/>
  <c r="N17" i="129"/>
  <c r="M33" i="36"/>
  <c r="K42" i="36"/>
  <c r="K25" i="33"/>
  <c r="U7" i="36"/>
  <c r="U15" i="36" s="1"/>
  <c r="D24" i="33"/>
  <c r="D25" i="33" s="1"/>
  <c r="F39" i="131"/>
  <c r="C50" i="117"/>
  <c r="B50" i="117"/>
  <c r="L32" i="135"/>
  <c r="F36" i="129"/>
  <c r="F37" i="129" s="1"/>
  <c r="S46" i="117"/>
  <c r="J24" i="33"/>
  <c r="J25" i="33" s="1"/>
  <c r="P24" i="33"/>
  <c r="P25" i="33" s="1"/>
  <c r="E48" i="33"/>
  <c r="B48" i="33"/>
  <c r="H33" i="120"/>
  <c r="O40" i="134"/>
  <c r="L25" i="33"/>
  <c r="F24" i="33"/>
  <c r="I24" i="33"/>
  <c r="D47" i="33"/>
  <c r="D48" i="33" s="1"/>
  <c r="C47" i="33"/>
  <c r="C48" i="33" s="1"/>
  <c r="O48" i="117"/>
  <c r="P48" i="117"/>
  <c r="S48" i="117" s="1"/>
  <c r="S40" i="117"/>
  <c r="P41" i="117"/>
  <c r="S41" i="117" s="1"/>
  <c r="N35" i="119"/>
  <c r="O32" i="134"/>
  <c r="S35" i="117"/>
  <c r="P37" i="117"/>
  <c r="S37" i="117" s="1"/>
  <c r="O37" i="117"/>
  <c r="O30" i="117"/>
  <c r="P30" i="117"/>
  <c r="S30" i="117" s="1"/>
  <c r="H50" i="117"/>
  <c r="S23" i="117"/>
  <c r="P24" i="117"/>
  <c r="S24" i="117" s="1"/>
  <c r="S12" i="117"/>
  <c r="P16" i="117"/>
  <c r="H39" i="131"/>
  <c r="B39" i="131"/>
  <c r="B25" i="131"/>
  <c r="C39" i="131"/>
  <c r="N50" i="119"/>
  <c r="G33" i="120"/>
  <c r="N24" i="129"/>
  <c r="R24" i="33"/>
  <c r="R25" i="33" s="1"/>
  <c r="S24" i="33"/>
  <c r="S25" i="33" s="1"/>
  <c r="L48" i="33" l="1"/>
  <c r="I25" i="33"/>
  <c r="F25" i="33"/>
  <c r="F48" i="33"/>
  <c r="O48" i="33"/>
  <c r="I48" i="33"/>
  <c r="N32" i="135"/>
  <c r="N37" i="129"/>
  <c r="N53" i="119"/>
  <c r="M42" i="36"/>
  <c r="N33" i="120"/>
  <c r="J4" i="33"/>
  <c r="J28" i="33" s="1"/>
  <c r="I28" i="33"/>
  <c r="L4" i="33"/>
  <c r="N36" i="129"/>
  <c r="O50" i="117"/>
  <c r="N51" i="119"/>
  <c r="S16" i="117"/>
  <c r="P50" i="117"/>
  <c r="S50" i="117" s="1"/>
  <c r="M4" i="33" l="1"/>
  <c r="M28" i="33" s="1"/>
  <c r="O4" i="33"/>
  <c r="L28" i="33"/>
  <c r="O28" i="33" l="1"/>
  <c r="P4" i="33"/>
  <c r="P28" i="33" s="1"/>
  <c r="R4" i="33"/>
  <c r="S4" i="33" l="1"/>
  <c r="S28" i="33" s="1"/>
  <c r="R28" i="33"/>
</calcChain>
</file>

<file path=xl/sharedStrings.xml><?xml version="1.0" encoding="utf-8"?>
<sst xmlns="http://schemas.openxmlformats.org/spreadsheetml/2006/main" count="1633" uniqueCount="400">
  <si>
    <t>Group</t>
  </si>
  <si>
    <t>Program</t>
  </si>
  <si>
    <t>Desc</t>
  </si>
  <si>
    <t>Type</t>
  </si>
  <si>
    <t>Period</t>
  </si>
  <si>
    <t>Month</t>
  </si>
  <si>
    <t>Service Accounts</t>
  </si>
  <si>
    <t>Ex Ante Estimated MW</t>
  </si>
  <si>
    <t>BIP - (20 minute option)</t>
  </si>
  <si>
    <t>c</t>
  </si>
  <si>
    <t>Jan</t>
  </si>
  <si>
    <t>CPP-D (Large and Medium customers)</t>
  </si>
  <si>
    <t xml:space="preserve">Armed Forces Pilot </t>
  </si>
  <si>
    <t>Active but no participants</t>
  </si>
  <si>
    <t>Over Generation Pilot</t>
  </si>
  <si>
    <t>Small Business Energy Management Pilot</t>
  </si>
  <si>
    <t>Closed</t>
  </si>
  <si>
    <t>AC Saver Day-Ahead Residential</t>
  </si>
  <si>
    <t>Thermostats</t>
  </si>
  <si>
    <t>r</t>
  </si>
  <si>
    <t>AC Saver Day-Ahead Commercial</t>
  </si>
  <si>
    <t>AC Saver Day-Of Residential</t>
  </si>
  <si>
    <t>Switches</t>
  </si>
  <si>
    <t>AC Saver Day-Of Commercial</t>
  </si>
  <si>
    <t xml:space="preserve">CBP - Day-Ahead </t>
  </si>
  <si>
    <t xml:space="preserve">CBP - Day-Of </t>
  </si>
  <si>
    <t>TOU-A-P Small Commercial</t>
  </si>
  <si>
    <t>TOU-DR-P Voluntary Residential</t>
  </si>
  <si>
    <t>Feb</t>
  </si>
  <si>
    <t>Mar</t>
  </si>
  <si>
    <t>Apr</t>
  </si>
  <si>
    <t>May</t>
  </si>
  <si>
    <t>Jun</t>
  </si>
  <si>
    <t>Jul</t>
  </si>
  <si>
    <t>Aug</t>
  </si>
  <si>
    <t>Sep</t>
  </si>
  <si>
    <t>Oct</t>
  </si>
  <si>
    <t>Nov</t>
  </si>
  <si>
    <t>Dec</t>
  </si>
  <si>
    <t xml:space="preserve">SAN DIEGO GAS &amp; ELECTRIC COMPANY REPORT ON INTERRUPTIBLE LOAD AND DEMAND RESPONSE PROGRAMS </t>
  </si>
  <si>
    <t>SUBSCRIPTION STATISTICS - ENROLLED MWs</t>
  </si>
  <si>
    <t>December 2019</t>
  </si>
  <si>
    <t>January</t>
  </si>
  <si>
    <t>February</t>
  </si>
  <si>
    <t>March</t>
  </si>
  <si>
    <t>April</t>
  </si>
  <si>
    <t>June</t>
  </si>
  <si>
    <t>Programs</t>
  </si>
  <si>
    <r>
      <t xml:space="preserve">Service Accounts </t>
    </r>
    <r>
      <rPr>
        <vertAlign val="superscript"/>
        <sz val="11"/>
        <color rgb="FFFF0000"/>
        <rFont val="Arial"/>
        <family val="2"/>
      </rPr>
      <t>3</t>
    </r>
  </si>
  <si>
    <r>
      <t xml:space="preserve">Ex Ante Estimated MW </t>
    </r>
    <r>
      <rPr>
        <vertAlign val="superscript"/>
        <sz val="11"/>
        <color rgb="FFFF0000"/>
        <rFont val="Arial"/>
        <family val="2"/>
      </rPr>
      <t>1</t>
    </r>
  </si>
  <si>
    <r>
      <t xml:space="preserve">Ex Post Estimated MW </t>
    </r>
    <r>
      <rPr>
        <vertAlign val="superscript"/>
        <sz val="11"/>
        <color rgb="FFFF0000"/>
        <rFont val="Arial"/>
        <family val="2"/>
      </rPr>
      <t>2, 4</t>
    </r>
  </si>
  <si>
    <r>
      <t xml:space="preserve">Ex Post Estimated MW </t>
    </r>
    <r>
      <rPr>
        <vertAlign val="superscript"/>
        <sz val="11"/>
        <color rgb="FFFF0000"/>
        <rFont val="Arial"/>
        <family val="2"/>
      </rPr>
      <t>2</t>
    </r>
  </si>
  <si>
    <t xml:space="preserve">Service Accounts </t>
  </si>
  <si>
    <t>Eligible Accounts as of Aug 31, 2012</t>
  </si>
  <si>
    <t>Interruptible/Reliability</t>
  </si>
  <si>
    <t xml:space="preserve">  Sub-Total Interruptible</t>
  </si>
  <si>
    <t>Demand Response Programs</t>
  </si>
  <si>
    <t>Sub-Total Demand Response Programs</t>
  </si>
  <si>
    <t>Total All Programs</t>
  </si>
  <si>
    <t>July</t>
  </si>
  <si>
    <t xml:space="preserve">August </t>
  </si>
  <si>
    <t xml:space="preserve">September </t>
  </si>
  <si>
    <t>October</t>
  </si>
  <si>
    <t xml:space="preserve">November </t>
  </si>
  <si>
    <t>December</t>
  </si>
  <si>
    <r>
      <t xml:space="preserve">Service Accounts </t>
    </r>
    <r>
      <rPr>
        <b/>
        <vertAlign val="superscript"/>
        <sz val="10"/>
        <color rgb="FFFF0000"/>
        <rFont val="Arial"/>
        <family val="2"/>
      </rPr>
      <t>5</t>
    </r>
  </si>
  <si>
    <t xml:space="preserve"> </t>
  </si>
  <si>
    <t>Notes:</t>
  </si>
  <si>
    <r>
      <rPr>
        <vertAlign val="superscript"/>
        <sz val="11"/>
        <color rgb="FFFF0000"/>
        <rFont val="Arial"/>
        <family val="2"/>
      </rPr>
      <t xml:space="preserve">1 </t>
    </r>
    <r>
      <rPr>
        <sz val="10"/>
        <rFont val="Arial"/>
        <family val="2"/>
      </rPr>
      <t>The ex-ante average per customer are based on PY17 SDG&amp;E DR Load Impacts report filed on April 2, 2018 for the months of January and February. The ex-ante average per customer are based on PY18 SDG&amp;E DR Load Impacts report filed on April 2, 2019 for the months of March thru December.</t>
    </r>
  </si>
  <si>
    <r>
      <rPr>
        <vertAlign val="superscript"/>
        <sz val="11"/>
        <color rgb="FFFF0000"/>
        <rFont val="Arial"/>
        <family val="2"/>
      </rPr>
      <t xml:space="preserve">2 </t>
    </r>
    <r>
      <rPr>
        <sz val="10"/>
        <rFont val="Arial"/>
        <family val="2"/>
      </rPr>
      <t>The ex-post average per customer are based on PY17 SDG&amp;E DR Load Impacts report filed on April 2, 2018 for the months of January and February.  The ex-post average per customer are based on PY18 SDG&amp;E DR Load  Impacts report filed on April 2, 2019 for the months of March thru December.</t>
    </r>
  </si>
  <si>
    <r>
      <rPr>
        <vertAlign val="superscript"/>
        <sz val="11"/>
        <color rgb="FFFF0000"/>
        <rFont val="Arial"/>
        <family val="2"/>
      </rPr>
      <t xml:space="preserve">3 </t>
    </r>
    <r>
      <rPr>
        <sz val="10"/>
        <rFont val="Arial"/>
        <family val="2"/>
      </rPr>
      <t>Service Accounts numbers for AC Saver Day-Of Commercial and Residential previously filed in the January, February and March 2019 reports were higher due to closed accounts inadvertently being included in the totals. Service Account numbers for   January, February and March 2019 have been corrected in all subsequent monthly reports, beginning in April 2019.</t>
    </r>
  </si>
  <si>
    <r>
      <rPr>
        <vertAlign val="superscript"/>
        <sz val="11"/>
        <color rgb="FFFF0000"/>
        <rFont val="Arial"/>
        <family val="2"/>
      </rPr>
      <t xml:space="preserve">4 </t>
    </r>
    <r>
      <rPr>
        <sz val="10"/>
        <rFont val="Arial"/>
        <family val="2"/>
      </rPr>
      <t xml:space="preserve">The Ex Post Estimated MW were updated for January-March slightly decreased for AC Saver Day Of Commercial and Residential.  Reference footnote no.3 above. </t>
    </r>
  </si>
  <si>
    <r>
      <rPr>
        <vertAlign val="superscript"/>
        <sz val="10"/>
        <color rgb="FFFF0000"/>
        <rFont val="Arial"/>
        <family val="2"/>
      </rPr>
      <t>5</t>
    </r>
    <r>
      <rPr>
        <sz val="10"/>
        <rFont val="Arial"/>
        <family val="2"/>
      </rPr>
      <t xml:space="preserve"> The number of service accounts in AC Saver Day-ahead for October was corrected in November. The number previously stated was 18,942 and was corrected to 18,799 in September after a discrepancy was reconciled.</t>
    </r>
  </si>
  <si>
    <t>-  Capacity Bidding Program reports the number of nominations not enrollments.</t>
  </si>
  <si>
    <t>-  The resource adequacy measurement hours were modified to HE17-HE21 (4:00 p.m. – 9:00 p.m.) for each month of the year beginning in 2019.</t>
  </si>
  <si>
    <t>-  PTR Residential Program ended December 31, 2018.</t>
  </si>
  <si>
    <t>(End of page)</t>
  </si>
  <si>
    <t>Average Ex Ante Load Impact kW / Customer</t>
  </si>
  <si>
    <t>Eligible Accounts as of January</t>
  </si>
  <si>
    <t>Eligibility Criteria (Refer to tariff for specifics)</t>
  </si>
  <si>
    <t xml:space="preserve">Applicable to all non-residential time-of-use metered customers who can commit to curtail at least 15% of Monthly Average Peak Demand, with a minimum load reduction of 100 kW and who request service per the Base Interruptible Program (BIP) Schedule and comply with Special Condition 3. The BIP Schedule is available to bundled, Direct Access (DA), and Community Choice Aggregation (CCA) customers. Qualifying customers are required to complete a BIP Contract with SDG&amp;E in order to participate in BIP Tariff. </t>
  </si>
  <si>
    <t>The CPP-D Schedule is the default commodity rate for customers currently receiving bundled utility service on a commercial/industrial rate schedule for customers whose Maximum Monthly Demand is equal to or exceeds or is expected to equal or exceed 20 kW for twelve consecutive months. The CPP-D Schedule is not applicable to DA or CCA customers.</t>
  </si>
  <si>
    <t>AC Saver is a voluntary demand response program available to all residential customers with air conditioner (AC) units installed at their premise with SDG&amp;E approved technology capable of curtailing the customers’ AC unit. Residential customers with Net Energy Metering are not eligible to participate in the AC Saver Schedule. The AC Saver Schedule is available to customers receiving Bundled Utility Service or, DA service and billed by the Utility. Service on AC Saver Schedule must be taken in combination with the customer’s otherwise applicable rate schedule. Note: AC Saver Day Of in the past we used 62% based on historical RASS data - growth between 2003-2009.</t>
  </si>
  <si>
    <t>AC Saver is a voluntary demand response program available to all commercial customers with AC units installed at their premise with SDG&amp;E approved technology capable of curtailing the customers’ AC unit. This schedule is available to customers receiving Bundled Utility Service or, DA service and billed by the Utility. Service on the AC Saver Schedule must be taken in combination with the customer’s otherwise applicable rate schedule. Note: AC Saver Day Of we used 85% based on commercial estimates.</t>
  </si>
  <si>
    <t>AC Saver is a voluntary demand response program available to all residential customers with AC units installed at their premise with SDG&amp;E approved technology capable of curtailing the customers’ AC unit. Residential customers with Net Energy Metering are not eligible for this schedule. The AC Saver Schedule is available to customers receiving Bundled Utility Service or, DA service and billed by the Utility. Service on the AC Saver Schedule must be taken in combination with the customer’s otherwise applicable rate schedule. Note: AC Saver Day Of in the past we used 62% based on historical RASS data - growth between 2003-2009.</t>
  </si>
  <si>
    <t>AC Saver is a voluntary demand response program available to all commercial customers with AC units installed at their premise with SDG&amp;E approved technology capable of curtailing the customers’ AC unit. The AC Saver Schedule is available to customers receiving Bundled Utility Service or, DA service and billed by the Utility. Service on the AC Saver Schedule must be taken in combination with the customer’s otherwise applicable rate schedule. Note: AC Saver Day Of we used 85% based on commercial estimates.</t>
  </si>
  <si>
    <t xml:space="preserve">The CBP Schedule is available to commercial and industrial Utility customers receiving Bundled Utility service, DA service or CCA service, and being billed on a Utility commercial, industrial or agricultural rate schedule. </t>
  </si>
  <si>
    <t xml:space="preserve">The TOU-DR-P Voluntary Residential Schedule (TOU-DR-P Schedule) provides residential customers with the opportunity to manage their electric costs by either reducing load during high cost pricing periods defined as a Reduce Your Use (RYU) Event Day, or shifting load from high cost pricing periods to lower cost pricing periods. The TOU-DR-P Schedule is not applicable to commercial customers. The TOU-DR-P Schedule is not applicable to DA, Transitional Bundled Service (TBS) or CCA customers. </t>
  </si>
  <si>
    <t>The TOU-A-P Small Commercial Schedule (TOU-A-P Schedule) provides commercial customers with the opportunity to manage their electric costs by either reducing load during high cost pricing periods defined as a Reduce Your Use (RYU) Event Day, or shifting load from high cost pricing periods to lower cost pricing periods. Except as set forth below, this TOU-A-P Schedule is the default commodity rate for customers currently receiving bundled utility service on a small non-residential rate schedule; or a medium/large non-residential rate schedule with a Maximum Monthly Demand below 20 kW for three consecutive months. The TOU-A-P Schedule is available to general service including lighting, appliances, heating, and power, or any combination thereof, including common use and whose facility is separately metered. In order for this TOU-A-P Schedule to take effect, the customer must have a smart meter installed, tested, and verified according to Utility procedures. The TOU-A-P Schedule is not applicable to any customer whose Maximum Monthly Demand equals, exceeds, or is expected to equal or exceed 20 kW for 12 consecutive months. The TOU-A-P Schedule is available to customers with the Utility Distribution Company (UDC) service of Schedule TOU-A. The TOU-A-P Schedule is optionally available to Expanded California Alternate Rates for Energy (CARE) customers. The TOU-A-P Schedule is not applicable to residential customers, except for those three-phase residential customers taking service on this schedule as of April 12, 2007 who may remain on TOU-A-P Schedule  while service continues in their name at the same service address. Those three-phase residential customers remaining on TOU-A-P Schedule who choose to switch to a residential rate schedule may not return to the TOU-A-P Schedule. The TOU-A-P Schedule is not applicable to DA, Transitional Bundled Service (TBS) or CCA customers.</t>
  </si>
  <si>
    <t>-  The Estimated Average Ex-Ante Load Impact kW/Customer = Average kW / Customer, under 1-in-2 weather conditions, of an event that would occur from 4 - 9 pm year around.</t>
  </si>
  <si>
    <t>-  The Ex-Ante average per customer are based on PY17 SDG&amp;E DR Load Impacts report filed on April 2, 2018 for the months of January and February.</t>
  </si>
  <si>
    <t>-  The Ex-Ante average per customer are based on PY18 SDG&amp;E DR Load Impacts report filed on April 2, 2019 for the months of March-December.</t>
  </si>
  <si>
    <t>-  The Resource Adequacy measurement hours were modified to HE17-HE21 (4:00 p.m. – 9:00 p.m.) for each month of the year beginning in 2019.</t>
  </si>
  <si>
    <t>-  CPP-D (Large and Medium customers Program Year 2018 Ex-Ante per customer impacts received negative estimates for the months of January-April and November-December. Therefore, the estimates are showing as zero.</t>
  </si>
  <si>
    <t>Average Ex Post Load Impact kW / Customer</t>
  </si>
  <si>
    <t xml:space="preserve">Notes: </t>
  </si>
  <si>
    <t xml:space="preserve">-  Estimated Average Ex-Post Load Impact kW / Customer = Average kW / Customer service account over all actual event hours for the preceding year if events occurred. </t>
  </si>
  <si>
    <t>-  The Ex-Post average per customer are based on PY17 SDG&amp;E DR Load Impacts report filed on April 2, 2018 for the months of January and February.</t>
  </si>
  <si>
    <t>-  The Ex-Post average per customer are based on PY18 SDG&amp;E DR Load Impacts report filed on April 2, 2019 for the months of March thru December.</t>
  </si>
  <si>
    <t>Detailed Breakdown of MWs To Date in TA/Auto DR/TI Programs (A)</t>
  </si>
  <si>
    <t>Price Responsive</t>
  </si>
  <si>
    <t>TA Identified MWs</t>
  </si>
  <si>
    <t>Auto DR Verified MWs</t>
  </si>
  <si>
    <t>TI Verified MWs</t>
  </si>
  <si>
    <t>Total Technology MWs</t>
  </si>
  <si>
    <t>CPP-D</t>
  </si>
  <si>
    <t>CBP</t>
  </si>
  <si>
    <t>Total</t>
  </si>
  <si>
    <t>BIP</t>
  </si>
  <si>
    <t>SLRP</t>
  </si>
  <si>
    <t>General Program</t>
  </si>
  <si>
    <t>TA (may also be enrolled in TI and AutoDR)</t>
  </si>
  <si>
    <t>Total TA MWs</t>
  </si>
  <si>
    <t>August</t>
  </si>
  <si>
    <t>September</t>
  </si>
  <si>
    <t>November</t>
  </si>
  <si>
    <t>AMP</t>
  </si>
  <si>
    <t>DBP</t>
  </si>
  <si>
    <t>Peak Choice - Best Effort</t>
  </si>
  <si>
    <t>Peak Choice - Committed</t>
  </si>
  <si>
    <t xml:space="preserve">CPP-D </t>
  </si>
  <si>
    <t>OBMC</t>
  </si>
  <si>
    <t>ddd</t>
  </si>
  <si>
    <t>·         TA Identified MW</t>
  </si>
  <si>
    <t>Represents identified MW for service accounts from completed TA in accumulative value (may or may not be enrolled in DR).</t>
  </si>
  <si>
    <t>·         AutoDR Verified MW</t>
  </si>
  <si>
    <t>Represents verified/tested MW for service accounts from complete TI (i.e. must be enrolled in DR) and must be Auto DR in accumulative value.</t>
  </si>
  <si>
    <t>·         TI Verified MW</t>
  </si>
  <si>
    <t>Represents verified MW for service accounts from completed TI (i.e. must be enrolled in DR) but not AutoDR in accumulative value; MW reported here not necessarily amount enrolled in DR.</t>
  </si>
  <si>
    <t>·         Total Technology MW</t>
  </si>
  <si>
    <t>Represents the sum of verified MW associated with the service accounts from the completed TI (i.e. must be enrolled in DR), including Auto DR and non-Auto DR.</t>
  </si>
  <si>
    <t>Auto-DR (TI) and Technology Deployment (TD)  Programs Breakdown of MWs</t>
  </si>
  <si>
    <t xml:space="preserve">May </t>
  </si>
  <si>
    <t>Eligible Programs</t>
  </si>
  <si>
    <t xml:space="preserve">Auto DR Verified MWs </t>
  </si>
  <si>
    <t>AFP</t>
  </si>
  <si>
    <t>DRAM</t>
  </si>
  <si>
    <t>-  Auto DR Verified MWs: Represent the verified/tested MW for service accounts from completed TI (i.e. must be enrolled in DR).</t>
  </si>
  <si>
    <t>Technology Deployment- Residential MWs</t>
  </si>
  <si>
    <t>-  Technology Deployment (TD) Verified MWs: Represents the average load reduction expected on an event day based on the ex-post results for customers with qualifying technology.</t>
  </si>
  <si>
    <t>Technology Deployment- Commercial MWs</t>
  </si>
  <si>
    <t xml:space="preserve">Technology Deployment- Commercial MWs </t>
  </si>
  <si>
    <t>CARRY-OVER EXPENDITURES FROM (2017) PROGRAM CYCLE</t>
  </si>
  <si>
    <t>Cost Item</t>
  </si>
  <si>
    <t>Total Carry Over Expenditures 2017-2018</t>
  </si>
  <si>
    <t xml:space="preserve">  Capacity Bidding Program </t>
  </si>
  <si>
    <t>Budget Category 1 Total</t>
  </si>
  <si>
    <t xml:space="preserve">  Summer Saver</t>
  </si>
  <si>
    <t>Budget Category 2 Total</t>
  </si>
  <si>
    <r>
      <t xml:space="preserve">  Small Commercial Technology Deployment (SCTD) </t>
    </r>
    <r>
      <rPr>
        <vertAlign val="superscript"/>
        <sz val="10"/>
        <color rgb="FFFF0000"/>
        <rFont val="Arial"/>
        <family val="2"/>
      </rPr>
      <t>2</t>
    </r>
  </si>
  <si>
    <t>Budget Category 4 Total</t>
  </si>
  <si>
    <t xml:space="preserve">  Summer Saver PCT Pilot </t>
  </si>
  <si>
    <t>Budget Category 5 Total</t>
  </si>
  <si>
    <t xml:space="preserve">  Local Marketing Education &amp; Outreach (LMEO)</t>
  </si>
  <si>
    <t>Budget Category 6 Total</t>
  </si>
  <si>
    <r>
      <t xml:space="preserve">  Permanent Load Shifting (PLS) </t>
    </r>
    <r>
      <rPr>
        <vertAlign val="superscript"/>
        <sz val="10"/>
        <color rgb="FFFF0000"/>
        <rFont val="Arial"/>
        <family val="2"/>
      </rPr>
      <t>1</t>
    </r>
  </si>
  <si>
    <t>Budget Category 10 Total</t>
  </si>
  <si>
    <t xml:space="preserve">  Celerity</t>
  </si>
  <si>
    <t>General Rate Case (GRC)</t>
  </si>
  <si>
    <t>Total Incremental Cost</t>
  </si>
  <si>
    <r>
      <rPr>
        <vertAlign val="superscript"/>
        <sz val="11"/>
        <color rgb="FFFF0000"/>
        <rFont val="Arial"/>
        <family val="2"/>
      </rPr>
      <t xml:space="preserve">1 </t>
    </r>
    <r>
      <rPr>
        <sz val="10"/>
        <rFont val="Arial"/>
        <family val="2"/>
      </rPr>
      <t>Credit is a result of an expense accrued at a higher dollar amount versus what was paid.  This project is the last of the PLS projects that were committed 2017 through 2018.</t>
    </r>
  </si>
  <si>
    <r>
      <rPr>
        <vertAlign val="superscript"/>
        <sz val="10"/>
        <color rgb="FFFF0000"/>
        <rFont val="Arial"/>
        <family val="2"/>
      </rPr>
      <t>2</t>
    </r>
    <r>
      <rPr>
        <sz val="10"/>
        <rFont val="Arial"/>
        <family val="2"/>
      </rPr>
      <t xml:space="preserve"> April credit it a result of a journal entry to move charges to the correct program.</t>
    </r>
  </si>
  <si>
    <t>MARKETING, EDUCATION &amp; OUTREACH</t>
  </si>
  <si>
    <t>2019 Expenditures for Marketing, Education and Outreach</t>
  </si>
  <si>
    <t>Year-to Date 2018 Expenditures</t>
  </si>
  <si>
    <t>Program Cycle-to Date 2018-2019 Expenditures</t>
  </si>
  <si>
    <r>
      <t xml:space="preserve">Authorized Budget (if Applicable) </t>
    </r>
    <r>
      <rPr>
        <b/>
        <vertAlign val="superscript"/>
        <sz val="10"/>
        <color rgb="FFFF0000"/>
        <rFont val="Calibri"/>
        <family val="2"/>
      </rPr>
      <t>1</t>
    </r>
  </si>
  <si>
    <r>
      <t xml:space="preserve">October </t>
    </r>
    <r>
      <rPr>
        <b/>
        <vertAlign val="superscript"/>
        <sz val="10"/>
        <color rgb="FFFF0000"/>
        <rFont val="Arial"/>
        <family val="2"/>
      </rPr>
      <t>4</t>
    </r>
  </si>
  <si>
    <t>Carryover Expenditures to Date 2012 - 2014</t>
  </si>
  <si>
    <t>I. UTILITY MARKETING BY ACTIVITY</t>
  </si>
  <si>
    <r>
      <t>PROGRAMS, RATES &amp; ACTIVITES WHICH DO NOT REQUIRE ITEMIZED ACCOUNTING</t>
    </r>
    <r>
      <rPr>
        <b/>
        <vertAlign val="superscript"/>
        <sz val="10"/>
        <rFont val="Arial"/>
        <family val="2"/>
      </rPr>
      <t xml:space="preserve"> </t>
    </r>
  </si>
  <si>
    <t xml:space="preserve">Local IDSM Marketing </t>
  </si>
  <si>
    <t>Base Interruptible Program</t>
  </si>
  <si>
    <r>
      <t xml:space="preserve">Back Up Generators (BUGs) </t>
    </r>
    <r>
      <rPr>
        <vertAlign val="superscript"/>
        <sz val="10"/>
        <color rgb="FFFF0000"/>
        <rFont val="Arial"/>
        <family val="2"/>
      </rPr>
      <t>3</t>
    </r>
  </si>
  <si>
    <t>Capacity Bidding Program</t>
  </si>
  <si>
    <t>AC Saver Day Ahead</t>
  </si>
  <si>
    <t>AC Saver Day Of</t>
  </si>
  <si>
    <r>
      <t xml:space="preserve">Technology Deployment </t>
    </r>
    <r>
      <rPr>
        <vertAlign val="superscript"/>
        <sz val="10"/>
        <color rgb="FFFF0000"/>
        <rFont val="Arial"/>
        <family val="2"/>
      </rPr>
      <t>3</t>
    </r>
  </si>
  <si>
    <t xml:space="preserve">Technology Incentives </t>
  </si>
  <si>
    <r>
      <t xml:space="preserve">CPP-D </t>
    </r>
    <r>
      <rPr>
        <vertAlign val="superscript"/>
        <sz val="10"/>
        <color rgb="FFFF0000"/>
        <rFont val="Arial"/>
        <family val="2"/>
      </rPr>
      <t>2</t>
    </r>
  </si>
  <si>
    <r>
      <t>Smart Pricing</t>
    </r>
    <r>
      <rPr>
        <vertAlign val="superscript"/>
        <sz val="10"/>
        <color rgb="FFFF0000"/>
        <rFont val="Arial"/>
        <family val="2"/>
      </rPr>
      <t xml:space="preserve"> 3</t>
    </r>
  </si>
  <si>
    <t xml:space="preserve">Small Customer Technology Deployment (SCTD) </t>
  </si>
  <si>
    <t xml:space="preserve">Small Business Energy Management Pilot (SBEMP) </t>
  </si>
  <si>
    <t>Permanent Load Shifting</t>
  </si>
  <si>
    <r>
      <t>PROGRAMS &amp; RATES WHICH REQUIRE ITEMIZED ACCOUNTING</t>
    </r>
    <r>
      <rPr>
        <b/>
        <vertAlign val="superscript"/>
        <sz val="10"/>
        <rFont val="Arial"/>
        <family val="2"/>
      </rPr>
      <t xml:space="preserve"> </t>
    </r>
  </si>
  <si>
    <t xml:space="preserve">Reduce Your Use (PTR) </t>
  </si>
  <si>
    <t>Customer Research</t>
  </si>
  <si>
    <t>Collateral- Development, Printing, Distribution etc. (all non-labor costs)</t>
  </si>
  <si>
    <t>Labor</t>
  </si>
  <si>
    <t>Paid Media</t>
  </si>
  <si>
    <t>Other Costs</t>
  </si>
  <si>
    <t>I. TOTAL UTILITY MARKETING BY ACTIVITY</t>
  </si>
  <si>
    <t xml:space="preserve">II. UTILITY MARKETING BY ITEMIZED COST </t>
  </si>
  <si>
    <t xml:space="preserve">Paid Media </t>
  </si>
  <si>
    <r>
      <t xml:space="preserve">Other Costs </t>
    </r>
    <r>
      <rPr>
        <vertAlign val="superscript"/>
        <sz val="10"/>
        <color rgb="FFFF0000"/>
        <rFont val="Arial"/>
        <family val="2"/>
      </rPr>
      <t>3</t>
    </r>
  </si>
  <si>
    <t xml:space="preserve">II. TOTAL UTILITY MARKETING BY ITEMIZED COST </t>
  </si>
  <si>
    <t>III. UTILITY MARKETING BY CUSTOMER SEGMENT</t>
  </si>
  <si>
    <r>
      <t>Agricultural</t>
    </r>
    <r>
      <rPr>
        <vertAlign val="superscript"/>
        <sz val="10"/>
        <color rgb="FFFF0000"/>
        <rFont val="Arial"/>
        <family val="2"/>
      </rPr>
      <t xml:space="preserve"> 3</t>
    </r>
  </si>
  <si>
    <t xml:space="preserve">Large Commercial and Industrial </t>
  </si>
  <si>
    <r>
      <t xml:space="preserve">Small and Medium Commercial </t>
    </r>
    <r>
      <rPr>
        <vertAlign val="superscript"/>
        <sz val="10"/>
        <color rgb="FFFF0000"/>
        <rFont val="Arial"/>
        <family val="2"/>
      </rPr>
      <t>3</t>
    </r>
  </si>
  <si>
    <r>
      <t xml:space="preserve">Residential </t>
    </r>
    <r>
      <rPr>
        <vertAlign val="superscript"/>
        <sz val="10"/>
        <color rgb="FFFF0000"/>
        <rFont val="Arial"/>
        <family val="2"/>
      </rPr>
      <t>3</t>
    </r>
  </si>
  <si>
    <t>III. TOTAL UTILITY MARKETING BY CUSTOMER SEGMENT</t>
  </si>
  <si>
    <r>
      <rPr>
        <vertAlign val="superscript"/>
        <sz val="11"/>
        <color rgb="FFFF0000"/>
        <rFont val="Arial"/>
        <family val="2"/>
      </rPr>
      <t xml:space="preserve">1 </t>
    </r>
    <r>
      <rPr>
        <sz val="11"/>
        <rFont val="Arial"/>
        <family val="2"/>
      </rPr>
      <t>LME&amp;O Approved Budget is a Five (5) Year Program Cycle 2018-2022 with the exception of Local IDSM Marketing which is funded per the approved  Advice Letter 3267-E-A/2700-G-A.</t>
    </r>
  </si>
  <si>
    <r>
      <rPr>
        <vertAlign val="superscript"/>
        <sz val="11"/>
        <color rgb="FFFF0000"/>
        <rFont val="Arial"/>
        <family val="2"/>
      </rPr>
      <t>2</t>
    </r>
    <r>
      <rPr>
        <sz val="11"/>
        <rFont val="Arial"/>
        <family val="2"/>
      </rPr>
      <t xml:space="preserve"> February credit is related to labor accrual reversal.</t>
    </r>
  </si>
  <si>
    <r>
      <rPr>
        <vertAlign val="superscript"/>
        <sz val="11"/>
        <color rgb="FFFF0000"/>
        <rFont val="Arial"/>
        <family val="2"/>
      </rPr>
      <t xml:space="preserve">3 </t>
    </r>
    <r>
      <rPr>
        <sz val="11"/>
        <rFont val="Arial"/>
        <family val="2"/>
      </rPr>
      <t>April and May credits are a result of a Journal Entry to move charges to the correct program.</t>
    </r>
  </si>
  <si>
    <r>
      <rPr>
        <vertAlign val="superscript"/>
        <sz val="11"/>
        <color rgb="FFFF0000"/>
        <rFont val="Arial"/>
        <family val="2"/>
      </rPr>
      <t>4</t>
    </r>
    <r>
      <rPr>
        <sz val="11"/>
        <rFont val="Arial"/>
        <family val="2"/>
      </rPr>
      <t xml:space="preserve"> All October credits are a result of Quarter End Accrual Reversals.</t>
    </r>
  </si>
  <si>
    <t>FUND SHIFT LOG</t>
  </si>
  <si>
    <t>Program Category</t>
  </si>
  <si>
    <t>Fund Shift</t>
  </si>
  <si>
    <t>Programs Impacted</t>
  </si>
  <si>
    <t>Date</t>
  </si>
  <si>
    <t xml:space="preserve">Rationale for Fund Shift </t>
  </si>
  <si>
    <t>Capacity Bidding Program (CBP)</t>
  </si>
  <si>
    <t>Per Resolution E-4906 (issued 7/21/18), Ordering Paragraph 30 
approved a total fund shift of $934,498 of which $234,498 shifted from the Capacity Bidding Program to support the Back Up Generators (BUGs) prohibited resources restrictions.</t>
  </si>
  <si>
    <t>Technology Incentives (TI)</t>
  </si>
  <si>
    <t>Per Resolution  E-4906 (issued 7/21/18), Ordering Paragraph 30  approved a total fund shift of $934,498 of which $700,000 to be shifted from the Technology Incentives Program to support the Back Up Generators (BUGs) prohibited resources restrictions.</t>
  </si>
  <si>
    <t>EM&amp;V</t>
  </si>
  <si>
    <t xml:space="preserve">Per SDG&amp;E's AL 3031-E-B (filed July 23, 2018) a total of $194,400 to be shifted from EM&amp;V funds for the cost to test the installation of loggers, meters and the cost of the verification administrator to support the Back Up Generators (BUGs) prohibited resources restrictions.  </t>
  </si>
  <si>
    <t>AMDRMA</t>
  </si>
  <si>
    <t>Back Up Generation Resources (BUGs)</t>
  </si>
  <si>
    <t xml:space="preserve">Per Resolution E-4906 (issued 7/21/18), Ordering Paragraph 30 
approved a total fund shift of $934,498 to support the Back Up Generators (BUGs) prohibited resources restrictions.
Per SDG&amp;E's AL 3031-E-B (filed July 23, 2018) a total of $194,400 to be shifted from EM&amp;V funds for the cost to test the installation of loggers, meters and the cost of the verification administrator to support the Back Up Generators (BUGs) prohibited resources restrictions.  
</t>
  </si>
  <si>
    <t>-  All Fund Shifting Rules remain in effect as adopted in D.12-04-045 as referenced in D.17-12-003 at page 131.</t>
  </si>
  <si>
    <t xml:space="preserve">SAN DIEGO GAS &amp; ELECTRIC REPORT COMPANY ON INTERRUPTIBLE LOAD AND DEMAND RESPONSE PROGRAMS </t>
  </si>
  <si>
    <t>YEAR TO DATE PROGRAM EXPENDITURES</t>
  </si>
  <si>
    <t>2018 Expenditures</t>
  </si>
  <si>
    <t>Year-to Date 2019 Expenditures</t>
  </si>
  <si>
    <t>Program Cycle-to-Date Total Expenditures (2018-2019)</t>
  </si>
  <si>
    <t>5-Year Funding (2018-2022)</t>
  </si>
  <si>
    <t xml:space="preserve">Fund shift Adjustments </t>
  </si>
  <si>
    <t>Percent Funding</t>
  </si>
  <si>
    <t>Category 1: Supply Side DR Programs</t>
  </si>
  <si>
    <t>AC Saver Day-Ahead</t>
  </si>
  <si>
    <t xml:space="preserve">AC Saver Day-Of </t>
  </si>
  <si>
    <r>
      <t xml:space="preserve">Base Interruptible Program (BIP) </t>
    </r>
    <r>
      <rPr>
        <vertAlign val="superscript"/>
        <sz val="10"/>
        <color rgb="FFFF0000"/>
        <rFont val="Arial"/>
        <family val="2"/>
      </rPr>
      <t>1,7</t>
    </r>
  </si>
  <si>
    <t xml:space="preserve">Capacity Bidding Program (CBP) </t>
  </si>
  <si>
    <r>
      <t>Peak Time Rebate (PTR)</t>
    </r>
    <r>
      <rPr>
        <vertAlign val="superscript"/>
        <sz val="10"/>
        <color rgb="FFFF0000"/>
        <rFont val="Arial"/>
        <family val="2"/>
      </rPr>
      <t xml:space="preserve"> 1, 2</t>
    </r>
  </si>
  <si>
    <t xml:space="preserve"> Budget Category 1 Total</t>
  </si>
  <si>
    <t>Category 2:  Load Modifying Demand Response Program</t>
  </si>
  <si>
    <t xml:space="preserve"> Budget Category 2 Total</t>
  </si>
  <si>
    <t>Category 3:  Demand Response Auction Mechanism (DRAM)</t>
  </si>
  <si>
    <t>Demand Response Auction Mechanism Pilot (DRAM)</t>
  </si>
  <si>
    <t xml:space="preserve"> Budget Category 3 Total</t>
  </si>
  <si>
    <t>Category 4:  Emerging &amp; Enabling Technologies</t>
  </si>
  <si>
    <t>Emerging Technology (ET)</t>
  </si>
  <si>
    <t xml:space="preserve">Technology Deployment (TD) </t>
  </si>
  <si>
    <r>
      <t xml:space="preserve">Technology Incentives (TI) </t>
    </r>
    <r>
      <rPr>
        <vertAlign val="superscript"/>
        <sz val="10"/>
        <color rgb="FFFF0000"/>
        <rFont val="Arial"/>
        <family val="2"/>
      </rPr>
      <t>7,11</t>
    </r>
  </si>
  <si>
    <t xml:space="preserve"> Budget Category 4 Total</t>
  </si>
  <si>
    <t xml:space="preserve">Category 5:  Pilots </t>
  </si>
  <si>
    <t xml:space="preserve">Armed Forces Pilot (AFP) </t>
  </si>
  <si>
    <t xml:space="preserve">Constrained Local Capacity Program (CLCP) </t>
  </si>
  <si>
    <r>
      <t xml:space="preserve">   Over Generation Pilot (OGP) </t>
    </r>
    <r>
      <rPr>
        <vertAlign val="superscript"/>
        <sz val="10"/>
        <color rgb="FFFF0000"/>
        <rFont val="Arial"/>
        <family val="2"/>
      </rPr>
      <t>8</t>
    </r>
  </si>
  <si>
    <r>
      <t xml:space="preserve">   Small Business Energy Management Pilot (SBEMP) </t>
    </r>
    <r>
      <rPr>
        <vertAlign val="superscript"/>
        <sz val="10"/>
        <color rgb="FFFF0000"/>
        <rFont val="Arial"/>
        <family val="2"/>
      </rPr>
      <t>6</t>
    </r>
    <r>
      <rPr>
        <sz val="10"/>
        <rFont val="Arial"/>
        <family val="2"/>
      </rPr>
      <t xml:space="preserve"> </t>
    </r>
  </si>
  <si>
    <t xml:space="preserve"> Budget Category 5 Total</t>
  </si>
  <si>
    <t>Category 6:  Marketing, Education, and Outreach</t>
  </si>
  <si>
    <r>
      <t xml:space="preserve">Local Marketing Education &amp; Outreach (LME&amp;O) </t>
    </r>
    <r>
      <rPr>
        <vertAlign val="superscript"/>
        <sz val="10"/>
        <color rgb="FFFF0000"/>
        <rFont val="Arial"/>
        <family val="2"/>
      </rPr>
      <t>4, 9</t>
    </r>
  </si>
  <si>
    <t xml:space="preserve"> Budget Category 6 Total</t>
  </si>
  <si>
    <t>Category 7:  Portfolio Support</t>
  </si>
  <si>
    <t>Regulatory Policy &amp; Program Support (Gen. Admin.)</t>
  </si>
  <si>
    <r>
      <t xml:space="preserve">IT Infrastructure &amp; Systems Support </t>
    </r>
    <r>
      <rPr>
        <vertAlign val="superscript"/>
        <sz val="10"/>
        <color rgb="FFFF0000"/>
        <rFont val="Arial"/>
        <family val="2"/>
      </rPr>
      <t>3,10</t>
    </r>
  </si>
  <si>
    <r>
      <t xml:space="preserve">EM&amp;V </t>
    </r>
    <r>
      <rPr>
        <vertAlign val="superscript"/>
        <sz val="10"/>
        <color rgb="FFFF0000"/>
        <rFont val="Arial"/>
        <family val="2"/>
      </rPr>
      <t>5</t>
    </r>
  </si>
  <si>
    <t>DR Potential Study</t>
  </si>
  <si>
    <t xml:space="preserve"> Budget Category 7 Total</t>
  </si>
  <si>
    <r>
      <rPr>
        <vertAlign val="superscript"/>
        <sz val="11"/>
        <color rgb="FFFF0000"/>
        <rFont val="Arial"/>
        <family val="2"/>
      </rPr>
      <t xml:space="preserve">1  </t>
    </r>
    <r>
      <rPr>
        <sz val="11"/>
        <rFont val="Arial"/>
        <family val="2"/>
      </rPr>
      <t>Credits are related to accrual reversals which occurred in a prior reporting period (Dec 2018).</t>
    </r>
  </si>
  <si>
    <r>
      <rPr>
        <vertAlign val="superscript"/>
        <sz val="11"/>
        <color rgb="FFFF0000"/>
        <rFont val="Arial"/>
        <family val="2"/>
      </rPr>
      <t xml:space="preserve">2 </t>
    </r>
    <r>
      <rPr>
        <sz val="11"/>
        <color indexed="8"/>
        <rFont val="Arial"/>
        <family val="2"/>
      </rPr>
      <t xml:space="preserve"> PTR Residential Program ended December 31, 2018.</t>
    </r>
  </si>
  <si>
    <r>
      <rPr>
        <vertAlign val="superscript"/>
        <sz val="11"/>
        <color rgb="FFFF0000"/>
        <rFont val="Arial"/>
        <family val="2"/>
      </rPr>
      <t>3</t>
    </r>
    <r>
      <rPr>
        <sz val="11"/>
        <rFont val="Arial"/>
        <family val="2"/>
      </rPr>
      <t xml:space="preserve"> March increase in IT charges represent a reclassification of Journal Entries of IT Quality Assurance charges that were being charged to a different department Internal Order.</t>
    </r>
  </si>
  <si>
    <r>
      <rPr>
        <vertAlign val="superscript"/>
        <sz val="11"/>
        <color rgb="FFFF0000"/>
        <rFont val="Arial"/>
        <family val="2"/>
      </rPr>
      <t>4</t>
    </r>
    <r>
      <rPr>
        <sz val="11"/>
        <color indexed="8"/>
        <rFont val="Arial"/>
        <family val="2"/>
      </rPr>
      <t xml:space="preserve"> April and May credits are a result of a Journal Entry to move charges to the correct program.</t>
    </r>
  </si>
  <si>
    <r>
      <rPr>
        <vertAlign val="superscript"/>
        <sz val="11"/>
        <color rgb="FFFF0000"/>
        <rFont val="Arial"/>
        <family val="2"/>
      </rPr>
      <t>5</t>
    </r>
    <r>
      <rPr>
        <sz val="11"/>
        <rFont val="Arial"/>
        <family val="2"/>
      </rPr>
      <t xml:space="preserve"> April, July, and October credits are related to accrual reversals which occurred in a prior reporting month.</t>
    </r>
  </si>
  <si>
    <r>
      <rPr>
        <vertAlign val="superscript"/>
        <sz val="11"/>
        <color rgb="FFFF0000"/>
        <rFont val="Arial"/>
        <family val="2"/>
      </rPr>
      <t>6</t>
    </r>
    <r>
      <rPr>
        <sz val="11"/>
        <rFont val="Arial"/>
        <family val="2"/>
      </rPr>
      <t xml:space="preserve"> May, August, November, and December credits are a result of the labor and non labor reversals to clear out Admin. charges from January thru April. </t>
    </r>
  </si>
  <si>
    <r>
      <rPr>
        <vertAlign val="superscript"/>
        <sz val="11"/>
        <color rgb="FFFF0000"/>
        <rFont val="Arial"/>
        <family val="2"/>
      </rPr>
      <t xml:space="preserve">7 </t>
    </r>
    <r>
      <rPr>
        <sz val="11"/>
        <rFont val="Arial"/>
        <family val="2"/>
      </rPr>
      <t>July credit is a result of a Journal Entry to move non-labor charges to the correct Base Interruptible Program (BIP) and Technical Incentives (TI) to Information Technology (IT).</t>
    </r>
  </si>
  <si>
    <r>
      <rPr>
        <vertAlign val="superscript"/>
        <sz val="11"/>
        <color rgb="FFFF0000"/>
        <rFont val="Arial"/>
        <family val="2"/>
      </rPr>
      <t xml:space="preserve">8 </t>
    </r>
    <r>
      <rPr>
        <sz val="11"/>
        <rFont val="Arial"/>
        <family val="2"/>
      </rPr>
      <t>August credit is a result of labor accrual reversals and labor allocation corrections.</t>
    </r>
  </si>
  <si>
    <r>
      <rPr>
        <vertAlign val="superscript"/>
        <sz val="11"/>
        <color rgb="FFFF0000"/>
        <rFont val="Arial"/>
        <family val="2"/>
      </rPr>
      <t>9</t>
    </r>
    <r>
      <rPr>
        <sz val="11"/>
        <rFont val="Arial"/>
        <family val="2"/>
      </rPr>
      <t xml:space="preserve"> October credit is a result of Quarter End Accrual Reversals.</t>
    </r>
  </si>
  <si>
    <r>
      <rPr>
        <vertAlign val="superscript"/>
        <sz val="11"/>
        <color rgb="FFFF0000"/>
        <rFont val="Arial"/>
        <family val="2"/>
      </rPr>
      <t>10</t>
    </r>
    <r>
      <rPr>
        <sz val="11"/>
        <rFont val="Arial"/>
        <family val="2"/>
      </rPr>
      <t xml:space="preserve"> November credit is related to IT Demand Response Market Integration (DRMI) charges which were capitalized.</t>
    </r>
  </si>
  <si>
    <r>
      <rPr>
        <vertAlign val="superscript"/>
        <sz val="10"/>
        <color rgb="FFFF0000"/>
        <rFont val="Arial"/>
        <family val="2"/>
      </rPr>
      <t>11</t>
    </r>
    <r>
      <rPr>
        <sz val="10"/>
        <rFont val="Arial"/>
        <family val="2"/>
      </rPr>
      <t xml:space="preserve"> Correction to January Expenditure total;  cell contained a formula error which resulted in a $13,416 overstatement for Year To Date total</t>
    </r>
  </si>
  <si>
    <t>EVENT SUMMARY</t>
  </si>
  <si>
    <t>April-October 2019</t>
  </si>
  <si>
    <t>Year-to-Date Event Summary</t>
  </si>
  <si>
    <t>Event No.</t>
  </si>
  <si>
    <t>Event Trigger</t>
  </si>
  <si>
    <r>
      <t xml:space="preserve">Load Reduction     MW </t>
    </r>
    <r>
      <rPr>
        <vertAlign val="superscript"/>
        <sz val="10"/>
        <color rgb="FFFF0000"/>
        <rFont val="Arial"/>
        <family val="2"/>
      </rPr>
      <t>1</t>
    </r>
  </si>
  <si>
    <t>Event Beginning to End</t>
  </si>
  <si>
    <r>
      <t>Program Total Hours (Annual)</t>
    </r>
    <r>
      <rPr>
        <b/>
        <sz val="10"/>
        <color rgb="FFFF0000"/>
        <rFont val="Arial"/>
        <family val="2"/>
      </rPr>
      <t xml:space="preserve"> </t>
    </r>
    <r>
      <rPr>
        <vertAlign val="superscript"/>
        <sz val="10"/>
        <color rgb="FFFF0000"/>
        <rFont val="Arial"/>
        <family val="2"/>
      </rPr>
      <t>2</t>
    </r>
  </si>
  <si>
    <t>AC Saver DA Residential (thermostats)</t>
  </si>
  <si>
    <t>Heat Rate</t>
  </si>
  <si>
    <t>7:00pm-9:00pm</t>
  </si>
  <si>
    <t>AC Saver DA Commercial (thermostats)</t>
  </si>
  <si>
    <t>CBP DA 1pm-9pm</t>
  </si>
  <si>
    <t>Market Price</t>
  </si>
  <si>
    <t>AC Saver DO (Summer Saver) Commercial &amp; Residential</t>
  </si>
  <si>
    <t>CBP DO 1pm-9pm</t>
  </si>
  <si>
    <t>Real Time Price</t>
  </si>
  <si>
    <t>6:00pm-8:00pm</t>
  </si>
  <si>
    <t>6:00pm-9:00pm</t>
  </si>
  <si>
    <t>5:00pm-8:00pm</t>
  </si>
  <si>
    <t>CBP DA 11am-7pm</t>
  </si>
  <si>
    <t>5:00pm-7:00pm</t>
  </si>
  <si>
    <t>CBP DO 11am-7pm</t>
  </si>
  <si>
    <t>4:00pm-7:00pm</t>
  </si>
  <si>
    <t>Temperature and System Load</t>
  </si>
  <si>
    <t>12:00pm-4:00pm</t>
  </si>
  <si>
    <t>3:00pm-7:00pm</t>
  </si>
  <si>
    <t>1:00pm-4:00pm</t>
  </si>
  <si>
    <r>
      <rPr>
        <vertAlign val="superscript"/>
        <sz val="12"/>
        <color rgb="FFFF0000"/>
        <rFont val="Arial"/>
        <family val="2"/>
      </rPr>
      <t>1</t>
    </r>
    <r>
      <rPr>
        <b/>
        <vertAlign val="superscript"/>
        <sz val="12"/>
        <color rgb="FFFF0000"/>
        <rFont val="Arial"/>
        <family val="2"/>
      </rPr>
      <t xml:space="preserve">  </t>
    </r>
    <r>
      <rPr>
        <sz val="12"/>
        <rFont val="Arial"/>
        <family val="2"/>
      </rPr>
      <t>If the MW</t>
    </r>
    <r>
      <rPr>
        <sz val="12"/>
        <color theme="1"/>
        <rFont val="Arial"/>
        <family val="2"/>
      </rPr>
      <t xml:space="preserve"> Load Re</t>
    </r>
    <r>
      <rPr>
        <sz val="12"/>
        <rFont val="Arial"/>
        <family val="2"/>
      </rPr>
      <t>duction is 0.00, there was no actual load reduction. If the MW Load Reduction is negative, there was an increase of load during the event hours.</t>
    </r>
  </si>
  <si>
    <r>
      <rPr>
        <vertAlign val="superscript"/>
        <sz val="12"/>
        <color rgb="FFFF0000"/>
        <rFont val="Arial"/>
        <family val="2"/>
      </rPr>
      <t>2</t>
    </r>
    <r>
      <rPr>
        <b/>
        <vertAlign val="superscript"/>
        <sz val="12"/>
        <color rgb="FFFF0000"/>
        <rFont val="Arial"/>
        <family val="2"/>
      </rPr>
      <t xml:space="preserve">  </t>
    </r>
    <r>
      <rPr>
        <sz val="12"/>
        <rFont val="Arial"/>
        <family val="2"/>
      </rPr>
      <t>Program Total Hours (Annual) is cumulative</t>
    </r>
  </si>
  <si>
    <t>TOTAL COST AND AMDRMA ACCOUNT BALANCES ($000)</t>
  </si>
  <si>
    <t>Annual Total Cost</t>
  </si>
  <si>
    <t>Year-to-Date Cost</t>
  </si>
  <si>
    <t>Administrative (O&amp;M)</t>
  </si>
  <si>
    <t>AC Saver Day‐Ahead</t>
  </si>
  <si>
    <r>
      <t>AC Saver Day‐Of</t>
    </r>
    <r>
      <rPr>
        <vertAlign val="superscript"/>
        <sz val="9"/>
        <color rgb="FFFF0000"/>
        <rFont val="Arial"/>
        <family val="2"/>
      </rPr>
      <t xml:space="preserve"> </t>
    </r>
  </si>
  <si>
    <r>
      <t>Base Interruptible Program (BIP)</t>
    </r>
    <r>
      <rPr>
        <vertAlign val="superscript"/>
        <sz val="10"/>
        <rFont val="Arial"/>
        <family val="2"/>
      </rPr>
      <t xml:space="preserve"> </t>
    </r>
    <r>
      <rPr>
        <vertAlign val="superscript"/>
        <sz val="10"/>
        <color rgb="FFFF0000"/>
        <rFont val="Arial"/>
        <family val="2"/>
      </rPr>
      <t>1,11</t>
    </r>
  </si>
  <si>
    <t>Back Up Generators (BUGs)</t>
  </si>
  <si>
    <r>
      <t xml:space="preserve">Capacity Bidding Program (CBP) </t>
    </r>
    <r>
      <rPr>
        <vertAlign val="superscript"/>
        <sz val="9"/>
        <color rgb="FFFF0000"/>
        <rFont val="Arial"/>
        <family val="2"/>
      </rPr>
      <t>11</t>
    </r>
  </si>
  <si>
    <r>
      <t xml:space="preserve">Peak Time Rebate (PTR) </t>
    </r>
    <r>
      <rPr>
        <vertAlign val="superscript"/>
        <sz val="10"/>
        <color rgb="FFFF0000"/>
        <rFont val="Arial"/>
        <family val="2"/>
      </rPr>
      <t>1</t>
    </r>
  </si>
  <si>
    <t>Demand Response Auction Mechanism (DRAM)</t>
  </si>
  <si>
    <t>Emerging Tech (ET)</t>
  </si>
  <si>
    <r>
      <t xml:space="preserve">Technology Deployment (TD) </t>
    </r>
    <r>
      <rPr>
        <vertAlign val="superscript"/>
        <sz val="10"/>
        <color rgb="FFFF0000"/>
        <rFont val="Arial"/>
        <family val="2"/>
      </rPr>
      <t>12</t>
    </r>
  </si>
  <si>
    <r>
      <t xml:space="preserve">Technology Incentives (TI) </t>
    </r>
    <r>
      <rPr>
        <vertAlign val="superscript"/>
        <sz val="10"/>
        <color rgb="FFFF0000"/>
        <rFont val="Arial"/>
        <family val="2"/>
      </rPr>
      <t>11</t>
    </r>
  </si>
  <si>
    <t>Armed Forces Pilot</t>
  </si>
  <si>
    <r>
      <t>Over Gen Pilot</t>
    </r>
    <r>
      <rPr>
        <vertAlign val="superscript"/>
        <sz val="9"/>
        <color rgb="FFFF0000"/>
        <rFont val="Arial"/>
        <family val="2"/>
      </rPr>
      <t xml:space="preserve"> </t>
    </r>
    <r>
      <rPr>
        <vertAlign val="superscript"/>
        <sz val="10"/>
        <color rgb="FFFF0000"/>
        <rFont val="Arial"/>
        <family val="2"/>
      </rPr>
      <t>13</t>
    </r>
  </si>
  <si>
    <r>
      <t xml:space="preserve">Small Business Energy Management Pilot (SBEMP) </t>
    </r>
    <r>
      <rPr>
        <vertAlign val="superscript"/>
        <sz val="10"/>
        <color rgb="FFFF0000"/>
        <rFont val="Arial"/>
        <family val="2"/>
      </rPr>
      <t>9</t>
    </r>
  </si>
  <si>
    <t>Constrained Local Capacity Program (CLCP)</t>
  </si>
  <si>
    <r>
      <t>Local Marketing Education &amp; Outreach (LMEO)</t>
    </r>
    <r>
      <rPr>
        <vertAlign val="superscript"/>
        <sz val="9"/>
        <color rgb="FFFF0000"/>
        <rFont val="Arial"/>
        <family val="2"/>
      </rPr>
      <t xml:space="preserve"> </t>
    </r>
    <r>
      <rPr>
        <vertAlign val="superscript"/>
        <sz val="10"/>
        <color rgb="FFFF0000"/>
        <rFont val="Arial"/>
        <family val="2"/>
      </rPr>
      <t>7, 14</t>
    </r>
  </si>
  <si>
    <t>General Admin</t>
  </si>
  <si>
    <r>
      <t xml:space="preserve">IT </t>
    </r>
    <r>
      <rPr>
        <vertAlign val="superscript"/>
        <sz val="10"/>
        <color rgb="FFFF0000"/>
        <rFont val="Arial"/>
        <family val="2"/>
      </rPr>
      <t>6</t>
    </r>
    <r>
      <rPr>
        <vertAlign val="superscript"/>
        <sz val="9"/>
        <color rgb="FFFF0000"/>
        <rFont val="Arial"/>
        <family val="2"/>
      </rPr>
      <t>,</t>
    </r>
    <r>
      <rPr>
        <vertAlign val="superscript"/>
        <sz val="10"/>
        <color rgb="FFFF0000"/>
        <rFont val="Arial"/>
        <family val="2"/>
      </rPr>
      <t>16</t>
    </r>
  </si>
  <si>
    <r>
      <t>EM&amp;V</t>
    </r>
    <r>
      <rPr>
        <vertAlign val="superscript"/>
        <sz val="9"/>
        <color rgb="FFFF0000"/>
        <rFont val="Arial"/>
        <family val="2"/>
      </rPr>
      <t xml:space="preserve"> </t>
    </r>
    <r>
      <rPr>
        <vertAlign val="superscript"/>
        <sz val="10"/>
        <color rgb="FFFF0000"/>
        <rFont val="Arial"/>
        <family val="2"/>
      </rPr>
      <t>8</t>
    </r>
  </si>
  <si>
    <t>Local Capacity Requirements (LCR)</t>
  </si>
  <si>
    <r>
      <t>SW-COM</t>
    </r>
    <r>
      <rPr>
        <vertAlign val="superscript"/>
        <sz val="9"/>
        <color rgb="FFFF0000"/>
        <rFont val="Arial"/>
        <family val="2"/>
      </rPr>
      <t xml:space="preserve"> </t>
    </r>
  </si>
  <si>
    <r>
      <t xml:space="preserve">SW-IND </t>
    </r>
    <r>
      <rPr>
        <vertAlign val="superscript"/>
        <sz val="10"/>
        <color rgb="FFFF0000"/>
        <rFont val="Arial"/>
        <family val="2"/>
      </rPr>
      <t>2, 4</t>
    </r>
    <r>
      <rPr>
        <vertAlign val="superscript"/>
        <sz val="9"/>
        <color rgb="FFFF0000"/>
        <rFont val="Arial"/>
        <family val="2"/>
      </rPr>
      <t>,</t>
    </r>
    <r>
      <rPr>
        <vertAlign val="superscript"/>
        <sz val="10"/>
        <color rgb="FFFF0000"/>
        <rFont val="Arial"/>
        <family val="2"/>
      </rPr>
      <t xml:space="preserve"> 7, 12</t>
    </r>
    <r>
      <rPr>
        <vertAlign val="superscript"/>
        <sz val="9"/>
        <color rgb="FFFF0000"/>
        <rFont val="Arial"/>
        <family val="2"/>
      </rPr>
      <t xml:space="preserve">, </t>
    </r>
    <r>
      <rPr>
        <vertAlign val="superscript"/>
        <sz val="10"/>
        <color rgb="FFFF0000"/>
        <rFont val="Arial"/>
        <family val="2"/>
      </rPr>
      <t>15</t>
    </r>
  </si>
  <si>
    <r>
      <t>SW-AG</t>
    </r>
    <r>
      <rPr>
        <vertAlign val="superscript"/>
        <sz val="9"/>
        <color rgb="FFFF0000"/>
        <rFont val="Arial"/>
        <family val="2"/>
      </rPr>
      <t xml:space="preserve"> </t>
    </r>
    <r>
      <rPr>
        <vertAlign val="superscript"/>
        <sz val="10"/>
        <color rgb="FFFF0000"/>
        <rFont val="Arial"/>
        <family val="2"/>
      </rPr>
      <t>4</t>
    </r>
  </si>
  <si>
    <t xml:space="preserve">Local Marketing Res and Non-Res </t>
  </si>
  <si>
    <t>IDSM DR Com</t>
  </si>
  <si>
    <r>
      <t xml:space="preserve">Behavioral </t>
    </r>
    <r>
      <rPr>
        <vertAlign val="superscript"/>
        <sz val="10"/>
        <color rgb="FFFF0000"/>
        <rFont val="Arial"/>
        <family val="2"/>
      </rPr>
      <t>10</t>
    </r>
  </si>
  <si>
    <t xml:space="preserve">  Total Administrative (O&amp;M) </t>
  </si>
  <si>
    <t>Customer Incentives</t>
  </si>
  <si>
    <r>
      <t>AC Saver Day‐Of</t>
    </r>
    <r>
      <rPr>
        <vertAlign val="superscript"/>
        <sz val="10"/>
        <color rgb="FFFF0000"/>
        <rFont val="Arial"/>
        <family val="2"/>
      </rPr>
      <t xml:space="preserve"> 5,17</t>
    </r>
  </si>
  <si>
    <t xml:space="preserve">Base Interruptible Program (BIP) </t>
  </si>
  <si>
    <t>Technology Deployment (TD)</t>
  </si>
  <si>
    <r>
      <t xml:space="preserve">Technology Incentives (TI) </t>
    </r>
    <r>
      <rPr>
        <vertAlign val="superscript"/>
        <sz val="9"/>
        <color rgb="FFFF0000"/>
        <rFont val="Arial"/>
        <family val="2"/>
      </rPr>
      <t>18</t>
    </r>
  </si>
  <si>
    <t>Small Business Energy Management Pilot (SBEMP)</t>
  </si>
  <si>
    <t>CPPD</t>
  </si>
  <si>
    <r>
      <t xml:space="preserve">SCTD </t>
    </r>
    <r>
      <rPr>
        <vertAlign val="superscript"/>
        <sz val="10"/>
        <color rgb="FFFF0000"/>
        <rFont val="Arial"/>
        <family val="2"/>
      </rPr>
      <t>7</t>
    </r>
  </si>
  <si>
    <r>
      <t xml:space="preserve">PLS </t>
    </r>
    <r>
      <rPr>
        <vertAlign val="superscript"/>
        <sz val="10"/>
        <color rgb="FFFF0000"/>
        <rFont val="Arial"/>
        <family val="2"/>
      </rPr>
      <t>3</t>
    </r>
  </si>
  <si>
    <t>Total Customer Incentives</t>
  </si>
  <si>
    <t xml:space="preserve">Total </t>
  </si>
  <si>
    <t>AMDRMA Account End of Month Balance for Monthly Activity with Interest</t>
  </si>
  <si>
    <r>
      <rPr>
        <vertAlign val="superscript"/>
        <sz val="11"/>
        <color rgb="FFFF0000"/>
        <rFont val="Arial"/>
        <family val="2"/>
      </rPr>
      <t xml:space="preserve">2  </t>
    </r>
    <r>
      <rPr>
        <sz val="11"/>
        <rFont val="Arial"/>
        <family val="2"/>
      </rPr>
      <t>January credit is a result of accrual reversals and a refund of an overpayment to vendor.</t>
    </r>
  </si>
  <si>
    <r>
      <rPr>
        <vertAlign val="superscript"/>
        <sz val="11"/>
        <color rgb="FFFF0000"/>
        <rFont val="Arial"/>
        <family val="2"/>
      </rPr>
      <t>3</t>
    </r>
    <r>
      <rPr>
        <sz val="11"/>
        <rFont val="Arial"/>
        <family val="2"/>
      </rPr>
      <t xml:space="preserve">  Credit is a result of an expense accrued at a higher dollar amount versus what was paid.</t>
    </r>
  </si>
  <si>
    <r>
      <rPr>
        <vertAlign val="superscript"/>
        <sz val="11"/>
        <color rgb="FFFF0000"/>
        <rFont val="Arial"/>
        <family val="2"/>
      </rPr>
      <t>4</t>
    </r>
    <r>
      <rPr>
        <sz val="11"/>
        <rFont val="Arial"/>
        <family val="2"/>
      </rPr>
      <t xml:space="preserve">  February and May credits is related to labor accrual reversal.</t>
    </r>
  </si>
  <si>
    <r>
      <rPr>
        <vertAlign val="superscript"/>
        <sz val="11"/>
        <color rgb="FFFF0000"/>
        <rFont val="Arial"/>
        <family val="2"/>
      </rPr>
      <t xml:space="preserve">5 </t>
    </r>
    <r>
      <rPr>
        <sz val="11"/>
        <rFont val="Arial"/>
        <family val="2"/>
      </rPr>
      <t xml:space="preserve"> February credit is a result of a rejected bill credit due to final account status.</t>
    </r>
  </si>
  <si>
    <r>
      <rPr>
        <vertAlign val="superscript"/>
        <sz val="11"/>
        <color rgb="FFFF0000"/>
        <rFont val="Arial"/>
        <family val="2"/>
      </rPr>
      <t xml:space="preserve">6 </t>
    </r>
    <r>
      <rPr>
        <sz val="11"/>
        <rFont val="Arial"/>
        <family val="2"/>
      </rPr>
      <t xml:space="preserve"> March increase in IT charges represent a reclassification of Journal Entries of IT Quality Assurance charges that were being charged to a different department Internal Order.</t>
    </r>
  </si>
  <si>
    <r>
      <rPr>
        <vertAlign val="superscript"/>
        <sz val="11"/>
        <color rgb="FFFF0000"/>
        <rFont val="Arial"/>
        <family val="2"/>
      </rPr>
      <t>7</t>
    </r>
    <r>
      <rPr>
        <sz val="11"/>
        <rFont val="Arial"/>
        <family val="2"/>
      </rPr>
      <t xml:space="preserve">  April and May credits are a result of a Journal Entry to move charges to the correct program.</t>
    </r>
  </si>
  <si>
    <r>
      <rPr>
        <vertAlign val="superscript"/>
        <sz val="11"/>
        <color rgb="FFFF0000"/>
        <rFont val="Arial"/>
        <family val="2"/>
      </rPr>
      <t xml:space="preserve">8 </t>
    </r>
    <r>
      <rPr>
        <sz val="11"/>
        <rFont val="Arial"/>
        <family val="2"/>
      </rPr>
      <t xml:space="preserve"> April, July, and October credits are related to accrual reversals which occurred in a prior reporting month.</t>
    </r>
  </si>
  <si>
    <r>
      <rPr>
        <vertAlign val="superscript"/>
        <sz val="11"/>
        <color rgb="FFFF0000"/>
        <rFont val="Arial"/>
        <family val="2"/>
      </rPr>
      <t>9</t>
    </r>
    <r>
      <rPr>
        <sz val="11"/>
        <rFont val="Arial"/>
        <family val="2"/>
      </rPr>
      <t xml:space="preserve">  May, August, November and December credits are a result of the labor reversals to clear out Admin Charges from January thru April.</t>
    </r>
  </si>
  <si>
    <r>
      <rPr>
        <vertAlign val="superscript"/>
        <sz val="11"/>
        <color rgb="FFFF0000"/>
        <rFont val="Arial"/>
        <family val="2"/>
      </rPr>
      <t>10</t>
    </r>
    <r>
      <rPr>
        <sz val="11"/>
        <rFont val="Arial"/>
        <family val="2"/>
      </rPr>
      <t xml:space="preserve"> June and October credits are a result of a Journal Entry to reflect the correct allocation split between Energy Efficiency and Demand Response.</t>
    </r>
  </si>
  <si>
    <r>
      <rPr>
        <vertAlign val="superscript"/>
        <sz val="11"/>
        <color rgb="FFFF0000"/>
        <rFont val="Arial"/>
        <family val="2"/>
      </rPr>
      <t xml:space="preserve">11 </t>
    </r>
    <r>
      <rPr>
        <sz val="11"/>
        <rFont val="Arial"/>
        <family val="2"/>
      </rPr>
      <t>July credit is a result of a Journal Entry to move non-labor charges to the correct Base Interruptible Program (BIP) and Technical Incentives (TI) to Information Technology (IT).</t>
    </r>
  </si>
  <si>
    <r>
      <rPr>
        <vertAlign val="superscript"/>
        <sz val="11"/>
        <color rgb="FFFF0000"/>
        <rFont val="Arial"/>
        <family val="2"/>
      </rPr>
      <t>12</t>
    </r>
    <r>
      <rPr>
        <sz val="11"/>
        <rFont val="Arial"/>
        <family val="2"/>
      </rPr>
      <t xml:space="preserve"> August credit is a result of a Journal Entry to move non-labor charges to reflect the correct cost allocation.</t>
    </r>
  </si>
  <si>
    <r>
      <rPr>
        <vertAlign val="superscript"/>
        <sz val="11"/>
        <color rgb="FFFF0000"/>
        <rFont val="Arial"/>
        <family val="2"/>
      </rPr>
      <t>13</t>
    </r>
    <r>
      <rPr>
        <sz val="11"/>
        <rFont val="Arial"/>
        <family val="2"/>
      </rPr>
      <t xml:space="preserve"> August credit is a result of labor accrual reversals and labor allocation corrections.</t>
    </r>
  </si>
  <si>
    <r>
      <rPr>
        <vertAlign val="superscript"/>
        <sz val="11"/>
        <color rgb="FFFF0000"/>
        <rFont val="Arial"/>
        <family val="2"/>
      </rPr>
      <t>14</t>
    </r>
    <r>
      <rPr>
        <sz val="11"/>
        <rFont val="Arial"/>
        <family val="2"/>
      </rPr>
      <t xml:space="preserve"> All October credits are a result of Quarter End Accrual Reversals.</t>
    </r>
  </si>
  <si>
    <r>
      <rPr>
        <vertAlign val="superscript"/>
        <sz val="11"/>
        <color rgb="FFFF0000"/>
        <rFont val="Arial"/>
        <family val="2"/>
      </rPr>
      <t>15</t>
    </r>
    <r>
      <rPr>
        <sz val="11"/>
        <rFont val="Arial"/>
        <family val="2"/>
      </rPr>
      <t xml:space="preserve"> October credit is a result of a discount for services rendered.</t>
    </r>
  </si>
  <si>
    <r>
      <rPr>
        <vertAlign val="superscript"/>
        <sz val="11"/>
        <color rgb="FFFF0000"/>
        <rFont val="Arial"/>
        <family val="2"/>
      </rPr>
      <t>16</t>
    </r>
    <r>
      <rPr>
        <sz val="11"/>
        <rFont val="Arial"/>
        <family val="2"/>
      </rPr>
      <t xml:space="preserve"> November credit is related to IT Demand Response Market Integration (DRMI) charges which were capitalized.</t>
    </r>
  </si>
  <si>
    <r>
      <rPr>
        <vertAlign val="superscript"/>
        <sz val="11"/>
        <color rgb="FFFF0000"/>
        <rFont val="Arial"/>
        <family val="2"/>
      </rPr>
      <t>17</t>
    </r>
    <r>
      <rPr>
        <sz val="11"/>
        <rFont val="Arial"/>
        <family val="2"/>
      </rPr>
      <t xml:space="preserve"> December Credit is a result of an accrual reversal that was more than final invoice.</t>
    </r>
  </si>
  <si>
    <r>
      <rPr>
        <vertAlign val="superscript"/>
        <sz val="11"/>
        <color rgb="FFFF0000"/>
        <rFont val="Arial"/>
        <family val="2"/>
      </rPr>
      <t>18</t>
    </r>
    <r>
      <rPr>
        <sz val="11"/>
        <rFont val="Arial"/>
        <family val="2"/>
      </rPr>
      <t xml:space="preserve"> Correction to January Expenditure total;  cell contained a formula error which resulted in a $13,416 overstatement for Year To Date total</t>
    </r>
  </si>
  <si>
    <t>GENERAL RATE CASE PROGRAMS ($000)</t>
  </si>
  <si>
    <t>Year-to-Date Total Cost</t>
  </si>
  <si>
    <t>Programs in General Rate Case</t>
  </si>
  <si>
    <t xml:space="preserve">AL-TOU-CP </t>
  </si>
  <si>
    <r>
      <t>CPP-D</t>
    </r>
    <r>
      <rPr>
        <vertAlign val="superscript"/>
        <sz val="10"/>
        <color rgb="FFFF0000"/>
        <rFont val="Arial"/>
        <family val="2"/>
      </rPr>
      <t xml:space="preserve"> </t>
    </r>
  </si>
  <si>
    <t>Peak Generation (RBRP)</t>
  </si>
  <si>
    <t xml:space="preserve">  Total Administrative (O&amp;M)</t>
  </si>
  <si>
    <t>Capital</t>
  </si>
  <si>
    <r>
      <t>Peak Generation (RBRP)</t>
    </r>
    <r>
      <rPr>
        <b/>
        <vertAlign val="superscript"/>
        <sz val="10"/>
        <color rgb="FFFF0000"/>
        <rFont val="Arial"/>
        <family val="2"/>
      </rPr>
      <t xml:space="preserve"> </t>
    </r>
  </si>
  <si>
    <t xml:space="preserve">  Total Capital</t>
  </si>
  <si>
    <t>Measurement and Evaluation</t>
  </si>
  <si>
    <t xml:space="preserve">Peak Generation (RBRP) </t>
  </si>
  <si>
    <t>Total M&amp;E</t>
  </si>
  <si>
    <t>AL-TOU-CP</t>
  </si>
  <si>
    <t xml:space="preserve">Revenue from Penalties </t>
  </si>
  <si>
    <t>Total GRC Program Costs</t>
  </si>
  <si>
    <t>DIRECT PARTICIPATION DR MEMO ACCOUNT ($000)</t>
  </si>
  <si>
    <t>Programs in Direct Participation Demand Response Memorandum Account (DPDRMA)</t>
  </si>
  <si>
    <r>
      <t xml:space="preserve">Rule 32 </t>
    </r>
    <r>
      <rPr>
        <b/>
        <vertAlign val="superscript"/>
        <sz val="10"/>
        <color rgb="FFFF0000"/>
        <rFont val="Arial"/>
        <family val="2"/>
      </rPr>
      <t>8</t>
    </r>
  </si>
  <si>
    <r>
      <t xml:space="preserve">Rule 32 Operations </t>
    </r>
    <r>
      <rPr>
        <vertAlign val="superscript"/>
        <sz val="10"/>
        <color rgb="FFFF0000"/>
        <rFont val="Arial"/>
        <family val="2"/>
      </rPr>
      <t>2</t>
    </r>
  </si>
  <si>
    <t>Rule 32 Meter</t>
  </si>
  <si>
    <r>
      <t>Rule 32 CISR Enhancement</t>
    </r>
    <r>
      <rPr>
        <b/>
        <vertAlign val="superscript"/>
        <sz val="10"/>
        <color rgb="FFFF0000"/>
        <rFont val="Arial"/>
        <family val="2"/>
      </rPr>
      <t xml:space="preserve"> </t>
    </r>
    <r>
      <rPr>
        <vertAlign val="superscript"/>
        <sz val="10"/>
        <color rgb="FFFF0000"/>
        <rFont val="Arial"/>
        <family val="2"/>
      </rPr>
      <t>3,5</t>
    </r>
  </si>
  <si>
    <r>
      <t xml:space="preserve">Rule 32 Click-Through </t>
    </r>
    <r>
      <rPr>
        <vertAlign val="superscript"/>
        <sz val="10"/>
        <color rgb="FFFF0000"/>
        <rFont val="Arial"/>
        <family val="2"/>
      </rPr>
      <t>1, 4</t>
    </r>
    <r>
      <rPr>
        <b/>
        <vertAlign val="superscript"/>
        <sz val="10"/>
        <color rgb="FFFF0000"/>
        <rFont val="Arial"/>
        <family val="2"/>
      </rPr>
      <t>, 6, 7</t>
    </r>
  </si>
  <si>
    <t>Capital Related Costs</t>
  </si>
  <si>
    <t>Depreciation</t>
  </si>
  <si>
    <t>DPDRMA Tax</t>
  </si>
  <si>
    <t>DPDRMA Property Tax</t>
  </si>
  <si>
    <t>Return on Rate Base</t>
  </si>
  <si>
    <t>Total DPDRMA Program Costs</t>
  </si>
  <si>
    <t>Total DPDRMA Program Costs with Interest</t>
  </si>
  <si>
    <r>
      <rPr>
        <vertAlign val="superscript"/>
        <sz val="11"/>
        <color rgb="FFFF0000"/>
        <rFont val="Arial"/>
        <family val="2"/>
      </rPr>
      <t>1</t>
    </r>
    <r>
      <rPr>
        <vertAlign val="superscript"/>
        <sz val="11"/>
        <rFont val="Arial"/>
        <family val="2"/>
      </rPr>
      <t xml:space="preserve"> </t>
    </r>
    <r>
      <rPr>
        <sz val="11"/>
        <rFont val="Arial"/>
        <family val="2"/>
      </rPr>
      <t>Rule 32 click-through was approved in Decision 17-06-005.</t>
    </r>
  </si>
  <si>
    <r>
      <rPr>
        <vertAlign val="superscript"/>
        <sz val="11"/>
        <color rgb="FFFF0000"/>
        <rFont val="Arial"/>
        <family val="2"/>
      </rPr>
      <t>2</t>
    </r>
    <r>
      <rPr>
        <sz val="11"/>
        <rFont val="Arial"/>
        <family val="2"/>
      </rPr>
      <t xml:space="preserve"> Rule 32 Operations was approved in AL 3191-E.</t>
    </r>
  </si>
  <si>
    <r>
      <rPr>
        <vertAlign val="superscript"/>
        <sz val="11"/>
        <color rgb="FFFF0000"/>
        <rFont val="Arial"/>
        <family val="2"/>
      </rPr>
      <t>3</t>
    </r>
    <r>
      <rPr>
        <sz val="11"/>
        <rFont val="Arial"/>
        <family val="2"/>
      </rPr>
      <t xml:space="preserve"> Rule 32 CISR Enhancement was approved in AL 3136-E.</t>
    </r>
  </si>
  <si>
    <r>
      <rPr>
        <vertAlign val="superscript"/>
        <sz val="11"/>
        <color rgb="FFFF0000"/>
        <rFont val="Arial"/>
        <family val="2"/>
      </rPr>
      <t xml:space="preserve">4 </t>
    </r>
    <r>
      <rPr>
        <sz val="11"/>
        <rFont val="Arial"/>
        <family val="2"/>
      </rPr>
      <t>May credit is related to labor accrual reversal.</t>
    </r>
  </si>
  <si>
    <r>
      <rPr>
        <vertAlign val="superscript"/>
        <sz val="11"/>
        <color rgb="FFFF0000"/>
        <rFont val="Arial"/>
        <family val="2"/>
      </rPr>
      <t xml:space="preserve">5 </t>
    </r>
    <r>
      <rPr>
        <sz val="11"/>
        <rFont val="Arial"/>
        <family val="2"/>
      </rPr>
      <t>July, September, and October credits are related to labor and accounting  accrual reversals.</t>
    </r>
  </si>
  <si>
    <r>
      <rPr>
        <vertAlign val="superscript"/>
        <sz val="11"/>
        <color rgb="FFFF0000"/>
        <rFont val="Arial"/>
        <family val="2"/>
      </rPr>
      <t>6</t>
    </r>
    <r>
      <rPr>
        <sz val="11"/>
        <rFont val="Arial"/>
        <family val="2"/>
      </rPr>
      <t xml:space="preserve"> November Credit is a result of a Journal Entry to move costs to the correct program Internal Order (I/O).</t>
    </r>
  </si>
  <si>
    <r>
      <rPr>
        <vertAlign val="superscript"/>
        <sz val="10"/>
        <color rgb="FFFF0000"/>
        <rFont val="Arial"/>
        <family val="2"/>
      </rPr>
      <t>7</t>
    </r>
    <r>
      <rPr>
        <sz val="10"/>
        <rFont val="Arial"/>
        <family val="2"/>
      </rPr>
      <t xml:space="preserve"> August total did not include non-labor charge of $107. Changed from $941 to $1,048.</t>
    </r>
  </si>
  <si>
    <r>
      <rPr>
        <vertAlign val="superscript"/>
        <sz val="11"/>
        <color rgb="FFFF0000"/>
        <rFont val="Arial"/>
        <family val="2"/>
      </rPr>
      <t xml:space="preserve">8 </t>
    </r>
    <r>
      <rPr>
        <sz val="11"/>
        <rFont val="Arial"/>
        <family val="2"/>
      </rPr>
      <t>December credit is related to labor accrual reversal.</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</si>
</sst>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6" formatCode="&quot;$&quot;#,##0_);[Red]\(&quot;$&quot;#,##0\)"/>
    <numFmt numFmtId="44" formatCode="_(&quot;$&quot;* #,##0.00_);_(&quot;$&quot;* \(#,##0.00\);_(&quot;$&quot;* &quot;-&quot;??_);_(@_)"/>
    <numFmt numFmtId="43" formatCode="_(* #,##0.00_);_(* \(#,##0.00\);_(* &quot;-&quot;??_);_(@_)"/>
    <numFmt numFmtId="164" formatCode="&quot;$&quot;#,##0.0_);[Red]\(&quot;$&quot;#,##0.0\)"/>
    <numFmt numFmtId="165" formatCode="#,##0.0_);[Red]\(#,##0.0\)"/>
    <numFmt numFmtId="166" formatCode="#,##0.0"/>
    <numFmt numFmtId="167" formatCode="0.0%"/>
    <numFmt numFmtId="168" formatCode="_(&quot;$&quot;* #,##0_);_(&quot;$&quot;* \(#,##0\);_(&quot;$&quot;* &quot;-&quot;??_);_(@_)"/>
    <numFmt numFmtId="169" formatCode="_(* #,##0.0_);_(* \(#,##0.0\);_(* &quot;-&quot;??_);_(@_)"/>
    <numFmt numFmtId="170" formatCode="_(* #,##0_);_(* \(#,##0\);_(* &quot;-&quot;??_);_(@_)"/>
    <numFmt numFmtId="171" formatCode="mm/dd/yy;@"/>
    <numFmt numFmtId="172" formatCode="0.0"/>
    <numFmt numFmtId="173" formatCode="0.0_);[Red]\(0.0\)"/>
    <numFmt numFmtId="174" formatCode="0.00_);[Red]\(0.00\)"/>
    <numFmt numFmtId="175" formatCode="[$-F800]dddd\,\ mmmm\ dd\,\ yyyy"/>
    <numFmt numFmtId="176" formatCode="#,##0.0_);\(#,##0.0\)"/>
    <numFmt numFmtId="177" formatCode="&quot;$&quot;#,##0"/>
    <numFmt numFmtId="178" formatCode="0.0000"/>
  </numFmts>
  <fonts count="95">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sz val="10"/>
      <color indexed="8"/>
      <name val="Arial"/>
      <family val="2"/>
    </font>
    <font>
      <b/>
      <i/>
      <sz val="10"/>
      <name val="Arial"/>
      <family val="2"/>
    </font>
    <font>
      <sz val="10"/>
      <color indexed="8"/>
      <name val="Arial"/>
      <family val="2"/>
    </font>
    <font>
      <sz val="10"/>
      <color indexed="9"/>
      <name val="Arial"/>
      <family val="2"/>
    </font>
    <font>
      <sz val="11"/>
      <color indexed="9"/>
      <name val="Calibri"/>
      <family val="2"/>
    </font>
    <font>
      <sz val="11"/>
      <color indexed="8"/>
      <name val="Calibri"/>
      <family val="2"/>
    </font>
    <font>
      <sz val="11"/>
      <color indexed="16"/>
      <name val="Calibri"/>
      <family val="2"/>
    </font>
    <font>
      <b/>
      <sz val="11"/>
      <color indexed="53"/>
      <name val="Calibri"/>
      <family val="2"/>
    </font>
    <font>
      <b/>
      <sz val="11"/>
      <color indexed="9"/>
      <name val="Calibri"/>
      <family val="2"/>
    </font>
    <font>
      <b/>
      <sz val="11"/>
      <color indexed="8"/>
      <name val="Calibri"/>
      <family val="2"/>
    </font>
    <font>
      <i/>
      <sz val="10"/>
      <color indexed="23"/>
      <name val="Arial"/>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sz val="11"/>
      <color indexed="48"/>
      <name val="Calibri"/>
      <family val="2"/>
    </font>
    <font>
      <sz val="11"/>
      <color indexed="53"/>
      <name val="Calibri"/>
      <family val="2"/>
    </font>
    <font>
      <sz val="11"/>
      <color indexed="60"/>
      <name val="Calibri"/>
      <family val="2"/>
    </font>
    <font>
      <b/>
      <sz val="11"/>
      <color indexed="63"/>
      <name val="Calibri"/>
      <family val="2"/>
    </font>
    <font>
      <b/>
      <sz val="10"/>
      <color indexed="8"/>
      <name val="Arial"/>
      <family val="2"/>
    </font>
    <font>
      <b/>
      <sz val="10"/>
      <color indexed="39"/>
      <name val="Arial"/>
      <family val="2"/>
    </font>
    <font>
      <b/>
      <sz val="12"/>
      <color indexed="8"/>
      <name val="Arial"/>
      <family val="2"/>
    </font>
    <font>
      <sz val="10"/>
      <color indexed="39"/>
      <name val="Arial"/>
      <family val="2"/>
    </font>
    <font>
      <sz val="19"/>
      <color indexed="48"/>
      <name val="Arial"/>
      <family val="2"/>
    </font>
    <font>
      <sz val="10"/>
      <color indexed="10"/>
      <name val="Arial"/>
      <family val="2"/>
    </font>
    <font>
      <b/>
      <sz val="18"/>
      <color indexed="62"/>
      <name val="Cambria"/>
      <family val="2"/>
    </font>
    <font>
      <sz val="11"/>
      <color indexed="10"/>
      <name val="Calibri"/>
      <family val="2"/>
    </font>
    <font>
      <sz val="8"/>
      <name val="Arial"/>
      <family val="2"/>
    </font>
    <font>
      <b/>
      <sz val="10"/>
      <color indexed="10"/>
      <name val="Arial"/>
      <family val="2"/>
    </font>
    <font>
      <b/>
      <sz val="13"/>
      <name val="Arial"/>
      <family val="2"/>
    </font>
    <font>
      <sz val="10"/>
      <color indexed="30"/>
      <name val="Arial"/>
      <family val="2"/>
    </font>
    <font>
      <b/>
      <strike/>
      <sz val="10"/>
      <color indexed="8"/>
      <name val="Arial"/>
      <family val="2"/>
    </font>
    <font>
      <strike/>
      <sz val="10"/>
      <color indexed="8"/>
      <name val="Arial"/>
      <family val="2"/>
    </font>
    <font>
      <sz val="10"/>
      <name val="Arial"/>
      <family val="2"/>
    </font>
    <font>
      <sz val="10"/>
      <name val="Arial"/>
      <family val="2"/>
    </font>
    <font>
      <sz val="9"/>
      <name val="Calibri"/>
      <family val="2"/>
    </font>
    <font>
      <sz val="10"/>
      <color indexed="8"/>
      <name val="Arial"/>
      <family val="2"/>
    </font>
    <font>
      <b/>
      <sz val="11"/>
      <color rgb="FF1F497D"/>
      <name val="Calibri"/>
      <family val="2"/>
    </font>
    <font>
      <sz val="10"/>
      <color rgb="FF0070C0"/>
      <name val="Arial"/>
      <family val="2"/>
    </font>
    <font>
      <b/>
      <sz val="12"/>
      <name val="Arial"/>
      <family val="2"/>
    </font>
    <font>
      <sz val="10"/>
      <name val="Arial"/>
      <family val="2"/>
    </font>
    <font>
      <sz val="10"/>
      <color theme="1"/>
      <name val="Arial"/>
      <family val="2"/>
    </font>
    <font>
      <sz val="10"/>
      <name val="Arial"/>
      <family val="2"/>
    </font>
    <font>
      <sz val="10"/>
      <name val="Arial"/>
      <family val="2"/>
    </font>
    <font>
      <i/>
      <sz val="11"/>
      <color rgb="FF1F497D"/>
      <name val="Calibri"/>
      <family val="2"/>
    </font>
    <font>
      <sz val="10"/>
      <name val="Arial"/>
      <family val="2"/>
    </font>
    <font>
      <sz val="11"/>
      <name val="Arial"/>
      <family val="2"/>
    </font>
    <font>
      <vertAlign val="superscript"/>
      <sz val="11"/>
      <color rgb="FFFF0000"/>
      <name val="Arial"/>
      <family val="2"/>
    </font>
    <font>
      <sz val="11"/>
      <color rgb="FF1F497D"/>
      <name val="Calibri"/>
      <family val="2"/>
    </font>
    <font>
      <b/>
      <vertAlign val="superscript"/>
      <sz val="10"/>
      <color rgb="FFFF0000"/>
      <name val="Arial"/>
      <family val="2"/>
    </font>
    <font>
      <b/>
      <sz val="9"/>
      <name val="Arial"/>
      <family val="2"/>
    </font>
    <font>
      <sz val="9"/>
      <name val="Arial"/>
      <family val="2"/>
    </font>
    <font>
      <vertAlign val="superscript"/>
      <sz val="10"/>
      <name val="Arial"/>
      <family val="2"/>
    </font>
    <font>
      <b/>
      <vertAlign val="superscript"/>
      <sz val="12"/>
      <color rgb="FFFF0000"/>
      <name val="Arial"/>
      <family val="2"/>
    </font>
    <font>
      <b/>
      <sz val="11"/>
      <name val="Arial"/>
      <family val="2"/>
    </font>
    <font>
      <sz val="12"/>
      <name val="Arial"/>
      <family val="2"/>
    </font>
    <font>
      <sz val="11"/>
      <color indexed="8"/>
      <name val="Arial"/>
      <family val="2"/>
    </font>
    <font>
      <b/>
      <sz val="11"/>
      <color indexed="8"/>
      <name val="Arial"/>
      <family val="2"/>
    </font>
    <font>
      <b/>
      <sz val="10"/>
      <color rgb="FFFF0000"/>
      <name val="Arial"/>
      <family val="2"/>
    </font>
    <font>
      <sz val="10"/>
      <name val="Arial"/>
      <family val="2"/>
    </font>
    <font>
      <sz val="10"/>
      <name val="Calibri"/>
      <family val="2"/>
    </font>
    <font>
      <vertAlign val="superscript"/>
      <sz val="11"/>
      <name val="Arial"/>
      <family val="2"/>
    </font>
    <font>
      <b/>
      <sz val="10"/>
      <name val="Calibri"/>
      <family val="2"/>
    </font>
    <font>
      <b/>
      <sz val="12"/>
      <name val="Calibri"/>
      <family val="2"/>
    </font>
    <font>
      <b/>
      <sz val="10"/>
      <color indexed="8"/>
      <name val="Calibri"/>
      <family val="2"/>
    </font>
    <font>
      <vertAlign val="superscript"/>
      <sz val="10"/>
      <color rgb="FFFF0000"/>
      <name val="Arial"/>
      <family val="2"/>
    </font>
    <font>
      <vertAlign val="superscript"/>
      <sz val="12"/>
      <color rgb="FFFF0000"/>
      <name val="Arial"/>
      <family val="2"/>
    </font>
    <font>
      <sz val="12"/>
      <color rgb="FF000000"/>
      <name val="Arial"/>
      <family val="2"/>
    </font>
    <font>
      <vertAlign val="superscript"/>
      <sz val="9"/>
      <color rgb="FFFF0000"/>
      <name val="Arial"/>
      <family val="2"/>
    </font>
    <font>
      <b/>
      <sz val="14"/>
      <color indexed="8"/>
      <name val="Arial"/>
      <family val="2"/>
    </font>
    <font>
      <b/>
      <sz val="16"/>
      <color indexed="8"/>
      <name val="Arial"/>
      <family val="2"/>
    </font>
    <font>
      <sz val="12"/>
      <color theme="1"/>
      <name val="Arial"/>
      <family val="2"/>
    </font>
    <font>
      <sz val="10"/>
      <name val="Century Gothic"/>
      <family val="2"/>
    </font>
    <font>
      <sz val="11"/>
      <name val="Calibri"/>
      <family val="2"/>
    </font>
    <font>
      <sz val="12"/>
      <color indexed="8"/>
      <name val="Arial"/>
      <family val="2"/>
    </font>
    <font>
      <b/>
      <vertAlign val="superscript"/>
      <sz val="10"/>
      <color rgb="FFFF0000"/>
      <name val="Calibri"/>
      <family val="2"/>
    </font>
    <font>
      <b/>
      <vertAlign val="superscript"/>
      <sz val="10"/>
      <name val="Arial"/>
      <family val="2"/>
    </font>
    <font>
      <b/>
      <sz val="12"/>
      <name val="Ariel"/>
    </font>
    <font>
      <sz val="10"/>
      <color theme="1"/>
      <name val="Century Gothic"/>
      <family val="2"/>
    </font>
    <font>
      <b/>
      <sz val="10"/>
      <color rgb="FFFFFFFF"/>
      <name val="Arial"/>
      <family val="2"/>
    </font>
  </fonts>
  <fills count="53">
    <fill>
      <patternFill patternType="none"/>
    </fill>
    <fill>
      <patternFill patternType="gray125"/>
    </fill>
    <fill>
      <patternFill patternType="solid">
        <fgColor indexed="40"/>
      </patternFill>
    </fill>
    <fill>
      <patternFill patternType="solid">
        <fgColor indexed="29"/>
      </patternFill>
    </fill>
    <fill>
      <patternFill patternType="solid">
        <fgColor indexed="26"/>
      </patternFill>
    </fill>
    <fill>
      <patternFill patternType="solid">
        <fgColor indexed="9"/>
      </patternFill>
    </fill>
    <fill>
      <patternFill patternType="solid">
        <fgColor indexed="44"/>
      </patternFill>
    </fill>
    <fill>
      <patternFill patternType="solid">
        <fgColor indexed="45"/>
      </patternFill>
    </fill>
    <fill>
      <patternFill patternType="solid">
        <fgColor indexed="54"/>
      </patternFill>
    </fill>
    <fill>
      <patternFill patternType="solid">
        <fgColor indexed="57"/>
      </patternFill>
    </fill>
    <fill>
      <patternFill patternType="solid">
        <fgColor indexed="22"/>
      </patternFill>
    </fill>
    <fill>
      <patternFill patternType="solid">
        <fgColor indexed="47"/>
      </patternFill>
    </fill>
    <fill>
      <patternFill patternType="solid">
        <fgColor indexed="48"/>
        <bgColor indexed="48"/>
      </patternFill>
    </fill>
    <fill>
      <patternFill patternType="solid">
        <fgColor indexed="44"/>
        <bgColor indexed="44"/>
      </patternFill>
    </fill>
    <fill>
      <patternFill patternType="solid">
        <fgColor indexed="54"/>
        <bgColor indexed="54"/>
      </patternFill>
    </fill>
    <fill>
      <patternFill patternType="solid">
        <fgColor indexed="24"/>
        <bgColor indexed="24"/>
      </patternFill>
    </fill>
    <fill>
      <patternFill patternType="solid">
        <fgColor indexed="25"/>
        <bgColor indexed="25"/>
      </patternFill>
    </fill>
    <fill>
      <patternFill patternType="solid">
        <fgColor indexed="15"/>
        <bgColor indexed="15"/>
      </patternFill>
    </fill>
    <fill>
      <patternFill patternType="solid">
        <fgColor indexed="45"/>
        <bgColor indexed="45"/>
      </patternFill>
    </fill>
    <fill>
      <patternFill patternType="solid">
        <fgColor indexed="55"/>
        <bgColor indexed="55"/>
      </patternFill>
    </fill>
    <fill>
      <patternFill patternType="solid">
        <fgColor indexed="41"/>
        <bgColor indexed="41"/>
      </patternFill>
    </fill>
    <fill>
      <patternFill patternType="solid">
        <fgColor indexed="40"/>
        <bgColor indexed="40"/>
      </patternFill>
    </fill>
    <fill>
      <patternFill patternType="solid">
        <fgColor indexed="22"/>
        <bgColor indexed="22"/>
      </patternFill>
    </fill>
    <fill>
      <patternFill patternType="solid">
        <fgColor indexed="23"/>
        <bgColor indexed="23"/>
      </patternFill>
    </fill>
    <fill>
      <patternFill patternType="solid">
        <fgColor indexed="49"/>
        <bgColor indexed="49"/>
      </patternFill>
    </fill>
    <fill>
      <patternFill patternType="solid">
        <fgColor indexed="52"/>
        <bgColor indexed="52"/>
      </patternFill>
    </fill>
    <fill>
      <patternFill patternType="solid">
        <fgColor indexed="26"/>
        <bgColor indexed="26"/>
      </patternFill>
    </fill>
    <fill>
      <patternFill patternType="solid">
        <fgColor indexed="47"/>
        <bgColor indexed="47"/>
      </patternFill>
    </fill>
    <fill>
      <patternFill patternType="solid">
        <fgColor indexed="9"/>
        <bgColor indexed="9"/>
      </patternFill>
    </fill>
    <fill>
      <patternFill patternType="lightUp">
        <fgColor indexed="9"/>
        <bgColor indexed="55"/>
      </patternFill>
    </fill>
    <fill>
      <patternFill patternType="lightUp">
        <fgColor indexed="9"/>
        <bgColor indexed="29"/>
      </patternFill>
    </fill>
    <fill>
      <patternFill patternType="lightUp">
        <fgColor indexed="9"/>
        <bgColor indexed="57"/>
      </patternFill>
    </fill>
    <fill>
      <patternFill patternType="solid">
        <fgColor indexed="42"/>
        <bgColor indexed="42"/>
      </patternFill>
    </fill>
    <fill>
      <patternFill patternType="solid">
        <fgColor indexed="43"/>
      </patternFill>
    </fill>
    <fill>
      <patternFill patternType="solid">
        <fgColor indexed="10"/>
      </patternFill>
    </fill>
    <fill>
      <patternFill patternType="solid">
        <fgColor indexed="51"/>
      </patternFill>
    </fill>
    <fill>
      <patternFill patternType="solid">
        <fgColor indexed="52"/>
      </patternFill>
    </fill>
    <fill>
      <patternFill patternType="solid">
        <fgColor indexed="53"/>
      </patternFill>
    </fill>
    <fill>
      <patternFill patternType="solid">
        <fgColor indexed="50"/>
      </patternFill>
    </fill>
    <fill>
      <patternFill patternType="solid">
        <fgColor indexed="11"/>
      </patternFill>
    </fill>
    <fill>
      <patternFill patternType="lightUp">
        <fgColor indexed="48"/>
        <bgColor indexed="41"/>
      </patternFill>
    </fill>
    <fill>
      <patternFill patternType="solid">
        <fgColor indexed="41"/>
      </patternFill>
    </fill>
    <fill>
      <patternFill patternType="solid">
        <fgColor indexed="15"/>
      </patternFill>
    </fill>
    <fill>
      <patternFill patternType="solid">
        <fgColor indexed="9"/>
        <bgColor indexed="64"/>
      </patternFill>
    </fill>
    <fill>
      <patternFill patternType="solid">
        <fgColor indexed="65"/>
        <bgColor indexed="64"/>
      </patternFill>
    </fill>
    <fill>
      <patternFill patternType="solid">
        <fgColor indexed="55"/>
        <bgColor indexed="64"/>
      </patternFill>
    </fill>
    <fill>
      <patternFill patternType="solid">
        <fgColor indexed="23"/>
        <bgColor indexed="64"/>
      </patternFill>
    </fill>
    <fill>
      <patternFill patternType="solid">
        <fgColor theme="0"/>
        <bgColor indexed="64"/>
      </patternFill>
    </fill>
    <fill>
      <patternFill patternType="solid">
        <fgColor theme="0" tint="-0.14999847407452621"/>
        <bgColor indexed="64"/>
      </patternFill>
    </fill>
    <fill>
      <patternFill patternType="solid">
        <fgColor theme="2"/>
        <bgColor indexed="64"/>
      </patternFill>
    </fill>
    <fill>
      <patternFill patternType="solid">
        <fgColor theme="6" tint="0.59999389629810485"/>
        <bgColor indexed="64"/>
      </patternFill>
    </fill>
    <fill>
      <patternFill patternType="solid">
        <fgColor rgb="FFFFFF00"/>
        <bgColor indexed="64"/>
      </patternFill>
    </fill>
    <fill>
      <patternFill patternType="solid">
        <fgColor indexed="49"/>
      </patternFill>
    </fill>
  </fills>
  <borders count="90">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8"/>
      </bottom>
      <diagonal/>
    </border>
    <border>
      <left/>
      <right/>
      <top/>
      <bottom style="thick">
        <color indexed="22"/>
      </bottom>
      <diagonal/>
    </border>
    <border>
      <left/>
      <right/>
      <top/>
      <bottom style="medium">
        <color indexed="24"/>
      </bottom>
      <diagonal/>
    </border>
    <border>
      <left/>
      <right/>
      <top/>
      <bottom style="double">
        <color indexed="5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style="thin">
        <color indexed="64"/>
      </left>
      <right style="thin">
        <color indexed="64"/>
      </right>
      <top style="thin">
        <color indexed="64"/>
      </top>
      <bottom style="thin">
        <color indexed="64"/>
      </bottom>
      <diagonal/>
    </border>
    <border>
      <left/>
      <right/>
      <top style="thin">
        <color indexed="48"/>
      </top>
      <bottom style="double">
        <color indexed="48"/>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style="double">
        <color indexed="64"/>
      </top>
      <bottom style="thin">
        <color indexed="64"/>
      </bottom>
      <diagonal/>
    </border>
    <border>
      <left/>
      <right/>
      <top style="thin">
        <color indexed="64"/>
      </top>
      <bottom/>
      <diagonal/>
    </border>
    <border>
      <left style="thin">
        <color indexed="64"/>
      </left>
      <right style="thin">
        <color indexed="64"/>
      </right>
      <top/>
      <bottom style="double">
        <color indexed="64"/>
      </bottom>
      <diagonal/>
    </border>
    <border>
      <left/>
      <right/>
      <top/>
      <bottom style="double">
        <color indexed="64"/>
      </bottom>
      <diagonal/>
    </border>
    <border>
      <left/>
      <right/>
      <top style="double">
        <color indexed="64"/>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top style="medium">
        <color indexed="64"/>
      </top>
      <bottom/>
      <diagonal/>
    </border>
    <border>
      <left/>
      <right style="thin">
        <color indexed="64"/>
      </right>
      <top style="medium">
        <color indexed="64"/>
      </top>
      <bottom/>
      <diagonal/>
    </border>
    <border>
      <left style="medium">
        <color indexed="64"/>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bottom/>
      <diagonal/>
    </border>
    <border>
      <left/>
      <right style="thin">
        <color indexed="64"/>
      </right>
      <top/>
      <bottom/>
      <diagonal/>
    </border>
    <border>
      <left/>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bottom style="medium">
        <color indexed="64"/>
      </bottom>
      <diagonal/>
    </border>
    <border>
      <left/>
      <right style="thin">
        <color indexed="64"/>
      </right>
      <top style="thin">
        <color indexed="64"/>
      </top>
      <bottom/>
      <diagonal/>
    </border>
    <border>
      <left/>
      <right style="thin">
        <color indexed="64"/>
      </right>
      <top style="double">
        <color indexed="64"/>
      </top>
      <bottom style="thin">
        <color indexed="64"/>
      </bottom>
      <diagonal/>
    </border>
    <border>
      <left/>
      <right/>
      <top style="double">
        <color indexed="64"/>
      </top>
      <bottom/>
      <diagonal/>
    </border>
    <border>
      <left style="thin">
        <color indexed="64"/>
      </left>
      <right/>
      <top/>
      <bottom style="medium">
        <color indexed="64"/>
      </bottom>
      <diagonal/>
    </border>
    <border>
      <left style="medium">
        <color indexed="64"/>
      </left>
      <right style="thin">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medium">
        <color indexed="64"/>
      </top>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style="medium">
        <color indexed="64"/>
      </right>
      <top style="double">
        <color indexed="64"/>
      </top>
      <bottom/>
      <diagonal/>
    </border>
    <border>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right style="medium">
        <color indexed="64"/>
      </right>
      <top/>
      <bottom/>
      <diagonal/>
    </border>
    <border>
      <left style="medium">
        <color indexed="64"/>
      </left>
      <right/>
      <top style="thin">
        <color indexed="64"/>
      </top>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theme="0"/>
      </left>
      <right/>
      <top/>
      <bottom/>
      <diagonal/>
    </border>
    <border>
      <left/>
      <right/>
      <top style="thick">
        <color theme="0"/>
      </top>
      <bottom/>
      <diagonal/>
    </border>
    <border>
      <left style="thin">
        <color theme="0"/>
      </left>
      <right/>
      <top style="thick">
        <color theme="0"/>
      </top>
      <bottom/>
      <diagonal/>
    </border>
    <border>
      <left style="thin">
        <color indexed="18"/>
      </left>
      <right style="thin">
        <color indexed="18"/>
      </right>
      <top style="thin">
        <color indexed="18"/>
      </top>
      <bottom style="thin">
        <color indexed="18"/>
      </bottom>
      <diagonal/>
    </border>
  </borders>
  <cellStyleXfs count="892">
    <xf numFmtId="175" fontId="0" fillId="0" borderId="0"/>
    <xf numFmtId="175" fontId="17" fillId="2" borderId="0" applyNumberFormat="0" applyBorder="0" applyAlignment="0" applyProtection="0"/>
    <xf numFmtId="175" fontId="17" fillId="3" borderId="0" applyNumberFormat="0" applyBorder="0" applyAlignment="0" applyProtection="0"/>
    <xf numFmtId="175" fontId="17" fillId="4" borderId="0" applyNumberFormat="0" applyBorder="0" applyAlignment="0" applyProtection="0"/>
    <xf numFmtId="175" fontId="17" fillId="5" borderId="0" applyNumberFormat="0" applyBorder="0" applyAlignment="0" applyProtection="0"/>
    <xf numFmtId="175" fontId="17" fillId="6" borderId="0" applyNumberFormat="0" applyBorder="0" applyAlignment="0" applyProtection="0"/>
    <xf numFmtId="175" fontId="17" fillId="7" borderId="0" applyNumberFormat="0" applyBorder="0" applyAlignment="0" applyProtection="0"/>
    <xf numFmtId="175" fontId="17" fillId="8" borderId="0" applyNumberFormat="0" applyBorder="0" applyAlignment="0" applyProtection="0"/>
    <xf numFmtId="175" fontId="17" fillId="3" borderId="0" applyNumberFormat="0" applyBorder="0" applyAlignment="0" applyProtection="0"/>
    <xf numFmtId="175" fontId="17" fillId="9" borderId="0" applyNumberFormat="0" applyBorder="0" applyAlignment="0" applyProtection="0"/>
    <xf numFmtId="175" fontId="17" fillId="10" borderId="0" applyNumberFormat="0" applyBorder="0" applyAlignment="0" applyProtection="0"/>
    <xf numFmtId="175" fontId="17" fillId="8" borderId="0" applyNumberFormat="0" applyBorder="0" applyAlignment="0" applyProtection="0"/>
    <xf numFmtId="175" fontId="17" fillId="11" borderId="0" applyNumberFormat="0" applyBorder="0" applyAlignment="0" applyProtection="0"/>
    <xf numFmtId="175" fontId="18" fillId="8" borderId="0" applyNumberFormat="0" applyBorder="0" applyAlignment="0" applyProtection="0"/>
    <xf numFmtId="175" fontId="18" fillId="3" borderId="0" applyNumberFormat="0" applyBorder="0" applyAlignment="0" applyProtection="0"/>
    <xf numFmtId="175" fontId="18" fillId="9" borderId="0" applyNumberFormat="0" applyBorder="0" applyAlignment="0" applyProtection="0"/>
    <xf numFmtId="175" fontId="18" fillId="10" borderId="0" applyNumberFormat="0" applyBorder="0" applyAlignment="0" applyProtection="0"/>
    <xf numFmtId="175" fontId="18" fillId="8" borderId="0" applyNumberFormat="0" applyBorder="0" applyAlignment="0" applyProtection="0"/>
    <xf numFmtId="175" fontId="18" fillId="11" borderId="0" applyNumberFormat="0" applyBorder="0" applyAlignment="0" applyProtection="0"/>
    <xf numFmtId="175" fontId="19" fillId="12" borderId="0" applyNumberFormat="0" applyBorder="0" applyAlignment="0" applyProtection="0"/>
    <xf numFmtId="175" fontId="20" fillId="13" borderId="0" applyNumberFormat="0" applyBorder="0" applyAlignment="0" applyProtection="0"/>
    <xf numFmtId="175" fontId="20" fillId="14" borderId="0" applyNumberFormat="0" applyBorder="0" applyAlignment="0" applyProtection="0"/>
    <xf numFmtId="175" fontId="19" fillId="15" borderId="0" applyNumberFormat="0" applyBorder="0" applyAlignment="0" applyProtection="0"/>
    <xf numFmtId="175" fontId="19" fillId="16" borderId="0" applyNumberFormat="0" applyBorder="0" applyAlignment="0" applyProtection="0"/>
    <xf numFmtId="175" fontId="20" fillId="17" borderId="0" applyNumberFormat="0" applyBorder="0" applyAlignment="0" applyProtection="0"/>
    <xf numFmtId="175" fontId="20" fillId="18" borderId="0" applyNumberFormat="0" applyBorder="0" applyAlignment="0" applyProtection="0"/>
    <xf numFmtId="175" fontId="19" fillId="19" borderId="0" applyNumberFormat="0" applyBorder="0" applyAlignment="0" applyProtection="0"/>
    <xf numFmtId="175" fontId="19" fillId="19" borderId="0" applyNumberFormat="0" applyBorder="0" applyAlignment="0" applyProtection="0"/>
    <xf numFmtId="175" fontId="20" fillId="20" borderId="0" applyNumberFormat="0" applyBorder="0" applyAlignment="0" applyProtection="0"/>
    <xf numFmtId="175" fontId="20" fillId="21" borderId="0" applyNumberFormat="0" applyBorder="0" applyAlignment="0" applyProtection="0"/>
    <xf numFmtId="175" fontId="19" fillId="22" borderId="0" applyNumberFormat="0" applyBorder="0" applyAlignment="0" applyProtection="0"/>
    <xf numFmtId="175" fontId="19" fillId="23" borderId="0" applyNumberFormat="0" applyBorder="0" applyAlignment="0" applyProtection="0"/>
    <xf numFmtId="175" fontId="20" fillId="21" borderId="0" applyNumberFormat="0" applyBorder="0" applyAlignment="0" applyProtection="0"/>
    <xf numFmtId="175" fontId="20" fillId="22" borderId="0" applyNumberFormat="0" applyBorder="0" applyAlignment="0" applyProtection="0"/>
    <xf numFmtId="175" fontId="19" fillId="22" borderId="0" applyNumberFormat="0" applyBorder="0" applyAlignment="0" applyProtection="0"/>
    <xf numFmtId="175" fontId="19" fillId="24" borderId="0" applyNumberFormat="0" applyBorder="0" applyAlignment="0" applyProtection="0"/>
    <xf numFmtId="175" fontId="20" fillId="13" borderId="0" applyNumberFormat="0" applyBorder="0" applyAlignment="0" applyProtection="0"/>
    <xf numFmtId="175" fontId="20" fillId="14" borderId="0" applyNumberFormat="0" applyBorder="0" applyAlignment="0" applyProtection="0"/>
    <xf numFmtId="175" fontId="19" fillId="14" borderId="0" applyNumberFormat="0" applyBorder="0" applyAlignment="0" applyProtection="0"/>
    <xf numFmtId="175" fontId="19" fillId="25" borderId="0" applyNumberFormat="0" applyBorder="0" applyAlignment="0" applyProtection="0"/>
    <xf numFmtId="175" fontId="20" fillId="26" borderId="0" applyNumberFormat="0" applyBorder="0" applyAlignment="0" applyProtection="0"/>
    <xf numFmtId="175" fontId="20" fillId="18" borderId="0" applyNumberFormat="0" applyBorder="0" applyAlignment="0" applyProtection="0"/>
    <xf numFmtId="175" fontId="19" fillId="27" borderId="0" applyNumberFormat="0" applyBorder="0" applyAlignment="0" applyProtection="0"/>
    <xf numFmtId="175" fontId="21" fillId="18" borderId="0" applyNumberFormat="0" applyBorder="0" applyAlignment="0" applyProtection="0"/>
    <xf numFmtId="175" fontId="22" fillId="28" borderId="1" applyNumberFormat="0" applyAlignment="0" applyProtection="0"/>
    <xf numFmtId="175" fontId="23" fillId="19" borderId="2" applyNumberFormat="0" applyAlignment="0" applyProtection="0"/>
    <xf numFmtId="43" fontId="13" fillId="0" borderId="0" applyFont="0" applyFill="0" applyBorder="0" applyAlignment="0" applyProtection="0"/>
    <xf numFmtId="43" fontId="48" fillId="0" borderId="0" applyFont="0" applyFill="0" applyBorder="0" applyAlignment="0" applyProtection="0"/>
    <xf numFmtId="43" fontId="13" fillId="0" borderId="0" applyFont="0" applyFill="0" applyBorder="0" applyAlignment="0" applyProtection="0"/>
    <xf numFmtId="44" fontId="48" fillId="0" borderId="0" applyFont="0" applyFill="0" applyBorder="0" applyAlignment="0" applyProtection="0"/>
    <xf numFmtId="44" fontId="13" fillId="0" borderId="0" applyFont="0" applyFill="0" applyBorder="0" applyAlignment="0" applyProtection="0"/>
    <xf numFmtId="44" fontId="49" fillId="0" borderId="0" applyFont="0" applyFill="0" applyBorder="0" applyAlignment="0" applyProtection="0"/>
    <xf numFmtId="44" fontId="13" fillId="0" borderId="0" applyFont="0" applyFill="0" applyBorder="0" applyAlignment="0" applyProtection="0"/>
    <xf numFmtId="44" fontId="49" fillId="0" borderId="0" applyFont="0" applyFill="0" applyBorder="0" applyAlignment="0" applyProtection="0"/>
    <xf numFmtId="175" fontId="24" fillId="29" borderId="0" applyNumberFormat="0" applyBorder="0" applyAlignment="0" applyProtection="0"/>
    <xf numFmtId="175" fontId="24" fillId="30" borderId="0" applyNumberFormat="0" applyBorder="0" applyAlignment="0" applyProtection="0"/>
    <xf numFmtId="175" fontId="24" fillId="31" borderId="0" applyNumberFormat="0" applyBorder="0" applyAlignment="0" applyProtection="0"/>
    <xf numFmtId="175" fontId="25" fillId="0" borderId="0" applyNumberFormat="0" applyFill="0" applyBorder="0" applyAlignment="0" applyProtection="0"/>
    <xf numFmtId="175" fontId="26" fillId="32" borderId="0" applyNumberFormat="0" applyBorder="0" applyAlignment="0" applyProtection="0"/>
    <xf numFmtId="175" fontId="27" fillId="0" borderId="3" applyNumberFormat="0" applyFill="0" applyAlignment="0" applyProtection="0"/>
    <xf numFmtId="175" fontId="28" fillId="0" borderId="4" applyNumberFormat="0" applyFill="0" applyAlignment="0" applyProtection="0"/>
    <xf numFmtId="175" fontId="29" fillId="0" borderId="5" applyNumberFormat="0" applyFill="0" applyAlignment="0" applyProtection="0"/>
    <xf numFmtId="175" fontId="29" fillId="0" borderId="0" applyNumberFormat="0" applyFill="0" applyBorder="0" applyAlignment="0" applyProtection="0"/>
    <xf numFmtId="175" fontId="30" fillId="27" borderId="1" applyNumberFormat="0" applyAlignment="0" applyProtection="0"/>
    <xf numFmtId="175" fontId="31" fillId="0" borderId="6" applyNumberFormat="0" applyFill="0" applyAlignment="0" applyProtection="0"/>
    <xf numFmtId="175" fontId="32" fillId="27" borderId="0" applyNumberFormat="0" applyBorder="0" applyAlignment="0" applyProtection="0"/>
    <xf numFmtId="175" fontId="13" fillId="0" borderId="0"/>
    <xf numFmtId="175" fontId="15" fillId="0" borderId="0"/>
    <xf numFmtId="175" fontId="13" fillId="26" borderId="7" applyNumberFormat="0" applyFont="0" applyAlignment="0" applyProtection="0"/>
    <xf numFmtId="175" fontId="33" fillId="28" borderId="8" applyNumberFormat="0" applyAlignment="0" applyProtection="0"/>
    <xf numFmtId="9" fontId="48" fillId="0" borderId="0" applyFont="0" applyFill="0" applyBorder="0" applyAlignment="0" applyProtection="0"/>
    <xf numFmtId="9" fontId="13" fillId="0" borderId="0" applyFont="0" applyFill="0" applyBorder="0" applyAlignment="0" applyProtection="0"/>
    <xf numFmtId="4" fontId="34" fillId="33" borderId="9" applyNumberFormat="0" applyProtection="0">
      <alignment vertical="center"/>
    </xf>
    <xf numFmtId="4" fontId="35" fillId="33" borderId="9" applyNumberFormat="0" applyProtection="0">
      <alignment vertical="center"/>
    </xf>
    <xf numFmtId="4" fontId="34" fillId="33" borderId="9" applyNumberFormat="0" applyProtection="0">
      <alignment horizontal="left" vertical="center" indent="1"/>
    </xf>
    <xf numFmtId="175" fontId="34" fillId="33" borderId="9" applyNumberFormat="0" applyProtection="0">
      <alignment horizontal="left" vertical="top" indent="1"/>
    </xf>
    <xf numFmtId="4" fontId="34" fillId="2" borderId="0" applyNumberFormat="0" applyProtection="0">
      <alignment horizontal="left" vertical="center" indent="1"/>
    </xf>
    <xf numFmtId="4" fontId="17" fillId="7" borderId="9" applyNumberFormat="0" applyProtection="0">
      <alignment horizontal="right" vertical="center"/>
    </xf>
    <xf numFmtId="4" fontId="17" fillId="3" borderId="9" applyNumberFormat="0" applyProtection="0">
      <alignment horizontal="right" vertical="center"/>
    </xf>
    <xf numFmtId="4" fontId="17" fillId="34" borderId="9" applyNumberFormat="0" applyProtection="0">
      <alignment horizontal="right" vertical="center"/>
    </xf>
    <xf numFmtId="4" fontId="17" fillId="35" borderId="9" applyNumberFormat="0" applyProtection="0">
      <alignment horizontal="right" vertical="center"/>
    </xf>
    <xf numFmtId="4" fontId="17" fillId="36" borderId="9" applyNumberFormat="0" applyProtection="0">
      <alignment horizontal="right" vertical="center"/>
    </xf>
    <xf numFmtId="4" fontId="17" fillId="37" borderId="9" applyNumberFormat="0" applyProtection="0">
      <alignment horizontal="right" vertical="center"/>
    </xf>
    <xf numFmtId="4" fontId="17" fillId="9" borderId="9" applyNumberFormat="0" applyProtection="0">
      <alignment horizontal="right" vertical="center"/>
    </xf>
    <xf numFmtId="4" fontId="17" fillId="38" borderId="9" applyNumberFormat="0" applyProtection="0">
      <alignment horizontal="right" vertical="center"/>
    </xf>
    <xf numFmtId="4" fontId="17" fillId="39" borderId="9" applyNumberFormat="0" applyProtection="0">
      <alignment horizontal="right" vertical="center"/>
    </xf>
    <xf numFmtId="4" fontId="34" fillId="40" borderId="10" applyNumberFormat="0" applyProtection="0">
      <alignment horizontal="left" vertical="center" indent="1"/>
    </xf>
    <xf numFmtId="4" fontId="17" fillId="41" borderId="0" applyNumberFormat="0" applyProtection="0">
      <alignment horizontal="left" vertical="center" indent="1"/>
    </xf>
    <xf numFmtId="4" fontId="36" fillId="8" borderId="0" applyNumberFormat="0" applyProtection="0">
      <alignment horizontal="left" vertical="center" indent="1"/>
    </xf>
    <xf numFmtId="4" fontId="17" fillId="2" borderId="9" applyNumberFormat="0" applyProtection="0">
      <alignment horizontal="right" vertical="center"/>
    </xf>
    <xf numFmtId="4" fontId="15" fillId="41" borderId="0" applyNumberFormat="0" applyProtection="0">
      <alignment horizontal="left" vertical="center" indent="1"/>
    </xf>
    <xf numFmtId="4" fontId="15" fillId="2" borderId="0" applyNumberFormat="0" applyProtection="0">
      <alignment horizontal="left" vertical="center" indent="1"/>
    </xf>
    <xf numFmtId="175" fontId="13" fillId="8" borderId="9" applyNumberFormat="0" applyProtection="0">
      <alignment horizontal="left" vertical="center" indent="1"/>
    </xf>
    <xf numFmtId="175" fontId="13" fillId="8" borderId="9" applyNumberFormat="0" applyProtection="0">
      <alignment horizontal="left" vertical="top" indent="1"/>
    </xf>
    <xf numFmtId="175" fontId="13" fillId="2" borderId="9" applyNumberFormat="0" applyProtection="0">
      <alignment horizontal="left" vertical="center" indent="1"/>
    </xf>
    <xf numFmtId="175" fontId="13" fillId="2" borderId="9" applyNumberFormat="0" applyProtection="0">
      <alignment horizontal="left" vertical="top" indent="1"/>
    </xf>
    <xf numFmtId="175" fontId="13" fillId="6" borderId="9" applyNumberFormat="0" applyProtection="0">
      <alignment horizontal="left" vertical="center" indent="1"/>
    </xf>
    <xf numFmtId="175" fontId="13" fillId="6" borderId="9" applyNumberFormat="0" applyProtection="0">
      <alignment horizontal="left" vertical="top" indent="1"/>
    </xf>
    <xf numFmtId="175" fontId="13" fillId="41" borderId="9" applyNumberFormat="0" applyProtection="0">
      <alignment horizontal="left" vertical="center" indent="1"/>
    </xf>
    <xf numFmtId="175" fontId="13" fillId="41" borderId="9" applyNumberFormat="0" applyProtection="0">
      <alignment horizontal="left" vertical="top" indent="1"/>
    </xf>
    <xf numFmtId="175" fontId="13" fillId="5" borderId="11" applyNumberFormat="0">
      <protection locked="0"/>
    </xf>
    <xf numFmtId="4" fontId="17" fillId="4" borderId="9" applyNumberFormat="0" applyProtection="0">
      <alignment vertical="center"/>
    </xf>
    <xf numFmtId="4" fontId="37" fillId="4" borderId="9" applyNumberFormat="0" applyProtection="0">
      <alignment vertical="center"/>
    </xf>
    <xf numFmtId="4" fontId="17" fillId="4" borderId="9" applyNumberFormat="0" applyProtection="0">
      <alignment horizontal="left" vertical="center" indent="1"/>
    </xf>
    <xf numFmtId="175" fontId="17" fillId="4" borderId="9" applyNumberFormat="0" applyProtection="0">
      <alignment horizontal="left" vertical="top" indent="1"/>
    </xf>
    <xf numFmtId="4" fontId="17" fillId="41" borderId="9" applyNumberFormat="0" applyProtection="0">
      <alignment horizontal="right" vertical="center"/>
    </xf>
    <xf numFmtId="4" fontId="37" fillId="41" borderId="9" applyNumberFormat="0" applyProtection="0">
      <alignment horizontal="right" vertical="center"/>
    </xf>
    <xf numFmtId="4" fontId="17" fillId="2" borderId="9" applyNumberFormat="0" applyProtection="0">
      <alignment horizontal="left" vertical="center" indent="1"/>
    </xf>
    <xf numFmtId="175" fontId="17" fillId="2" borderId="9" applyNumberFormat="0" applyProtection="0">
      <alignment horizontal="left" vertical="top" indent="1"/>
    </xf>
    <xf numFmtId="4" fontId="38" fillId="42" borderId="0" applyNumberFormat="0" applyProtection="0">
      <alignment horizontal="left" vertical="center" indent="1"/>
    </xf>
    <xf numFmtId="4" fontId="39" fillId="41" borderId="9" applyNumberFormat="0" applyProtection="0">
      <alignment horizontal="right" vertical="center"/>
    </xf>
    <xf numFmtId="175" fontId="40" fillId="0" borderId="0" applyNumberFormat="0" applyFill="0" applyBorder="0" applyAlignment="0" applyProtection="0"/>
    <xf numFmtId="175" fontId="40" fillId="0" borderId="0" applyNumberFormat="0" applyFill="0" applyBorder="0" applyAlignment="0" applyProtection="0"/>
    <xf numFmtId="175" fontId="24" fillId="0" borderId="12" applyNumberFormat="0" applyFill="0" applyAlignment="0" applyProtection="0"/>
    <xf numFmtId="175" fontId="41" fillId="0" borderId="0" applyNumberFormat="0" applyFill="0" applyBorder="0" applyAlignment="0" applyProtection="0"/>
    <xf numFmtId="175" fontId="15" fillId="2" borderId="0" applyNumberFormat="0" applyBorder="0" applyAlignment="0" applyProtection="0"/>
    <xf numFmtId="175" fontId="15" fillId="3" borderId="0" applyNumberFormat="0" applyBorder="0" applyAlignment="0" applyProtection="0"/>
    <xf numFmtId="175" fontId="15" fillId="4" borderId="0" applyNumberFormat="0" applyBorder="0" applyAlignment="0" applyProtection="0"/>
    <xf numFmtId="175" fontId="15" fillId="5" borderId="0" applyNumberFormat="0" applyBorder="0" applyAlignment="0" applyProtection="0"/>
    <xf numFmtId="175" fontId="15" fillId="6" borderId="0" applyNumberFormat="0" applyBorder="0" applyAlignment="0" applyProtection="0"/>
    <xf numFmtId="175" fontId="15" fillId="7" borderId="0" applyNumberFormat="0" applyBorder="0" applyAlignment="0" applyProtection="0"/>
    <xf numFmtId="175" fontId="15" fillId="8" borderId="0" applyNumberFormat="0" applyBorder="0" applyAlignment="0" applyProtection="0"/>
    <xf numFmtId="175" fontId="15" fillId="3" borderId="0" applyNumberFormat="0" applyBorder="0" applyAlignment="0" applyProtection="0"/>
    <xf numFmtId="175" fontId="15" fillId="9" borderId="0" applyNumberFormat="0" applyBorder="0" applyAlignment="0" applyProtection="0"/>
    <xf numFmtId="175" fontId="15" fillId="10" borderId="0" applyNumberFormat="0" applyBorder="0" applyAlignment="0" applyProtection="0"/>
    <xf numFmtId="175" fontId="15" fillId="8" borderId="0" applyNumberFormat="0" applyBorder="0" applyAlignment="0" applyProtection="0"/>
    <xf numFmtId="175" fontId="15" fillId="11" borderId="0" applyNumberFormat="0" applyBorder="0" applyAlignment="0" applyProtection="0"/>
    <xf numFmtId="44" fontId="13" fillId="0" borderId="0" applyFont="0" applyFill="0" applyBorder="0" applyAlignment="0" applyProtection="0"/>
    <xf numFmtId="4" fontId="15" fillId="7" borderId="9" applyNumberFormat="0" applyProtection="0">
      <alignment horizontal="right" vertical="center"/>
    </xf>
    <xf numFmtId="4" fontId="15" fillId="3" borderId="9" applyNumberFormat="0" applyProtection="0">
      <alignment horizontal="right" vertical="center"/>
    </xf>
    <xf numFmtId="4" fontId="15" fillId="34" borderId="9" applyNumberFormat="0" applyProtection="0">
      <alignment horizontal="right" vertical="center"/>
    </xf>
    <xf numFmtId="4" fontId="15" fillId="35" borderId="9" applyNumberFormat="0" applyProtection="0">
      <alignment horizontal="right" vertical="center"/>
    </xf>
    <xf numFmtId="4" fontId="15" fillId="36" borderId="9" applyNumberFormat="0" applyProtection="0">
      <alignment horizontal="right" vertical="center"/>
    </xf>
    <xf numFmtId="4" fontId="15" fillId="37" borderId="9" applyNumberFormat="0" applyProtection="0">
      <alignment horizontal="right" vertical="center"/>
    </xf>
    <xf numFmtId="4" fontId="15" fillId="9" borderId="9" applyNumberFormat="0" applyProtection="0">
      <alignment horizontal="right" vertical="center"/>
    </xf>
    <xf numFmtId="4" fontId="15" fillId="38" borderId="9" applyNumberFormat="0" applyProtection="0">
      <alignment horizontal="right" vertical="center"/>
    </xf>
    <xf numFmtId="4" fontId="15" fillId="39" borderId="9" applyNumberFormat="0" applyProtection="0">
      <alignment horizontal="right" vertical="center"/>
    </xf>
    <xf numFmtId="4" fontId="15" fillId="41" borderId="0" applyNumberFormat="0" applyProtection="0">
      <alignment horizontal="left" vertical="center" indent="1"/>
    </xf>
    <xf numFmtId="4" fontId="15" fillId="2" borderId="9" applyNumberFormat="0" applyProtection="0">
      <alignment horizontal="right" vertical="center"/>
    </xf>
    <xf numFmtId="4" fontId="15" fillId="4" borderId="9" applyNumberFormat="0" applyProtection="0">
      <alignment vertical="center"/>
    </xf>
    <xf numFmtId="4" fontId="15" fillId="4" borderId="9" applyNumberFormat="0" applyProtection="0">
      <alignment horizontal="left" vertical="center" indent="1"/>
    </xf>
    <xf numFmtId="175" fontId="15" fillId="4" borderId="9" applyNumberFormat="0" applyProtection="0">
      <alignment horizontal="left" vertical="top" indent="1"/>
    </xf>
    <xf numFmtId="4" fontId="15" fillId="41" borderId="9" applyNumberFormat="0" applyProtection="0">
      <alignment horizontal="right" vertical="center"/>
    </xf>
    <xf numFmtId="4" fontId="15" fillId="2" borderId="9" applyNumberFormat="0" applyProtection="0">
      <alignment horizontal="left" vertical="center" indent="1"/>
    </xf>
    <xf numFmtId="175" fontId="15" fillId="2" borderId="9" applyNumberFormat="0" applyProtection="0">
      <alignment horizontal="left" vertical="top" indent="1"/>
    </xf>
    <xf numFmtId="9" fontId="55" fillId="0" borderId="0" applyFont="0" applyFill="0" applyBorder="0" applyAlignment="0" applyProtection="0"/>
    <xf numFmtId="175" fontId="57" fillId="0" borderId="0"/>
    <xf numFmtId="175" fontId="12" fillId="0" borderId="0"/>
    <xf numFmtId="175" fontId="13" fillId="0" borderId="0"/>
    <xf numFmtId="175" fontId="15" fillId="2" borderId="0" applyNumberFormat="0" applyBorder="0" applyAlignment="0" applyProtection="0"/>
    <xf numFmtId="175" fontId="15" fillId="3" borderId="0" applyNumberFormat="0" applyBorder="0" applyAlignment="0" applyProtection="0"/>
    <xf numFmtId="175" fontId="15" fillId="4" borderId="0" applyNumberFormat="0" applyBorder="0" applyAlignment="0" applyProtection="0"/>
    <xf numFmtId="175" fontId="15" fillId="5" borderId="0" applyNumberFormat="0" applyBorder="0" applyAlignment="0" applyProtection="0"/>
    <xf numFmtId="175" fontId="15" fillId="6" borderId="0" applyNumberFormat="0" applyBorder="0" applyAlignment="0" applyProtection="0"/>
    <xf numFmtId="175" fontId="15" fillId="7" borderId="0" applyNumberFormat="0" applyBorder="0" applyAlignment="0" applyProtection="0"/>
    <xf numFmtId="175" fontId="15" fillId="8" borderId="0" applyNumberFormat="0" applyBorder="0" applyAlignment="0" applyProtection="0"/>
    <xf numFmtId="175" fontId="15" fillId="3" borderId="0" applyNumberFormat="0" applyBorder="0" applyAlignment="0" applyProtection="0"/>
    <xf numFmtId="175" fontId="15" fillId="9" borderId="0" applyNumberFormat="0" applyBorder="0" applyAlignment="0" applyProtection="0"/>
    <xf numFmtId="175" fontId="15" fillId="10" borderId="0" applyNumberFormat="0" applyBorder="0" applyAlignment="0" applyProtection="0"/>
    <xf numFmtId="175" fontId="15" fillId="8" borderId="0" applyNumberFormat="0" applyBorder="0" applyAlignment="0" applyProtection="0"/>
    <xf numFmtId="175" fontId="15" fillId="11" borderId="0" applyNumberFormat="0" applyBorder="0" applyAlignment="0" applyProtection="0"/>
    <xf numFmtId="175" fontId="18" fillId="8" borderId="0" applyNumberFormat="0" applyBorder="0" applyAlignment="0" applyProtection="0"/>
    <xf numFmtId="175" fontId="18" fillId="3" borderId="0" applyNumberFormat="0" applyBorder="0" applyAlignment="0" applyProtection="0"/>
    <xf numFmtId="175" fontId="18" fillId="9" borderId="0" applyNumberFormat="0" applyBorder="0" applyAlignment="0" applyProtection="0"/>
    <xf numFmtId="175" fontId="18" fillId="10" borderId="0" applyNumberFormat="0" applyBorder="0" applyAlignment="0" applyProtection="0"/>
    <xf numFmtId="175" fontId="18" fillId="8" borderId="0" applyNumberFormat="0" applyBorder="0" applyAlignment="0" applyProtection="0"/>
    <xf numFmtId="175" fontId="18" fillId="11" borderId="0" applyNumberFormat="0" applyBorder="0" applyAlignment="0" applyProtection="0"/>
    <xf numFmtId="175" fontId="19" fillId="12" borderId="0" applyNumberFormat="0" applyBorder="0" applyAlignment="0" applyProtection="0"/>
    <xf numFmtId="175" fontId="19" fillId="16" borderId="0" applyNumberFormat="0" applyBorder="0" applyAlignment="0" applyProtection="0"/>
    <xf numFmtId="175" fontId="19" fillId="19" borderId="0" applyNumberFormat="0" applyBorder="0" applyAlignment="0" applyProtection="0"/>
    <xf numFmtId="175" fontId="19" fillId="23" borderId="0" applyNumberFormat="0" applyBorder="0" applyAlignment="0" applyProtection="0"/>
    <xf numFmtId="175" fontId="19" fillId="24" borderId="0" applyNumberFormat="0" applyBorder="0" applyAlignment="0" applyProtection="0"/>
    <xf numFmtId="175" fontId="19" fillId="25" borderId="0" applyNumberFormat="0" applyBorder="0" applyAlignment="0" applyProtection="0"/>
    <xf numFmtId="175" fontId="21" fillId="18" borderId="0" applyNumberFormat="0" applyBorder="0" applyAlignment="0" applyProtection="0"/>
    <xf numFmtId="175" fontId="22" fillId="28" borderId="1" applyNumberFormat="0" applyAlignment="0" applyProtection="0"/>
    <xf numFmtId="175" fontId="23" fillId="19" borderId="2" applyNumberFormat="0" applyAlignment="0" applyProtection="0"/>
    <xf numFmtId="43" fontId="13" fillId="0" borderId="0" applyFont="0" applyFill="0" applyBorder="0" applyAlignment="0" applyProtection="0"/>
    <xf numFmtId="175" fontId="25" fillId="0" borderId="0" applyNumberFormat="0" applyFill="0" applyBorder="0" applyAlignment="0" applyProtection="0"/>
    <xf numFmtId="175" fontId="26" fillId="32" borderId="0" applyNumberFormat="0" applyBorder="0" applyAlignment="0" applyProtection="0"/>
    <xf numFmtId="175" fontId="27" fillId="0" borderId="3" applyNumberFormat="0" applyFill="0" applyAlignment="0" applyProtection="0"/>
    <xf numFmtId="175" fontId="28" fillId="0" borderId="4" applyNumberFormat="0" applyFill="0" applyAlignment="0" applyProtection="0"/>
    <xf numFmtId="175" fontId="29" fillId="0" borderId="5" applyNumberFormat="0" applyFill="0" applyAlignment="0" applyProtection="0"/>
    <xf numFmtId="175" fontId="29" fillId="0" borderId="0" applyNumberFormat="0" applyFill="0" applyBorder="0" applyAlignment="0" applyProtection="0"/>
    <xf numFmtId="175" fontId="30" fillId="27" borderId="1" applyNumberFormat="0" applyAlignment="0" applyProtection="0"/>
    <xf numFmtId="175" fontId="31" fillId="0" borderId="6" applyNumberFormat="0" applyFill="0" applyAlignment="0" applyProtection="0"/>
    <xf numFmtId="175" fontId="32" fillId="27" borderId="0" applyNumberFormat="0" applyBorder="0" applyAlignment="0" applyProtection="0"/>
    <xf numFmtId="175" fontId="13" fillId="26" borderId="7" applyNumberFormat="0" applyFont="0" applyAlignment="0" applyProtection="0"/>
    <xf numFmtId="175" fontId="33" fillId="28" borderId="8" applyNumberFormat="0" applyAlignment="0" applyProtection="0"/>
    <xf numFmtId="175" fontId="40" fillId="0" borderId="0" applyNumberFormat="0" applyFill="0" applyBorder="0" applyAlignment="0" applyProtection="0"/>
    <xf numFmtId="175" fontId="24" fillId="0" borderId="12" applyNumberFormat="0" applyFill="0" applyAlignment="0" applyProtection="0"/>
    <xf numFmtId="175" fontId="41" fillId="0" borderId="0" applyNumberFormat="0" applyFill="0" applyBorder="0" applyAlignment="0" applyProtection="0"/>
    <xf numFmtId="9" fontId="13" fillId="0" borderId="0" applyFont="0" applyFill="0" applyBorder="0" applyAlignment="0" applyProtection="0"/>
    <xf numFmtId="175" fontId="13" fillId="0" borderId="0"/>
    <xf numFmtId="175" fontId="11" fillId="0" borderId="0"/>
    <xf numFmtId="175" fontId="58" fillId="0" borderId="0"/>
    <xf numFmtId="175" fontId="15" fillId="2" borderId="0" applyNumberFormat="0" applyBorder="0" applyAlignment="0" applyProtection="0"/>
    <xf numFmtId="175" fontId="15" fillId="3" borderId="0" applyNumberFormat="0" applyBorder="0" applyAlignment="0" applyProtection="0"/>
    <xf numFmtId="175" fontId="15" fillId="4" borderId="0" applyNumberFormat="0" applyBorder="0" applyAlignment="0" applyProtection="0"/>
    <xf numFmtId="175" fontId="15" fillId="5" borderId="0" applyNumberFormat="0" applyBorder="0" applyAlignment="0" applyProtection="0"/>
    <xf numFmtId="175" fontId="15" fillId="6" borderId="0" applyNumberFormat="0" applyBorder="0" applyAlignment="0" applyProtection="0"/>
    <xf numFmtId="175" fontId="15" fillId="7" borderId="0" applyNumberFormat="0" applyBorder="0" applyAlignment="0" applyProtection="0"/>
    <xf numFmtId="175" fontId="15" fillId="8" borderId="0" applyNumberFormat="0" applyBorder="0" applyAlignment="0" applyProtection="0"/>
    <xf numFmtId="175" fontId="15" fillId="3" borderId="0" applyNumberFormat="0" applyBorder="0" applyAlignment="0" applyProtection="0"/>
    <xf numFmtId="175" fontId="15" fillId="9" borderId="0" applyNumberFormat="0" applyBorder="0" applyAlignment="0" applyProtection="0"/>
    <xf numFmtId="175" fontId="15" fillId="10" borderId="0" applyNumberFormat="0" applyBorder="0" applyAlignment="0" applyProtection="0"/>
    <xf numFmtId="175" fontId="15" fillId="8" borderId="0" applyNumberFormat="0" applyBorder="0" applyAlignment="0" applyProtection="0"/>
    <xf numFmtId="175" fontId="15" fillId="11" borderId="0" applyNumberFormat="0" applyBorder="0" applyAlignment="0" applyProtection="0"/>
    <xf numFmtId="175" fontId="18" fillId="8" borderId="0" applyNumberFormat="0" applyBorder="0" applyAlignment="0" applyProtection="0"/>
    <xf numFmtId="175" fontId="18" fillId="3" borderId="0" applyNumberFormat="0" applyBorder="0" applyAlignment="0" applyProtection="0"/>
    <xf numFmtId="175" fontId="18" fillId="9" borderId="0" applyNumberFormat="0" applyBorder="0" applyAlignment="0" applyProtection="0"/>
    <xf numFmtId="175" fontId="18" fillId="10" borderId="0" applyNumberFormat="0" applyBorder="0" applyAlignment="0" applyProtection="0"/>
    <xf numFmtId="175" fontId="18" fillId="8" borderId="0" applyNumberFormat="0" applyBorder="0" applyAlignment="0" applyProtection="0"/>
    <xf numFmtId="175" fontId="18" fillId="11" borderId="0" applyNumberFormat="0" applyBorder="0" applyAlignment="0" applyProtection="0"/>
    <xf numFmtId="175" fontId="19" fillId="12" borderId="0" applyNumberFormat="0" applyBorder="0" applyAlignment="0" applyProtection="0"/>
    <xf numFmtId="175" fontId="19" fillId="16" borderId="0" applyNumberFormat="0" applyBorder="0" applyAlignment="0" applyProtection="0"/>
    <xf numFmtId="175" fontId="19" fillId="19" borderId="0" applyNumberFormat="0" applyBorder="0" applyAlignment="0" applyProtection="0"/>
    <xf numFmtId="175" fontId="19" fillId="23" borderId="0" applyNumberFormat="0" applyBorder="0" applyAlignment="0" applyProtection="0"/>
    <xf numFmtId="175" fontId="19" fillId="24" borderId="0" applyNumberFormat="0" applyBorder="0" applyAlignment="0" applyProtection="0"/>
    <xf numFmtId="175" fontId="19" fillId="25" borderId="0" applyNumberFormat="0" applyBorder="0" applyAlignment="0" applyProtection="0"/>
    <xf numFmtId="175" fontId="21" fillId="18" borderId="0" applyNumberFormat="0" applyBorder="0" applyAlignment="0" applyProtection="0"/>
    <xf numFmtId="175" fontId="22" fillId="28" borderId="1" applyNumberFormat="0" applyAlignment="0" applyProtection="0"/>
    <xf numFmtId="175" fontId="23" fillId="19" borderId="2" applyNumberFormat="0" applyAlignment="0" applyProtection="0"/>
    <xf numFmtId="43" fontId="13" fillId="0" borderId="0" applyFont="0" applyFill="0" applyBorder="0" applyAlignment="0" applyProtection="0"/>
    <xf numFmtId="175" fontId="25" fillId="0" borderId="0" applyNumberFormat="0" applyFill="0" applyBorder="0" applyAlignment="0" applyProtection="0"/>
    <xf numFmtId="175" fontId="26" fillId="32" borderId="0" applyNumberFormat="0" applyBorder="0" applyAlignment="0" applyProtection="0"/>
    <xf numFmtId="175" fontId="27" fillId="0" borderId="3" applyNumberFormat="0" applyFill="0" applyAlignment="0" applyProtection="0"/>
    <xf numFmtId="175" fontId="28" fillId="0" borderId="4" applyNumberFormat="0" applyFill="0" applyAlignment="0" applyProtection="0"/>
    <xf numFmtId="175" fontId="29" fillId="0" borderId="5" applyNumberFormat="0" applyFill="0" applyAlignment="0" applyProtection="0"/>
    <xf numFmtId="175" fontId="29" fillId="0" borderId="0" applyNumberFormat="0" applyFill="0" applyBorder="0" applyAlignment="0" applyProtection="0"/>
    <xf numFmtId="175" fontId="30" fillId="27" borderId="1" applyNumberFormat="0" applyAlignment="0" applyProtection="0"/>
    <xf numFmtId="175" fontId="31" fillId="0" borderId="6" applyNumberFormat="0" applyFill="0" applyAlignment="0" applyProtection="0"/>
    <xf numFmtId="175" fontId="32" fillId="27" borderId="0" applyNumberFormat="0" applyBorder="0" applyAlignment="0" applyProtection="0"/>
    <xf numFmtId="175" fontId="13" fillId="26" borderId="7" applyNumberFormat="0" applyFont="0" applyAlignment="0" applyProtection="0"/>
    <xf numFmtId="175" fontId="33" fillId="28" borderId="8" applyNumberFormat="0" applyAlignment="0" applyProtection="0"/>
    <xf numFmtId="175" fontId="40" fillId="0" borderId="0" applyNumberFormat="0" applyFill="0" applyBorder="0" applyAlignment="0" applyProtection="0"/>
    <xf numFmtId="175" fontId="24" fillId="0" borderId="12" applyNumberFormat="0" applyFill="0" applyAlignment="0" applyProtection="0"/>
    <xf numFmtId="175" fontId="41" fillId="0" borderId="0" applyNumberFormat="0" applyFill="0" applyBorder="0" applyAlignment="0" applyProtection="0"/>
    <xf numFmtId="9" fontId="13" fillId="0" borderId="0" applyFont="0" applyFill="0" applyBorder="0" applyAlignment="0" applyProtection="0"/>
    <xf numFmtId="175" fontId="11" fillId="0" borderId="0"/>
    <xf numFmtId="175" fontId="10" fillId="0" borderId="0"/>
    <xf numFmtId="175" fontId="13" fillId="0" borderId="0"/>
    <xf numFmtId="175" fontId="15" fillId="2" borderId="0" applyNumberFormat="0" applyBorder="0" applyAlignment="0" applyProtection="0"/>
    <xf numFmtId="175" fontId="15" fillId="3" borderId="0" applyNumberFormat="0" applyBorder="0" applyAlignment="0" applyProtection="0"/>
    <xf numFmtId="175" fontId="15" fillId="4" borderId="0" applyNumberFormat="0" applyBorder="0" applyAlignment="0" applyProtection="0"/>
    <xf numFmtId="175" fontId="15" fillId="5" borderId="0" applyNumberFormat="0" applyBorder="0" applyAlignment="0" applyProtection="0"/>
    <xf numFmtId="175" fontId="15" fillId="6" borderId="0" applyNumberFormat="0" applyBorder="0" applyAlignment="0" applyProtection="0"/>
    <xf numFmtId="175" fontId="15" fillId="7" borderId="0" applyNumberFormat="0" applyBorder="0" applyAlignment="0" applyProtection="0"/>
    <xf numFmtId="175" fontId="15" fillId="8" borderId="0" applyNumberFormat="0" applyBorder="0" applyAlignment="0" applyProtection="0"/>
    <xf numFmtId="175" fontId="15" fillId="3" borderId="0" applyNumberFormat="0" applyBorder="0" applyAlignment="0" applyProtection="0"/>
    <xf numFmtId="175" fontId="15" fillId="9" borderId="0" applyNumberFormat="0" applyBorder="0" applyAlignment="0" applyProtection="0"/>
    <xf numFmtId="175" fontId="15" fillId="10" borderId="0" applyNumberFormat="0" applyBorder="0" applyAlignment="0" applyProtection="0"/>
    <xf numFmtId="175" fontId="15" fillId="8" borderId="0" applyNumberFormat="0" applyBorder="0" applyAlignment="0" applyProtection="0"/>
    <xf numFmtId="175" fontId="15" fillId="11" borderId="0" applyNumberFormat="0" applyBorder="0" applyAlignment="0" applyProtection="0"/>
    <xf numFmtId="175" fontId="18" fillId="8" borderId="0" applyNumberFormat="0" applyBorder="0" applyAlignment="0" applyProtection="0"/>
    <xf numFmtId="175" fontId="18" fillId="3" borderId="0" applyNumberFormat="0" applyBorder="0" applyAlignment="0" applyProtection="0"/>
    <xf numFmtId="175" fontId="18" fillId="9" borderId="0" applyNumberFormat="0" applyBorder="0" applyAlignment="0" applyProtection="0"/>
    <xf numFmtId="175" fontId="18" fillId="10" borderId="0" applyNumberFormat="0" applyBorder="0" applyAlignment="0" applyProtection="0"/>
    <xf numFmtId="175" fontId="18" fillId="8" borderId="0" applyNumberFormat="0" applyBorder="0" applyAlignment="0" applyProtection="0"/>
    <xf numFmtId="175" fontId="18" fillId="11" borderId="0" applyNumberFormat="0" applyBorder="0" applyAlignment="0" applyProtection="0"/>
    <xf numFmtId="175" fontId="19" fillId="12" borderId="0" applyNumberFormat="0" applyBorder="0" applyAlignment="0" applyProtection="0"/>
    <xf numFmtId="175" fontId="19" fillId="16" borderId="0" applyNumberFormat="0" applyBorder="0" applyAlignment="0" applyProtection="0"/>
    <xf numFmtId="175" fontId="19" fillId="19" borderId="0" applyNumberFormat="0" applyBorder="0" applyAlignment="0" applyProtection="0"/>
    <xf numFmtId="175" fontId="19" fillId="23" borderId="0" applyNumberFormat="0" applyBorder="0" applyAlignment="0" applyProtection="0"/>
    <xf numFmtId="175" fontId="19" fillId="24" borderId="0" applyNumberFormat="0" applyBorder="0" applyAlignment="0" applyProtection="0"/>
    <xf numFmtId="175" fontId="19" fillId="25" borderId="0" applyNumberFormat="0" applyBorder="0" applyAlignment="0" applyProtection="0"/>
    <xf numFmtId="175" fontId="21" fillId="18" borderId="0" applyNumberFormat="0" applyBorder="0" applyAlignment="0" applyProtection="0"/>
    <xf numFmtId="175" fontId="22" fillId="28" borderId="1" applyNumberFormat="0" applyAlignment="0" applyProtection="0"/>
    <xf numFmtId="175" fontId="23" fillId="19" borderId="2" applyNumberFormat="0" applyAlignment="0" applyProtection="0"/>
    <xf numFmtId="43" fontId="13" fillId="0" borderId="0" applyFont="0" applyFill="0" applyBorder="0" applyAlignment="0" applyProtection="0"/>
    <xf numFmtId="175" fontId="25" fillId="0" borderId="0" applyNumberFormat="0" applyFill="0" applyBorder="0" applyAlignment="0" applyProtection="0"/>
    <xf numFmtId="175" fontId="26" fillId="32" borderId="0" applyNumberFormat="0" applyBorder="0" applyAlignment="0" applyProtection="0"/>
    <xf numFmtId="175" fontId="27" fillId="0" borderId="3" applyNumberFormat="0" applyFill="0" applyAlignment="0" applyProtection="0"/>
    <xf numFmtId="175" fontId="28" fillId="0" borderId="4" applyNumberFormat="0" applyFill="0" applyAlignment="0" applyProtection="0"/>
    <xf numFmtId="175" fontId="29" fillId="0" borderId="5" applyNumberFormat="0" applyFill="0" applyAlignment="0" applyProtection="0"/>
    <xf numFmtId="175" fontId="29" fillId="0" borderId="0" applyNumberFormat="0" applyFill="0" applyBorder="0" applyAlignment="0" applyProtection="0"/>
    <xf numFmtId="175" fontId="30" fillId="27" borderId="1" applyNumberFormat="0" applyAlignment="0" applyProtection="0"/>
    <xf numFmtId="175" fontId="31" fillId="0" borderId="6" applyNumberFormat="0" applyFill="0" applyAlignment="0" applyProtection="0"/>
    <xf numFmtId="175" fontId="32" fillId="27" borderId="0" applyNumberFormat="0" applyBorder="0" applyAlignment="0" applyProtection="0"/>
    <xf numFmtId="175" fontId="13" fillId="26" borderId="7" applyNumberFormat="0" applyFont="0" applyAlignment="0" applyProtection="0"/>
    <xf numFmtId="175" fontId="33" fillId="28" borderId="8" applyNumberFormat="0" applyAlignment="0" applyProtection="0"/>
    <xf numFmtId="175" fontId="40" fillId="0" borderId="0" applyNumberFormat="0" applyFill="0" applyBorder="0" applyAlignment="0" applyProtection="0"/>
    <xf numFmtId="175" fontId="24" fillId="0" borderId="12" applyNumberFormat="0" applyFill="0" applyAlignment="0" applyProtection="0"/>
    <xf numFmtId="175" fontId="41" fillId="0" borderId="0" applyNumberFormat="0" applyFill="0" applyBorder="0" applyAlignment="0" applyProtection="0"/>
    <xf numFmtId="9" fontId="13" fillId="0" borderId="0" applyFont="0" applyFill="0" applyBorder="0" applyAlignment="0" applyProtection="0"/>
    <xf numFmtId="175" fontId="10" fillId="0" borderId="0"/>
    <xf numFmtId="175" fontId="10" fillId="0" borderId="0"/>
    <xf numFmtId="175" fontId="13" fillId="0" borderId="0"/>
    <xf numFmtId="175" fontId="10" fillId="0" borderId="0"/>
    <xf numFmtId="175" fontId="9" fillId="0" borderId="0"/>
    <xf numFmtId="175" fontId="13" fillId="0" borderId="0"/>
    <xf numFmtId="175" fontId="15" fillId="2" borderId="0" applyNumberFormat="0" applyBorder="0" applyAlignment="0" applyProtection="0"/>
    <xf numFmtId="175" fontId="15" fillId="3" borderId="0" applyNumberFormat="0" applyBorder="0" applyAlignment="0" applyProtection="0"/>
    <xf numFmtId="175" fontId="15" fillId="4" borderId="0" applyNumberFormat="0" applyBorder="0" applyAlignment="0" applyProtection="0"/>
    <xf numFmtId="175" fontId="15" fillId="5" borderId="0" applyNumberFormat="0" applyBorder="0" applyAlignment="0" applyProtection="0"/>
    <xf numFmtId="175" fontId="15" fillId="6" borderId="0" applyNumberFormat="0" applyBorder="0" applyAlignment="0" applyProtection="0"/>
    <xf numFmtId="175" fontId="15" fillId="7" borderId="0" applyNumberFormat="0" applyBorder="0" applyAlignment="0" applyProtection="0"/>
    <xf numFmtId="175" fontId="15" fillId="8" borderId="0" applyNumberFormat="0" applyBorder="0" applyAlignment="0" applyProtection="0"/>
    <xf numFmtId="175" fontId="15" fillId="3" borderId="0" applyNumberFormat="0" applyBorder="0" applyAlignment="0" applyProtection="0"/>
    <xf numFmtId="175" fontId="15" fillId="9" borderId="0" applyNumberFormat="0" applyBorder="0" applyAlignment="0" applyProtection="0"/>
    <xf numFmtId="175" fontId="15" fillId="10" borderId="0" applyNumberFormat="0" applyBorder="0" applyAlignment="0" applyProtection="0"/>
    <xf numFmtId="175" fontId="15" fillId="8" borderId="0" applyNumberFormat="0" applyBorder="0" applyAlignment="0" applyProtection="0"/>
    <xf numFmtId="175" fontId="15" fillId="11" borderId="0" applyNumberFormat="0" applyBorder="0" applyAlignment="0" applyProtection="0"/>
    <xf numFmtId="175" fontId="18" fillId="8" borderId="0" applyNumberFormat="0" applyBorder="0" applyAlignment="0" applyProtection="0"/>
    <xf numFmtId="175" fontId="18" fillId="3" borderId="0" applyNumberFormat="0" applyBorder="0" applyAlignment="0" applyProtection="0"/>
    <xf numFmtId="175" fontId="18" fillId="9" borderId="0" applyNumberFormat="0" applyBorder="0" applyAlignment="0" applyProtection="0"/>
    <xf numFmtId="175" fontId="18" fillId="10" borderId="0" applyNumberFormat="0" applyBorder="0" applyAlignment="0" applyProtection="0"/>
    <xf numFmtId="175" fontId="18" fillId="8" borderId="0" applyNumberFormat="0" applyBorder="0" applyAlignment="0" applyProtection="0"/>
    <xf numFmtId="175" fontId="18" fillId="11" borderId="0" applyNumberFormat="0" applyBorder="0" applyAlignment="0" applyProtection="0"/>
    <xf numFmtId="175" fontId="19" fillId="12" borderId="0" applyNumberFormat="0" applyBorder="0" applyAlignment="0" applyProtection="0"/>
    <xf numFmtId="175" fontId="19" fillId="16" borderId="0" applyNumberFormat="0" applyBorder="0" applyAlignment="0" applyProtection="0"/>
    <xf numFmtId="175" fontId="19" fillId="19" borderId="0" applyNumberFormat="0" applyBorder="0" applyAlignment="0" applyProtection="0"/>
    <xf numFmtId="175" fontId="19" fillId="23" borderId="0" applyNumberFormat="0" applyBorder="0" applyAlignment="0" applyProtection="0"/>
    <xf numFmtId="175" fontId="19" fillId="24" borderId="0" applyNumberFormat="0" applyBorder="0" applyAlignment="0" applyProtection="0"/>
    <xf numFmtId="175" fontId="19" fillId="25" borderId="0" applyNumberFormat="0" applyBorder="0" applyAlignment="0" applyProtection="0"/>
    <xf numFmtId="175" fontId="21" fillId="18" borderId="0" applyNumberFormat="0" applyBorder="0" applyAlignment="0" applyProtection="0"/>
    <xf numFmtId="175" fontId="22" fillId="28" borderId="1" applyNumberFormat="0" applyAlignment="0" applyProtection="0"/>
    <xf numFmtId="175" fontId="23" fillId="19" borderId="2" applyNumberFormat="0" applyAlignment="0" applyProtection="0"/>
    <xf numFmtId="43" fontId="13" fillId="0" borderId="0" applyFont="0" applyFill="0" applyBorder="0" applyAlignment="0" applyProtection="0"/>
    <xf numFmtId="175" fontId="25" fillId="0" borderId="0" applyNumberFormat="0" applyFill="0" applyBorder="0" applyAlignment="0" applyProtection="0"/>
    <xf numFmtId="175" fontId="26" fillId="32" borderId="0" applyNumberFormat="0" applyBorder="0" applyAlignment="0" applyProtection="0"/>
    <xf numFmtId="175" fontId="27" fillId="0" borderId="3" applyNumberFormat="0" applyFill="0" applyAlignment="0" applyProtection="0"/>
    <xf numFmtId="175" fontId="28" fillId="0" borderId="4" applyNumberFormat="0" applyFill="0" applyAlignment="0" applyProtection="0"/>
    <xf numFmtId="175" fontId="29" fillId="0" borderId="5" applyNumberFormat="0" applyFill="0" applyAlignment="0" applyProtection="0"/>
    <xf numFmtId="175" fontId="29" fillId="0" borderId="0" applyNumberFormat="0" applyFill="0" applyBorder="0" applyAlignment="0" applyProtection="0"/>
    <xf numFmtId="175" fontId="30" fillId="27" borderId="1" applyNumberFormat="0" applyAlignment="0" applyProtection="0"/>
    <xf numFmtId="175" fontId="31" fillId="0" borderId="6" applyNumberFormat="0" applyFill="0" applyAlignment="0" applyProtection="0"/>
    <xf numFmtId="175" fontId="32" fillId="27" borderId="0" applyNumberFormat="0" applyBorder="0" applyAlignment="0" applyProtection="0"/>
    <xf numFmtId="175" fontId="13" fillId="26" borderId="7" applyNumberFormat="0" applyFont="0" applyAlignment="0" applyProtection="0"/>
    <xf numFmtId="175" fontId="33" fillId="28" borderId="8" applyNumberFormat="0" applyAlignment="0" applyProtection="0"/>
    <xf numFmtId="175" fontId="40" fillId="0" borderId="0" applyNumberFormat="0" applyFill="0" applyBorder="0" applyAlignment="0" applyProtection="0"/>
    <xf numFmtId="175" fontId="24" fillId="0" borderId="12" applyNumberFormat="0" applyFill="0" applyAlignment="0" applyProtection="0"/>
    <xf numFmtId="175" fontId="41" fillId="0" borderId="0" applyNumberFormat="0" applyFill="0" applyBorder="0" applyAlignment="0" applyProtection="0"/>
    <xf numFmtId="9" fontId="13" fillId="0" borderId="0" applyFont="0" applyFill="0" applyBorder="0" applyAlignment="0" applyProtection="0"/>
    <xf numFmtId="175" fontId="9" fillId="0" borderId="0"/>
    <xf numFmtId="175" fontId="9" fillId="0" borderId="0"/>
    <xf numFmtId="175" fontId="9" fillId="0" borderId="0"/>
    <xf numFmtId="175" fontId="9" fillId="0" borderId="0"/>
    <xf numFmtId="175" fontId="9" fillId="0" borderId="0"/>
    <xf numFmtId="175" fontId="9" fillId="0" borderId="0"/>
    <xf numFmtId="175" fontId="9" fillId="0" borderId="0"/>
    <xf numFmtId="175" fontId="8" fillId="0" borderId="0"/>
    <xf numFmtId="175" fontId="7" fillId="0" borderId="0"/>
    <xf numFmtId="175" fontId="60" fillId="0" borderId="0"/>
    <xf numFmtId="175" fontId="7" fillId="0" borderId="0"/>
    <xf numFmtId="175" fontId="7" fillId="0" borderId="0"/>
    <xf numFmtId="175" fontId="7" fillId="0" borderId="0"/>
    <xf numFmtId="175" fontId="7" fillId="0" borderId="0"/>
    <xf numFmtId="175" fontId="7" fillId="0" borderId="0"/>
    <xf numFmtId="175" fontId="7" fillId="0" borderId="0"/>
    <xf numFmtId="175" fontId="7" fillId="0" borderId="0"/>
    <xf numFmtId="175" fontId="13" fillId="0" borderId="0"/>
    <xf numFmtId="175" fontId="6" fillId="0" borderId="0"/>
    <xf numFmtId="0" fontId="5" fillId="0" borderId="0"/>
    <xf numFmtId="175" fontId="13" fillId="0" borderId="0"/>
    <xf numFmtId="175" fontId="15" fillId="2" borderId="0" applyNumberFormat="0" applyBorder="0" applyAlignment="0" applyProtection="0"/>
    <xf numFmtId="175" fontId="15" fillId="3" borderId="0" applyNumberFormat="0" applyBorder="0" applyAlignment="0" applyProtection="0"/>
    <xf numFmtId="175" fontId="15" fillId="4" borderId="0" applyNumberFormat="0" applyBorder="0" applyAlignment="0" applyProtection="0"/>
    <xf numFmtId="175" fontId="15" fillId="5" borderId="0" applyNumberFormat="0" applyBorder="0" applyAlignment="0" applyProtection="0"/>
    <xf numFmtId="175" fontId="15" fillId="6" borderId="0" applyNumberFormat="0" applyBorder="0" applyAlignment="0" applyProtection="0"/>
    <xf numFmtId="175" fontId="15" fillId="7" borderId="0" applyNumberFormat="0" applyBorder="0" applyAlignment="0" applyProtection="0"/>
    <xf numFmtId="175" fontId="15" fillId="8" borderId="0" applyNumberFormat="0" applyBorder="0" applyAlignment="0" applyProtection="0"/>
    <xf numFmtId="175" fontId="15" fillId="3" borderId="0" applyNumberFormat="0" applyBorder="0" applyAlignment="0" applyProtection="0"/>
    <xf numFmtId="175" fontId="15" fillId="9" borderId="0" applyNumberFormat="0" applyBorder="0" applyAlignment="0" applyProtection="0"/>
    <xf numFmtId="175" fontId="15" fillId="10" borderId="0" applyNumberFormat="0" applyBorder="0" applyAlignment="0" applyProtection="0"/>
    <xf numFmtId="175" fontId="15" fillId="8" borderId="0" applyNumberFormat="0" applyBorder="0" applyAlignment="0" applyProtection="0"/>
    <xf numFmtId="175" fontId="15" fillId="11" borderId="0" applyNumberFormat="0" applyBorder="0" applyAlignment="0" applyProtection="0"/>
    <xf numFmtId="175" fontId="18" fillId="8" borderId="0" applyNumberFormat="0" applyBorder="0" applyAlignment="0" applyProtection="0"/>
    <xf numFmtId="175" fontId="18" fillId="3" borderId="0" applyNumberFormat="0" applyBorder="0" applyAlignment="0" applyProtection="0"/>
    <xf numFmtId="175" fontId="18" fillId="9" borderId="0" applyNumberFormat="0" applyBorder="0" applyAlignment="0" applyProtection="0"/>
    <xf numFmtId="175" fontId="18" fillId="10" borderId="0" applyNumberFormat="0" applyBorder="0" applyAlignment="0" applyProtection="0"/>
    <xf numFmtId="175" fontId="18" fillId="8" borderId="0" applyNumberFormat="0" applyBorder="0" applyAlignment="0" applyProtection="0"/>
    <xf numFmtId="175" fontId="18" fillId="11" borderId="0" applyNumberFormat="0" applyBorder="0" applyAlignment="0" applyProtection="0"/>
    <xf numFmtId="175" fontId="19" fillId="12" borderId="0" applyNumberFormat="0" applyBorder="0" applyAlignment="0" applyProtection="0"/>
    <xf numFmtId="175" fontId="19" fillId="16" borderId="0" applyNumberFormat="0" applyBorder="0" applyAlignment="0" applyProtection="0"/>
    <xf numFmtId="175" fontId="19" fillId="19" borderId="0" applyNumberFormat="0" applyBorder="0" applyAlignment="0" applyProtection="0"/>
    <xf numFmtId="175" fontId="19" fillId="23" borderId="0" applyNumberFormat="0" applyBorder="0" applyAlignment="0" applyProtection="0"/>
    <xf numFmtId="175" fontId="19" fillId="24" borderId="0" applyNumberFormat="0" applyBorder="0" applyAlignment="0" applyProtection="0"/>
    <xf numFmtId="175" fontId="19" fillId="25" borderId="0" applyNumberFormat="0" applyBorder="0" applyAlignment="0" applyProtection="0"/>
    <xf numFmtId="175" fontId="21" fillId="18" borderId="0" applyNumberFormat="0" applyBorder="0" applyAlignment="0" applyProtection="0"/>
    <xf numFmtId="175" fontId="22" fillId="28" borderId="1" applyNumberFormat="0" applyAlignment="0" applyProtection="0"/>
    <xf numFmtId="175" fontId="23" fillId="19" borderId="2" applyNumberFormat="0" applyAlignment="0" applyProtection="0"/>
    <xf numFmtId="43" fontId="13" fillId="0" borderId="0" applyFont="0" applyFill="0" applyBorder="0" applyAlignment="0" applyProtection="0"/>
    <xf numFmtId="175" fontId="25" fillId="0" borderId="0" applyNumberFormat="0" applyFill="0" applyBorder="0" applyAlignment="0" applyProtection="0"/>
    <xf numFmtId="175" fontId="26" fillId="32" borderId="0" applyNumberFormat="0" applyBorder="0" applyAlignment="0" applyProtection="0"/>
    <xf numFmtId="175" fontId="27" fillId="0" borderId="3" applyNumberFormat="0" applyFill="0" applyAlignment="0" applyProtection="0"/>
    <xf numFmtId="175" fontId="28" fillId="0" borderId="4" applyNumberFormat="0" applyFill="0" applyAlignment="0" applyProtection="0"/>
    <xf numFmtId="175" fontId="29" fillId="0" borderId="5" applyNumberFormat="0" applyFill="0" applyAlignment="0" applyProtection="0"/>
    <xf numFmtId="175" fontId="29" fillId="0" borderId="0" applyNumberFormat="0" applyFill="0" applyBorder="0" applyAlignment="0" applyProtection="0"/>
    <xf numFmtId="175" fontId="30" fillId="27" borderId="1" applyNumberFormat="0" applyAlignment="0" applyProtection="0"/>
    <xf numFmtId="175" fontId="31" fillId="0" borderId="6" applyNumberFormat="0" applyFill="0" applyAlignment="0" applyProtection="0"/>
    <xf numFmtId="175" fontId="32" fillId="27" borderId="0" applyNumberFormat="0" applyBorder="0" applyAlignment="0" applyProtection="0"/>
    <xf numFmtId="175" fontId="13" fillId="26" borderId="7" applyNumberFormat="0" applyFont="0" applyAlignment="0" applyProtection="0"/>
    <xf numFmtId="175" fontId="33" fillId="28" borderId="8" applyNumberFormat="0" applyAlignment="0" applyProtection="0"/>
    <xf numFmtId="175" fontId="40" fillId="0" borderId="0" applyNumberFormat="0" applyFill="0" applyBorder="0" applyAlignment="0" applyProtection="0"/>
    <xf numFmtId="175" fontId="24" fillId="0" borderId="12" applyNumberFormat="0" applyFill="0" applyAlignment="0" applyProtection="0"/>
    <xf numFmtId="175" fontId="41" fillId="0" borderId="0" applyNumberFormat="0" applyFill="0" applyBorder="0" applyAlignment="0" applyProtection="0"/>
    <xf numFmtId="9" fontId="13" fillId="0" borderId="0" applyFont="0" applyFill="0" applyBorder="0" applyAlignment="0" applyProtection="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13"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0" fontId="4" fillId="0" borderId="0"/>
    <xf numFmtId="175" fontId="13" fillId="0" borderId="0"/>
    <xf numFmtId="175" fontId="15" fillId="2" borderId="0" applyNumberFormat="0" applyBorder="0" applyAlignment="0" applyProtection="0"/>
    <xf numFmtId="175" fontId="15" fillId="3" borderId="0" applyNumberFormat="0" applyBorder="0" applyAlignment="0" applyProtection="0"/>
    <xf numFmtId="175" fontId="15" fillId="4" borderId="0" applyNumberFormat="0" applyBorder="0" applyAlignment="0" applyProtection="0"/>
    <xf numFmtId="175" fontId="15" fillId="5" borderId="0" applyNumberFormat="0" applyBorder="0" applyAlignment="0" applyProtection="0"/>
    <xf numFmtId="175" fontId="15" fillId="6" borderId="0" applyNumberFormat="0" applyBorder="0" applyAlignment="0" applyProtection="0"/>
    <xf numFmtId="175" fontId="15" fillId="7" borderId="0" applyNumberFormat="0" applyBorder="0" applyAlignment="0" applyProtection="0"/>
    <xf numFmtId="175" fontId="15" fillId="8" borderId="0" applyNumberFormat="0" applyBorder="0" applyAlignment="0" applyProtection="0"/>
    <xf numFmtId="175" fontId="15" fillId="3" borderId="0" applyNumberFormat="0" applyBorder="0" applyAlignment="0" applyProtection="0"/>
    <xf numFmtId="175" fontId="15" fillId="9" borderId="0" applyNumberFormat="0" applyBorder="0" applyAlignment="0" applyProtection="0"/>
    <xf numFmtId="175" fontId="15" fillId="10" borderId="0" applyNumberFormat="0" applyBorder="0" applyAlignment="0" applyProtection="0"/>
    <xf numFmtId="175" fontId="15" fillId="8" borderId="0" applyNumberFormat="0" applyBorder="0" applyAlignment="0" applyProtection="0"/>
    <xf numFmtId="175" fontId="15" fillId="11" borderId="0" applyNumberFormat="0" applyBorder="0" applyAlignment="0" applyProtection="0"/>
    <xf numFmtId="175" fontId="18" fillId="8" borderId="0" applyNumberFormat="0" applyBorder="0" applyAlignment="0" applyProtection="0"/>
    <xf numFmtId="175" fontId="18" fillId="3" borderId="0" applyNumberFormat="0" applyBorder="0" applyAlignment="0" applyProtection="0"/>
    <xf numFmtId="175" fontId="18" fillId="9" borderId="0" applyNumberFormat="0" applyBorder="0" applyAlignment="0" applyProtection="0"/>
    <xf numFmtId="175" fontId="18" fillId="10" borderId="0" applyNumberFormat="0" applyBorder="0" applyAlignment="0" applyProtection="0"/>
    <xf numFmtId="175" fontId="18" fillId="8" borderId="0" applyNumberFormat="0" applyBorder="0" applyAlignment="0" applyProtection="0"/>
    <xf numFmtId="175" fontId="18" fillId="11" borderId="0" applyNumberFormat="0" applyBorder="0" applyAlignment="0" applyProtection="0"/>
    <xf numFmtId="175" fontId="19" fillId="12" borderId="0" applyNumberFormat="0" applyBorder="0" applyAlignment="0" applyProtection="0"/>
    <xf numFmtId="175" fontId="19" fillId="16" borderId="0" applyNumberFormat="0" applyBorder="0" applyAlignment="0" applyProtection="0"/>
    <xf numFmtId="175" fontId="19" fillId="19" borderId="0" applyNumberFormat="0" applyBorder="0" applyAlignment="0" applyProtection="0"/>
    <xf numFmtId="175" fontId="19" fillId="23" borderId="0" applyNumberFormat="0" applyBorder="0" applyAlignment="0" applyProtection="0"/>
    <xf numFmtId="175" fontId="19" fillId="24" borderId="0" applyNumberFormat="0" applyBorder="0" applyAlignment="0" applyProtection="0"/>
    <xf numFmtId="175" fontId="19" fillId="25" borderId="0" applyNumberFormat="0" applyBorder="0" applyAlignment="0" applyProtection="0"/>
    <xf numFmtId="175" fontId="21" fillId="18" borderId="0" applyNumberFormat="0" applyBorder="0" applyAlignment="0" applyProtection="0"/>
    <xf numFmtId="175" fontId="22" fillId="28" borderId="1" applyNumberFormat="0" applyAlignment="0" applyProtection="0"/>
    <xf numFmtId="175" fontId="23" fillId="19" borderId="2" applyNumberFormat="0" applyAlignment="0" applyProtection="0"/>
    <xf numFmtId="43" fontId="13" fillId="0" borderId="0" applyFont="0" applyFill="0" applyBorder="0" applyAlignment="0" applyProtection="0"/>
    <xf numFmtId="175" fontId="25" fillId="0" borderId="0" applyNumberFormat="0" applyFill="0" applyBorder="0" applyAlignment="0" applyProtection="0"/>
    <xf numFmtId="175" fontId="26" fillId="32" borderId="0" applyNumberFormat="0" applyBorder="0" applyAlignment="0" applyProtection="0"/>
    <xf numFmtId="175" fontId="27" fillId="0" borderId="3" applyNumberFormat="0" applyFill="0" applyAlignment="0" applyProtection="0"/>
    <xf numFmtId="175" fontId="28" fillId="0" borderId="4" applyNumberFormat="0" applyFill="0" applyAlignment="0" applyProtection="0"/>
    <xf numFmtId="175" fontId="29" fillId="0" borderId="5" applyNumberFormat="0" applyFill="0" applyAlignment="0" applyProtection="0"/>
    <xf numFmtId="175" fontId="29" fillId="0" borderId="0" applyNumberFormat="0" applyFill="0" applyBorder="0" applyAlignment="0" applyProtection="0"/>
    <xf numFmtId="175" fontId="30" fillId="27" borderId="1" applyNumberFormat="0" applyAlignment="0" applyProtection="0"/>
    <xf numFmtId="175" fontId="31" fillId="0" borderId="6" applyNumberFormat="0" applyFill="0" applyAlignment="0" applyProtection="0"/>
    <xf numFmtId="175" fontId="32" fillId="27" borderId="0" applyNumberFormat="0" applyBorder="0" applyAlignment="0" applyProtection="0"/>
    <xf numFmtId="175" fontId="13" fillId="26" borderId="7" applyNumberFormat="0" applyFont="0" applyAlignment="0" applyProtection="0"/>
    <xf numFmtId="175" fontId="33" fillId="28" borderId="8" applyNumberFormat="0" applyAlignment="0" applyProtection="0"/>
    <xf numFmtId="175" fontId="40" fillId="0" borderId="0" applyNumberFormat="0" applyFill="0" applyBorder="0" applyAlignment="0" applyProtection="0"/>
    <xf numFmtId="175" fontId="24" fillId="0" borderId="12" applyNumberFormat="0" applyFill="0" applyAlignment="0" applyProtection="0"/>
    <xf numFmtId="175" fontId="41" fillId="0" borderId="0" applyNumberFormat="0" applyFill="0" applyBorder="0" applyAlignment="0" applyProtection="0"/>
    <xf numFmtId="9" fontId="13" fillId="0" borderId="0" applyFont="0" applyFill="0" applyBorder="0" applyAlignment="0" applyProtection="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0"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0" fontId="13" fillId="0" borderId="0"/>
    <xf numFmtId="0" fontId="13" fillId="0" borderId="0"/>
    <xf numFmtId="0" fontId="13" fillId="0" borderId="0"/>
    <xf numFmtId="0" fontId="13" fillId="0" borderId="0"/>
    <xf numFmtId="0" fontId="4" fillId="0" borderId="0"/>
    <xf numFmtId="0" fontId="13" fillId="0" borderId="0"/>
    <xf numFmtId="0" fontId="13" fillId="0" borderId="0"/>
    <xf numFmtId="0" fontId="13" fillId="0" borderId="0"/>
    <xf numFmtId="0" fontId="3" fillId="0" borderId="0"/>
    <xf numFmtId="175" fontId="74" fillId="0" borderId="0"/>
    <xf numFmtId="175" fontId="15" fillId="2" borderId="0" applyNumberFormat="0" applyBorder="0" applyAlignment="0" applyProtection="0"/>
    <xf numFmtId="175" fontId="15" fillId="3" borderId="0" applyNumberFormat="0" applyBorder="0" applyAlignment="0" applyProtection="0"/>
    <xf numFmtId="175" fontId="15" fillId="4" borderId="0" applyNumberFormat="0" applyBorder="0" applyAlignment="0" applyProtection="0"/>
    <xf numFmtId="175" fontId="15" fillId="5" borderId="0" applyNumberFormat="0" applyBorder="0" applyAlignment="0" applyProtection="0"/>
    <xf numFmtId="175" fontId="15" fillId="6" borderId="0" applyNumberFormat="0" applyBorder="0" applyAlignment="0" applyProtection="0"/>
    <xf numFmtId="175" fontId="15" fillId="7" borderId="0" applyNumberFormat="0" applyBorder="0" applyAlignment="0" applyProtection="0"/>
    <xf numFmtId="175" fontId="15" fillId="8" borderId="0" applyNumberFormat="0" applyBorder="0" applyAlignment="0" applyProtection="0"/>
    <xf numFmtId="175" fontId="15" fillId="3" borderId="0" applyNumberFormat="0" applyBorder="0" applyAlignment="0" applyProtection="0"/>
    <xf numFmtId="175" fontId="15" fillId="9" borderId="0" applyNumberFormat="0" applyBorder="0" applyAlignment="0" applyProtection="0"/>
    <xf numFmtId="175" fontId="15" fillId="10" borderId="0" applyNumberFormat="0" applyBorder="0" applyAlignment="0" applyProtection="0"/>
    <xf numFmtId="175" fontId="15" fillId="8" borderId="0" applyNumberFormat="0" applyBorder="0" applyAlignment="0" applyProtection="0"/>
    <xf numFmtId="175" fontId="15" fillId="11" borderId="0" applyNumberFormat="0" applyBorder="0" applyAlignment="0" applyProtection="0"/>
    <xf numFmtId="175" fontId="18" fillId="8" borderId="0" applyNumberFormat="0" applyBorder="0" applyAlignment="0" applyProtection="0"/>
    <xf numFmtId="175" fontId="18" fillId="3" borderId="0" applyNumberFormat="0" applyBorder="0" applyAlignment="0" applyProtection="0"/>
    <xf numFmtId="175" fontId="18" fillId="9" borderId="0" applyNumberFormat="0" applyBorder="0" applyAlignment="0" applyProtection="0"/>
    <xf numFmtId="175" fontId="18" fillId="10" borderId="0" applyNumberFormat="0" applyBorder="0" applyAlignment="0" applyProtection="0"/>
    <xf numFmtId="175" fontId="18" fillId="8" borderId="0" applyNumberFormat="0" applyBorder="0" applyAlignment="0" applyProtection="0"/>
    <xf numFmtId="175" fontId="18" fillId="11" borderId="0" applyNumberFormat="0" applyBorder="0" applyAlignment="0" applyProtection="0"/>
    <xf numFmtId="175" fontId="19" fillId="12" borderId="0" applyNumberFormat="0" applyBorder="0" applyAlignment="0" applyProtection="0"/>
    <xf numFmtId="175" fontId="19" fillId="16" borderId="0" applyNumberFormat="0" applyBorder="0" applyAlignment="0" applyProtection="0"/>
    <xf numFmtId="175" fontId="19" fillId="19" borderId="0" applyNumberFormat="0" applyBorder="0" applyAlignment="0" applyProtection="0"/>
    <xf numFmtId="175" fontId="19" fillId="23" borderId="0" applyNumberFormat="0" applyBorder="0" applyAlignment="0" applyProtection="0"/>
    <xf numFmtId="175" fontId="19" fillId="24" borderId="0" applyNumberFormat="0" applyBorder="0" applyAlignment="0" applyProtection="0"/>
    <xf numFmtId="175" fontId="19" fillId="25" borderId="0" applyNumberFormat="0" applyBorder="0" applyAlignment="0" applyProtection="0"/>
    <xf numFmtId="175" fontId="21" fillId="18" borderId="0" applyNumberFormat="0" applyBorder="0" applyAlignment="0" applyProtection="0"/>
    <xf numFmtId="175" fontId="22" fillId="28" borderId="1" applyNumberFormat="0" applyAlignment="0" applyProtection="0"/>
    <xf numFmtId="175" fontId="23" fillId="19" borderId="2" applyNumberFormat="0" applyAlignment="0" applyProtection="0"/>
    <xf numFmtId="43" fontId="13" fillId="0" borderId="0" applyFont="0" applyFill="0" applyBorder="0" applyAlignment="0" applyProtection="0"/>
    <xf numFmtId="175" fontId="25" fillId="0" borderId="0" applyNumberFormat="0" applyFill="0" applyBorder="0" applyAlignment="0" applyProtection="0"/>
    <xf numFmtId="175" fontId="26" fillId="32" borderId="0" applyNumberFormat="0" applyBorder="0" applyAlignment="0" applyProtection="0"/>
    <xf numFmtId="175" fontId="27" fillId="0" borderId="3" applyNumberFormat="0" applyFill="0" applyAlignment="0" applyProtection="0"/>
    <xf numFmtId="175" fontId="28" fillId="0" borderId="4" applyNumberFormat="0" applyFill="0" applyAlignment="0" applyProtection="0"/>
    <xf numFmtId="175" fontId="29" fillId="0" borderId="5" applyNumberFormat="0" applyFill="0" applyAlignment="0" applyProtection="0"/>
    <xf numFmtId="175" fontId="29" fillId="0" borderId="0" applyNumberFormat="0" applyFill="0" applyBorder="0" applyAlignment="0" applyProtection="0"/>
    <xf numFmtId="175" fontId="30" fillId="27" borderId="1" applyNumberFormat="0" applyAlignment="0" applyProtection="0"/>
    <xf numFmtId="175" fontId="31" fillId="0" borderId="6" applyNumberFormat="0" applyFill="0" applyAlignment="0" applyProtection="0"/>
    <xf numFmtId="175" fontId="32" fillId="27" borderId="0" applyNumberFormat="0" applyBorder="0" applyAlignment="0" applyProtection="0"/>
    <xf numFmtId="175" fontId="13" fillId="26" borderId="7" applyNumberFormat="0" applyFont="0" applyAlignment="0" applyProtection="0"/>
    <xf numFmtId="175" fontId="33" fillId="28" borderId="8" applyNumberFormat="0" applyAlignment="0" applyProtection="0"/>
    <xf numFmtId="175" fontId="40" fillId="0" borderId="0" applyNumberFormat="0" applyFill="0" applyBorder="0" applyAlignment="0" applyProtection="0"/>
    <xf numFmtId="175" fontId="24" fillId="0" borderId="12" applyNumberFormat="0" applyFill="0" applyAlignment="0" applyProtection="0"/>
    <xf numFmtId="175" fontId="41" fillId="0" borderId="0" applyNumberFormat="0" applyFill="0" applyBorder="0" applyAlignment="0" applyProtection="0"/>
    <xf numFmtId="9" fontId="13" fillId="0" borderId="0" applyFont="0" applyFill="0" applyBorder="0" applyAlignment="0" applyProtection="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0"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0"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0"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0" fontId="3" fillId="0" borderId="0"/>
    <xf numFmtId="0" fontId="74"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0"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0"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0"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0" fontId="2" fillId="0" borderId="0"/>
    <xf numFmtId="0" fontId="2" fillId="0" borderId="0"/>
    <xf numFmtId="175" fontId="13"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0"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0"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0"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0" fontId="2" fillId="0" borderId="0"/>
    <xf numFmtId="0" fontId="13" fillId="0" borderId="0"/>
    <xf numFmtId="0" fontId="1" fillId="0" borderId="0"/>
    <xf numFmtId="4" fontId="42" fillId="0" borderId="89" applyNumberFormat="0" applyProtection="0">
      <alignment horizontal="right" vertical="center"/>
    </xf>
    <xf numFmtId="4" fontId="42" fillId="52" borderId="89" applyNumberFormat="0" applyProtection="0">
      <alignment horizontal="left" vertical="center" indent="1"/>
    </xf>
    <xf numFmtId="43" fontId="1" fillId="0" borderId="0" applyFont="0" applyFill="0" applyBorder="0" applyAlignment="0" applyProtection="0"/>
  </cellStyleXfs>
  <cellXfs count="778">
    <xf numFmtId="175" fontId="0" fillId="0" borderId="0" xfId="0"/>
    <xf numFmtId="3" fontId="13" fillId="0" borderId="24" xfId="0" applyNumberFormat="1" applyFont="1" applyBorder="1" applyAlignment="1">
      <alignment horizontal="center"/>
    </xf>
    <xf numFmtId="3" fontId="13" fillId="0" borderId="31" xfId="0" applyNumberFormat="1" applyFont="1" applyBorder="1" applyAlignment="1">
      <alignment horizontal="center"/>
    </xf>
    <xf numFmtId="3" fontId="13" fillId="0" borderId="33" xfId="0" applyNumberFormat="1" applyFont="1" applyBorder="1" applyAlignment="1">
      <alignment horizontal="center"/>
    </xf>
    <xf numFmtId="3" fontId="13" fillId="0" borderId="42" xfId="0" applyNumberFormat="1" applyFont="1" applyBorder="1" applyAlignment="1" applyProtection="1">
      <alignment wrapText="1"/>
      <protection locked="0"/>
    </xf>
    <xf numFmtId="165" fontId="13" fillId="0" borderId="25" xfId="0" applyNumberFormat="1" applyFont="1" applyBorder="1" applyAlignment="1" applyProtection="1">
      <alignment horizontal="center"/>
      <protection locked="0"/>
    </xf>
    <xf numFmtId="165" fontId="13" fillId="0" borderId="0" xfId="0" applyNumberFormat="1" applyFont="1" applyProtection="1">
      <protection locked="0"/>
    </xf>
    <xf numFmtId="3" fontId="13" fillId="0" borderId="55" xfId="0" applyNumberFormat="1" applyFont="1" applyBorder="1" applyAlignment="1" applyProtection="1">
      <alignment wrapText="1"/>
      <protection locked="0"/>
    </xf>
    <xf numFmtId="165" fontId="13" fillId="0" borderId="32" xfId="0" applyNumberFormat="1" applyFont="1" applyBorder="1" applyAlignment="1" applyProtection="1">
      <alignment horizontal="center"/>
      <protection locked="0"/>
    </xf>
    <xf numFmtId="165" fontId="13" fillId="0" borderId="0" xfId="0" applyNumberFormat="1" applyFont="1" applyAlignment="1" applyProtection="1">
      <alignment horizontal="center"/>
      <protection locked="0"/>
    </xf>
    <xf numFmtId="175" fontId="13" fillId="0" borderId="0" xfId="0" applyFont="1" applyProtection="1">
      <protection locked="0"/>
    </xf>
    <xf numFmtId="175" fontId="14" fillId="0" borderId="0" xfId="0" applyFont="1" applyAlignment="1" applyProtection="1">
      <alignment horizontal="center" wrapText="1"/>
      <protection locked="0"/>
    </xf>
    <xf numFmtId="3" fontId="13" fillId="0" borderId="0" xfId="0" applyNumberFormat="1" applyFont="1" applyProtection="1">
      <protection locked="0"/>
    </xf>
    <xf numFmtId="175" fontId="14" fillId="0" borderId="0" xfId="0" applyFont="1" applyAlignment="1" applyProtection="1">
      <alignment wrapText="1"/>
      <protection locked="0"/>
    </xf>
    <xf numFmtId="3" fontId="45" fillId="0" borderId="17" xfId="0" applyNumberFormat="1" applyFont="1" applyBorder="1" applyAlignment="1">
      <alignment horizontal="center"/>
    </xf>
    <xf numFmtId="6" fontId="13" fillId="0" borderId="0" xfId="66" applyNumberFormat="1"/>
    <xf numFmtId="6" fontId="13" fillId="0" borderId="13" xfId="66" applyNumberFormat="1" applyBorder="1"/>
    <xf numFmtId="6" fontId="13" fillId="0" borderId="13" xfId="66" applyNumberFormat="1" applyBorder="1" applyAlignment="1">
      <alignment horizontal="right"/>
    </xf>
    <xf numFmtId="6" fontId="13" fillId="0" borderId="18" xfId="66" applyNumberFormat="1" applyBorder="1"/>
    <xf numFmtId="6" fontId="13" fillId="0" borderId="11" xfId="66" applyNumberFormat="1" applyBorder="1"/>
    <xf numFmtId="175" fontId="13" fillId="0" borderId="0" xfId="66"/>
    <xf numFmtId="175" fontId="15" fillId="0" borderId="0" xfId="67"/>
    <xf numFmtId="175" fontId="34" fillId="0" borderId="11" xfId="67" applyFont="1" applyBorder="1" applyAlignment="1">
      <alignment horizontal="center"/>
    </xf>
    <xf numFmtId="175" fontId="34" fillId="0" borderId="0" xfId="67" applyFont="1" applyAlignment="1">
      <alignment horizontal="center"/>
    </xf>
    <xf numFmtId="175" fontId="14" fillId="0" borderId="44" xfId="66" applyFont="1" applyBorder="1"/>
    <xf numFmtId="175" fontId="14" fillId="0" borderId="48" xfId="66" applyFont="1" applyBorder="1" applyAlignment="1">
      <alignment wrapText="1"/>
    </xf>
    <xf numFmtId="175" fontId="43" fillId="0" borderId="0" xfId="66" applyFont="1"/>
    <xf numFmtId="175" fontId="14" fillId="44" borderId="35" xfId="66" applyFont="1" applyFill="1" applyBorder="1" applyAlignment="1">
      <alignment horizontal="center"/>
    </xf>
    <xf numFmtId="175" fontId="14" fillId="0" borderId="36" xfId="66" applyFont="1" applyBorder="1" applyAlignment="1">
      <alignment horizontal="center"/>
    </xf>
    <xf numFmtId="175" fontId="14" fillId="0" borderId="51" xfId="66" applyFont="1" applyBorder="1" applyAlignment="1">
      <alignment horizontal="center" wrapText="1"/>
    </xf>
    <xf numFmtId="175" fontId="44" fillId="0" borderId="46" xfId="66" applyFont="1" applyBorder="1" applyAlignment="1">
      <alignment horizontal="center"/>
    </xf>
    <xf numFmtId="175" fontId="13" fillId="0" borderId="47" xfId="66" applyBorder="1"/>
    <xf numFmtId="175" fontId="14" fillId="0" borderId="46" xfId="66" applyFont="1" applyBorder="1" applyAlignment="1">
      <alignment horizontal="center"/>
    </xf>
    <xf numFmtId="175" fontId="13" fillId="0" borderId="46" xfId="66" applyBorder="1"/>
    <xf numFmtId="164" fontId="13" fillId="0" borderId="0" xfId="66" applyNumberFormat="1"/>
    <xf numFmtId="164" fontId="13" fillId="0" borderId="47" xfId="66" applyNumberFormat="1" applyBorder="1"/>
    <xf numFmtId="164" fontId="13" fillId="0" borderId="18" xfId="66" applyNumberFormat="1" applyBorder="1"/>
    <xf numFmtId="164" fontId="13" fillId="0" borderId="45" xfId="66" applyNumberFormat="1" applyBorder="1"/>
    <xf numFmtId="175" fontId="14" fillId="0" borderId="46" xfId="66" applyFont="1" applyBorder="1"/>
    <xf numFmtId="164" fontId="13" fillId="0" borderId="0" xfId="66" applyNumberFormat="1" applyAlignment="1">
      <alignment horizontal="right"/>
    </xf>
    <xf numFmtId="175" fontId="14" fillId="0" borderId="46" xfId="66" applyFont="1" applyBorder="1" applyAlignment="1">
      <alignment horizontal="left" indent="1"/>
    </xf>
    <xf numFmtId="164" fontId="13" fillId="0" borderId="27" xfId="66" applyNumberFormat="1" applyBorder="1"/>
    <xf numFmtId="175" fontId="14" fillId="0" borderId="46" xfId="66" applyFont="1" applyBorder="1" applyAlignment="1">
      <alignment horizontal="center" wrapText="1"/>
    </xf>
    <xf numFmtId="175" fontId="14" fillId="0" borderId="44" xfId="66" applyFont="1" applyBorder="1" applyAlignment="1">
      <alignment horizontal="left" indent="1"/>
    </xf>
    <xf numFmtId="175" fontId="14" fillId="0" borderId="52" xfId="66" applyFont="1" applyBorder="1" applyAlignment="1">
      <alignment horizontal="left" indent="1"/>
    </xf>
    <xf numFmtId="164" fontId="13" fillId="0" borderId="53" xfId="66" applyNumberFormat="1" applyBorder="1"/>
    <xf numFmtId="175" fontId="14" fillId="0" borderId="11" xfId="66" applyFont="1" applyBorder="1"/>
    <xf numFmtId="164" fontId="13" fillId="44" borderId="18" xfId="66" applyNumberFormat="1" applyFill="1" applyBorder="1"/>
    <xf numFmtId="164" fontId="13" fillId="44" borderId="45" xfId="66" applyNumberFormat="1" applyFill="1" applyBorder="1" applyAlignment="1">
      <alignment horizontal="right"/>
    </xf>
    <xf numFmtId="164" fontId="13" fillId="44" borderId="0" xfId="66" applyNumberFormat="1" applyFill="1"/>
    <xf numFmtId="164" fontId="14" fillId="0" borderId="49" xfId="66" applyNumberFormat="1" applyFont="1" applyBorder="1"/>
    <xf numFmtId="164" fontId="14" fillId="0" borderId="50" xfId="66" applyNumberFormat="1" applyFont="1" applyBorder="1"/>
    <xf numFmtId="175" fontId="14" fillId="0" borderId="37" xfId="66" applyFont="1" applyBorder="1" applyAlignment="1">
      <alignment wrapText="1"/>
    </xf>
    <xf numFmtId="164" fontId="14" fillId="0" borderId="37" xfId="66" applyNumberFormat="1" applyFont="1" applyBorder="1"/>
    <xf numFmtId="175" fontId="14" fillId="0" borderId="0" xfId="0" applyFont="1"/>
    <xf numFmtId="175" fontId="0" fillId="0" borderId="15" xfId="0" applyBorder="1"/>
    <xf numFmtId="175" fontId="14" fillId="0" borderId="34" xfId="0" applyFont="1" applyBorder="1"/>
    <xf numFmtId="175" fontId="13" fillId="0" borderId="0" xfId="0" applyFont="1"/>
    <xf numFmtId="175" fontId="13" fillId="0" borderId="13" xfId="0" applyFont="1" applyBorder="1"/>
    <xf numFmtId="175" fontId="34" fillId="0" borderId="0" xfId="0" applyFont="1" applyProtection="1">
      <protection locked="0"/>
    </xf>
    <xf numFmtId="175" fontId="15" fillId="0" borderId="0" xfId="0" applyFont="1" applyProtection="1">
      <protection locked="0"/>
    </xf>
    <xf numFmtId="165" fontId="15" fillId="0" borderId="0" xfId="0" applyNumberFormat="1" applyFont="1" applyProtection="1">
      <protection locked="0"/>
    </xf>
    <xf numFmtId="175" fontId="46" fillId="0" borderId="0" xfId="0" applyFont="1" applyProtection="1">
      <protection locked="0"/>
    </xf>
    <xf numFmtId="172" fontId="34" fillId="0" borderId="0" xfId="0" applyNumberFormat="1" applyFont="1" applyAlignment="1" applyProtection="1">
      <alignment horizontal="right"/>
      <protection locked="0"/>
    </xf>
    <xf numFmtId="172" fontId="34" fillId="0" borderId="0" xfId="0" applyNumberFormat="1" applyFont="1" applyAlignment="1" applyProtection="1">
      <alignment horizontal="center"/>
      <protection locked="0"/>
    </xf>
    <xf numFmtId="38" fontId="47" fillId="0" borderId="0" xfId="0" applyNumberFormat="1" applyFont="1" applyProtection="1">
      <protection locked="0"/>
    </xf>
    <xf numFmtId="165" fontId="47" fillId="0" borderId="0" xfId="0" applyNumberFormat="1" applyFont="1" applyProtection="1">
      <protection locked="0"/>
    </xf>
    <xf numFmtId="175" fontId="47" fillId="0" borderId="0" xfId="0" applyFont="1" applyProtection="1">
      <protection locked="0"/>
    </xf>
    <xf numFmtId="175" fontId="15" fillId="0" borderId="0" xfId="0" applyFont="1" applyAlignment="1" applyProtection="1">
      <alignment horizontal="left" indent="1"/>
      <protection locked="0"/>
    </xf>
    <xf numFmtId="175" fontId="15" fillId="0" borderId="0" xfId="0" applyFont="1"/>
    <xf numFmtId="175" fontId="34" fillId="0" borderId="11" xfId="0" applyFont="1" applyBorder="1" applyAlignment="1">
      <alignment horizontal="center" wrapText="1"/>
    </xf>
    <xf numFmtId="175" fontId="15" fillId="0" borderId="11" xfId="0" applyFont="1" applyBorder="1"/>
    <xf numFmtId="172" fontId="15" fillId="0" borderId="11" xfId="0" applyNumberFormat="1" applyFont="1" applyBorder="1"/>
    <xf numFmtId="172" fontId="15" fillId="0" borderId="11" xfId="46" applyNumberFormat="1" applyFont="1" applyBorder="1" applyAlignment="1">
      <alignment horizontal="right"/>
    </xf>
    <xf numFmtId="166" fontId="15" fillId="0" borderId="11" xfId="46" applyNumberFormat="1" applyFont="1" applyBorder="1" applyAlignment="1">
      <alignment horizontal="right"/>
    </xf>
    <xf numFmtId="172" fontId="34" fillId="0" borderId="11" xfId="46" applyNumberFormat="1" applyFont="1" applyBorder="1" applyAlignment="1">
      <alignment horizontal="right" wrapText="1"/>
    </xf>
    <xf numFmtId="166" fontId="34" fillId="0" borderId="11" xfId="0" applyNumberFormat="1" applyFont="1" applyBorder="1"/>
    <xf numFmtId="166" fontId="15" fillId="0" borderId="11" xfId="46" applyNumberFormat="1" applyFont="1" applyBorder="1" applyAlignment="1">
      <alignment horizontal="right" wrapText="1"/>
    </xf>
    <xf numFmtId="166" fontId="15" fillId="0" borderId="11" xfId="0" applyNumberFormat="1" applyFont="1" applyBorder="1"/>
    <xf numFmtId="175" fontId="34" fillId="0" borderId="20" xfId="0" applyFont="1" applyBorder="1"/>
    <xf numFmtId="166" fontId="34" fillId="0" borderId="20" xfId="0" applyNumberFormat="1" applyFont="1" applyBorder="1"/>
    <xf numFmtId="175" fontId="34" fillId="0" borderId="20" xfId="0" applyFont="1" applyBorder="1" applyAlignment="1">
      <alignment horizontal="center"/>
    </xf>
    <xf numFmtId="166" fontId="34" fillId="0" borderId="11" xfId="0" applyNumberFormat="1" applyFont="1" applyBorder="1" applyAlignment="1">
      <alignment horizontal="center" wrapText="1"/>
    </xf>
    <xf numFmtId="166" fontId="34" fillId="0" borderId="11" xfId="0" applyNumberFormat="1" applyFont="1" applyBorder="1" applyAlignment="1">
      <alignment horizontal="center"/>
    </xf>
    <xf numFmtId="166" fontId="34" fillId="0" borderId="20" xfId="0" applyNumberFormat="1" applyFont="1" applyBorder="1" applyAlignment="1">
      <alignment horizontal="center"/>
    </xf>
    <xf numFmtId="166" fontId="15" fillId="0" borderId="27" xfId="0" applyNumberFormat="1" applyFont="1" applyBorder="1"/>
    <xf numFmtId="166" fontId="34" fillId="0" borderId="27" xfId="0" applyNumberFormat="1" applyFont="1" applyBorder="1"/>
    <xf numFmtId="166" fontId="15" fillId="0" borderId="18" xfId="46" applyNumberFormat="1" applyFont="1" applyBorder="1" applyAlignment="1">
      <alignment horizontal="right"/>
    </xf>
    <xf numFmtId="166" fontId="15" fillId="0" borderId="18" xfId="0" applyNumberFormat="1" applyFont="1" applyBorder="1"/>
    <xf numFmtId="166" fontId="15" fillId="0" borderId="19" xfId="0" applyNumberFormat="1" applyFont="1" applyBorder="1"/>
    <xf numFmtId="172" fontId="34" fillId="0" borderId="11" xfId="0" applyNumberFormat="1" applyFont="1" applyBorder="1"/>
    <xf numFmtId="166" fontId="34" fillId="0" borderId="11" xfId="46" applyNumberFormat="1" applyFont="1" applyBorder="1" applyAlignment="1">
      <alignment horizontal="right"/>
    </xf>
    <xf numFmtId="172" fontId="34" fillId="0" borderId="20" xfId="0" applyNumberFormat="1" applyFont="1" applyBorder="1" applyAlignment="1">
      <alignment horizontal="right"/>
    </xf>
    <xf numFmtId="172" fontId="34" fillId="0" borderId="20" xfId="0" applyNumberFormat="1" applyFont="1" applyBorder="1" applyAlignment="1">
      <alignment horizontal="center"/>
    </xf>
    <xf numFmtId="166" fontId="15" fillId="0" borderId="11" xfId="0" quotePrefix="1" applyNumberFormat="1" applyFont="1" applyBorder="1" applyAlignment="1">
      <alignment horizontal="center"/>
    </xf>
    <xf numFmtId="166" fontId="15" fillId="0" borderId="11" xfId="46" applyNumberFormat="1" applyFont="1" applyBorder="1" applyAlignment="1">
      <alignment horizontal="center"/>
    </xf>
    <xf numFmtId="166" fontId="34" fillId="0" borderId="20" xfId="0" applyNumberFormat="1" applyFont="1" applyBorder="1" applyAlignment="1">
      <alignment horizontal="right"/>
    </xf>
    <xf numFmtId="175" fontId="34" fillId="0" borderId="27" xfId="0" applyFont="1" applyBorder="1"/>
    <xf numFmtId="175" fontId="34" fillId="0" borderId="0" xfId="0" applyFont="1"/>
    <xf numFmtId="38" fontId="15" fillId="0" borderId="0" xfId="0" applyNumberFormat="1" applyFont="1"/>
    <xf numFmtId="165" fontId="15" fillId="0" borderId="0" xfId="0" applyNumberFormat="1" applyFont="1"/>
    <xf numFmtId="175" fontId="13" fillId="0" borderId="13" xfId="0" applyFont="1" applyBorder="1" applyProtection="1">
      <protection locked="0"/>
    </xf>
    <xf numFmtId="9" fontId="13" fillId="0" borderId="0" xfId="145" applyFont="1" applyProtection="1">
      <protection locked="0"/>
    </xf>
    <xf numFmtId="175" fontId="14" fillId="0" borderId="14" xfId="0" applyFont="1" applyBorder="1" applyAlignment="1" applyProtection="1">
      <alignment horizontal="center"/>
      <protection locked="0"/>
    </xf>
    <xf numFmtId="175" fontId="13" fillId="0" borderId="16" xfId="0" applyFont="1" applyBorder="1" applyProtection="1">
      <protection locked="0"/>
    </xf>
    <xf numFmtId="175" fontId="14" fillId="0" borderId="11" xfId="0" applyFont="1" applyBorder="1" applyAlignment="1" applyProtection="1">
      <alignment horizontal="center"/>
      <protection locked="0"/>
    </xf>
    <xf numFmtId="175" fontId="14" fillId="0" borderId="34" xfId="0" applyFont="1" applyBorder="1" applyAlignment="1" applyProtection="1">
      <alignment horizontal="center"/>
      <protection locked="0"/>
    </xf>
    <xf numFmtId="166" fontId="13" fillId="0" borderId="0" xfId="0" applyNumberFormat="1" applyFont="1" applyAlignment="1">
      <alignment horizontal="center"/>
    </xf>
    <xf numFmtId="173" fontId="13" fillId="0" borderId="0" xfId="0" applyNumberFormat="1" applyFont="1" applyAlignment="1">
      <alignment horizontal="center"/>
    </xf>
    <xf numFmtId="3" fontId="13" fillId="0" borderId="0" xfId="0" applyNumberFormat="1" applyFont="1" applyAlignment="1">
      <alignment horizontal="center"/>
    </xf>
    <xf numFmtId="165" fontId="13" fillId="0" borderId="0" xfId="0" applyNumberFormat="1" applyFont="1" applyAlignment="1">
      <alignment horizontal="center"/>
    </xf>
    <xf numFmtId="175" fontId="34" fillId="0" borderId="16" xfId="0" applyFont="1" applyBorder="1" applyAlignment="1" applyProtection="1">
      <alignment horizontal="center"/>
      <protection locked="0"/>
    </xf>
    <xf numFmtId="175" fontId="15" fillId="0" borderId="11" xfId="0" applyFont="1" applyBorder="1" applyProtection="1">
      <protection locked="0"/>
    </xf>
    <xf numFmtId="175" fontId="34" fillId="0" borderId="20" xfId="0" applyFont="1" applyBorder="1" applyProtection="1">
      <protection locked="0"/>
    </xf>
    <xf numFmtId="175" fontId="34" fillId="0" borderId="20" xfId="0" applyFont="1" applyBorder="1" applyAlignment="1" applyProtection="1">
      <alignment horizontal="center"/>
      <protection locked="0"/>
    </xf>
    <xf numFmtId="175" fontId="34" fillId="0" borderId="22" xfId="0" applyFont="1" applyBorder="1" applyProtection="1">
      <protection locked="0"/>
    </xf>
    <xf numFmtId="175" fontId="15" fillId="0" borderId="11" xfId="0" applyFont="1" applyBorder="1" applyAlignment="1" applyProtection="1">
      <alignment wrapText="1" shrinkToFit="1"/>
      <protection locked="0"/>
    </xf>
    <xf numFmtId="175" fontId="34" fillId="0" borderId="11" xfId="0" applyFont="1" applyBorder="1" applyProtection="1">
      <protection locked="0"/>
    </xf>
    <xf numFmtId="175" fontId="15" fillId="0" borderId="16" xfId="0" applyFont="1" applyBorder="1" applyProtection="1">
      <protection locked="0"/>
    </xf>
    <xf numFmtId="38" fontId="53" fillId="0" borderId="17" xfId="0" applyNumberFormat="1" applyFont="1" applyBorder="1" applyAlignment="1">
      <alignment horizontal="center"/>
    </xf>
    <xf numFmtId="172" fontId="15" fillId="0" borderId="11" xfId="0" quotePrefix="1" applyNumberFormat="1" applyFont="1" applyBorder="1" applyAlignment="1">
      <alignment horizontal="center"/>
    </xf>
    <xf numFmtId="172" fontId="15" fillId="0" borderId="11" xfId="0" quotePrefix="1" applyNumberFormat="1" applyFont="1" applyBorder="1" applyAlignment="1">
      <alignment horizontal="right"/>
    </xf>
    <xf numFmtId="172" fontId="34" fillId="0" borderId="20" xfId="0" quotePrefix="1" applyNumberFormat="1" applyFont="1" applyBorder="1" applyAlignment="1">
      <alignment horizontal="center"/>
    </xf>
    <xf numFmtId="172" fontId="34" fillId="0" borderId="20" xfId="0" applyNumberFormat="1" applyFont="1" applyBorder="1"/>
    <xf numFmtId="38" fontId="15" fillId="0" borderId="11" xfId="0" applyNumberFormat="1" applyFont="1" applyBorder="1"/>
    <xf numFmtId="165" fontId="34" fillId="0" borderId="11" xfId="0" applyNumberFormat="1" applyFont="1" applyBorder="1"/>
    <xf numFmtId="172" fontId="34" fillId="0" borderId="11" xfId="46" applyNumberFormat="1" applyFont="1" applyBorder="1" applyAlignment="1">
      <alignment horizontal="right"/>
    </xf>
    <xf numFmtId="38" fontId="15" fillId="0" borderId="27" xfId="0" applyNumberFormat="1" applyFont="1" applyBorder="1"/>
    <xf numFmtId="165" fontId="34" fillId="0" borderId="27" xfId="0" applyNumberFormat="1" applyFont="1" applyBorder="1"/>
    <xf numFmtId="175" fontId="15" fillId="0" borderId="20" xfId="0" applyFont="1" applyBorder="1"/>
    <xf numFmtId="170" fontId="15" fillId="0" borderId="18" xfId="46" applyNumberFormat="1" applyFont="1" applyBorder="1" applyAlignment="1">
      <alignment horizontal="right"/>
    </xf>
    <xf numFmtId="169" fontId="34" fillId="0" borderId="18" xfId="46" applyNumberFormat="1" applyFont="1" applyBorder="1" applyAlignment="1">
      <alignment horizontal="right"/>
    </xf>
    <xf numFmtId="170" fontId="15" fillId="0" borderId="11" xfId="46" applyNumberFormat="1" applyFont="1" applyBorder="1" applyAlignment="1">
      <alignment horizontal="right"/>
    </xf>
    <xf numFmtId="169" fontId="34" fillId="0" borderId="11" xfId="46" applyNumberFormat="1" applyFont="1" applyBorder="1" applyAlignment="1">
      <alignment horizontal="right"/>
    </xf>
    <xf numFmtId="166" fontId="34" fillId="0" borderId="11" xfId="46" applyNumberFormat="1" applyFont="1" applyBorder="1" applyAlignment="1">
      <alignment horizontal="right" wrapText="1"/>
    </xf>
    <xf numFmtId="166" fontId="15" fillId="0" borderId="11" xfId="0" quotePrefix="1" applyNumberFormat="1" applyFont="1" applyBorder="1" applyAlignment="1">
      <alignment horizontal="right"/>
    </xf>
    <xf numFmtId="166" fontId="34" fillId="0" borderId="20" xfId="0" quotePrefix="1" applyNumberFormat="1" applyFont="1" applyBorder="1" applyAlignment="1">
      <alignment horizontal="center"/>
    </xf>
    <xf numFmtId="166" fontId="15" fillId="0" borderId="20" xfId="0" applyNumberFormat="1" applyFont="1" applyBorder="1"/>
    <xf numFmtId="166" fontId="34" fillId="0" borderId="18" xfId="46" applyNumberFormat="1" applyFont="1" applyBorder="1" applyAlignment="1">
      <alignment horizontal="right"/>
    </xf>
    <xf numFmtId="175" fontId="15" fillId="0" borderId="18" xfId="0" applyFont="1" applyBorder="1"/>
    <xf numFmtId="175" fontId="59" fillId="0" borderId="0" xfId="0" applyFont="1"/>
    <xf numFmtId="3" fontId="45" fillId="0" borderId="17" xfId="0" applyNumberFormat="1" applyFont="1" applyBorder="1" applyAlignment="1" applyProtection="1">
      <alignment horizontal="center"/>
      <protection locked="0"/>
    </xf>
    <xf numFmtId="3" fontId="13" fillId="0" borderId="24" xfId="0" applyNumberFormat="1" applyFont="1" applyBorder="1" applyAlignment="1" applyProtection="1">
      <alignment horizontal="center"/>
      <protection locked="0"/>
    </xf>
    <xf numFmtId="3" fontId="45" fillId="0" borderId="20" xfId="0" applyNumberFormat="1" applyFont="1" applyBorder="1" applyAlignment="1" applyProtection="1">
      <alignment horizontal="center"/>
      <protection locked="0"/>
    </xf>
    <xf numFmtId="38" fontId="53" fillId="0" borderId="11" xfId="146" applyNumberFormat="1" applyFont="1" applyBorder="1" applyAlignment="1" applyProtection="1">
      <alignment horizontal="center"/>
      <protection locked="0"/>
    </xf>
    <xf numFmtId="175" fontId="34" fillId="0" borderId="11" xfId="0" applyFont="1" applyBorder="1" applyAlignment="1" applyProtection="1">
      <alignment horizontal="center" wrapText="1"/>
      <protection locked="0"/>
    </xf>
    <xf numFmtId="175" fontId="14" fillId="0" borderId="0" xfId="66" applyFont="1" applyProtection="1">
      <protection locked="0"/>
    </xf>
    <xf numFmtId="175" fontId="13" fillId="0" borderId="0" xfId="66" applyProtection="1">
      <protection locked="0"/>
    </xf>
    <xf numFmtId="175" fontId="14" fillId="0" borderId="35" xfId="66" applyFont="1" applyBorder="1" applyProtection="1">
      <protection locked="0"/>
    </xf>
    <xf numFmtId="175" fontId="13" fillId="0" borderId="36" xfId="66" applyBorder="1" applyProtection="1">
      <protection locked="0"/>
    </xf>
    <xf numFmtId="175" fontId="13" fillId="0" borderId="37" xfId="66" applyBorder="1" applyProtection="1">
      <protection locked="0"/>
    </xf>
    <xf numFmtId="175" fontId="13" fillId="0" borderId="38" xfId="66" applyBorder="1" applyProtection="1">
      <protection locked="0"/>
    </xf>
    <xf numFmtId="175" fontId="14" fillId="0" borderId="39" xfId="66" applyFont="1" applyBorder="1" applyProtection="1">
      <protection locked="0"/>
    </xf>
    <xf numFmtId="175" fontId="13" fillId="0" borderId="14" xfId="66" applyBorder="1" applyProtection="1">
      <protection locked="0"/>
    </xf>
    <xf numFmtId="175" fontId="13" fillId="0" borderId="18" xfId="66" applyBorder="1" applyProtection="1">
      <protection locked="0"/>
    </xf>
    <xf numFmtId="175" fontId="13" fillId="0" borderId="19" xfId="66" applyBorder="1" applyProtection="1">
      <protection locked="0"/>
    </xf>
    <xf numFmtId="175" fontId="14" fillId="0" borderId="40" xfId="66" applyFont="1" applyBorder="1" applyAlignment="1" applyProtection="1">
      <alignment horizontal="center"/>
      <protection locked="0"/>
    </xf>
    <xf numFmtId="175" fontId="14" fillId="0" borderId="11" xfId="66" applyFont="1" applyBorder="1" applyAlignment="1" applyProtection="1">
      <alignment horizontal="center" wrapText="1"/>
      <protection locked="0"/>
    </xf>
    <xf numFmtId="175" fontId="14" fillId="0" borderId="14" xfId="66" applyFont="1" applyBorder="1" applyAlignment="1" applyProtection="1">
      <alignment horizontal="center"/>
      <protection locked="0"/>
    </xf>
    <xf numFmtId="6" fontId="13" fillId="0" borderId="0" xfId="66" applyNumberFormat="1" applyProtection="1">
      <protection locked="0"/>
    </xf>
    <xf numFmtId="175" fontId="14" fillId="0" borderId="13" xfId="66" applyFont="1" applyBorder="1" applyAlignment="1" applyProtection="1">
      <alignment horizontal="center" wrapText="1"/>
      <protection locked="0"/>
    </xf>
    <xf numFmtId="175" fontId="13" fillId="0" borderId="13" xfId="66" applyBorder="1" applyProtection="1">
      <protection locked="0"/>
    </xf>
    <xf numFmtId="6" fontId="13" fillId="0" borderId="18" xfId="66" applyNumberFormat="1" applyBorder="1" applyProtection="1">
      <protection locked="0"/>
    </xf>
    <xf numFmtId="164" fontId="13" fillId="0" borderId="43" xfId="66" applyNumberFormat="1" applyBorder="1" applyProtection="1">
      <protection locked="0"/>
    </xf>
    <xf numFmtId="175" fontId="13" fillId="0" borderId="43" xfId="66" applyBorder="1" applyProtection="1">
      <protection locked="0"/>
    </xf>
    <xf numFmtId="6" fontId="13" fillId="0" borderId="0" xfId="66" applyNumberFormat="1" applyAlignment="1" applyProtection="1">
      <alignment horizontal="right"/>
      <protection locked="0"/>
    </xf>
    <xf numFmtId="168" fontId="13" fillId="0" borderId="0" xfId="50" applyNumberFormat="1" applyProtection="1">
      <protection locked="0"/>
    </xf>
    <xf numFmtId="168" fontId="13" fillId="0" borderId="0" xfId="66" applyNumberFormat="1" applyProtection="1">
      <protection locked="0"/>
    </xf>
    <xf numFmtId="175" fontId="15" fillId="0" borderId="0" xfId="67" applyProtection="1">
      <protection locked="0"/>
    </xf>
    <xf numFmtId="175" fontId="15" fillId="0" borderId="11" xfId="67" applyBorder="1" applyProtection="1">
      <protection locked="0"/>
    </xf>
    <xf numFmtId="175" fontId="34" fillId="0" borderId="11" xfId="67" applyFont="1" applyBorder="1" applyProtection="1">
      <protection locked="0"/>
    </xf>
    <xf numFmtId="175" fontId="52" fillId="0" borderId="0" xfId="0" applyFont="1" applyProtection="1">
      <protection locked="0"/>
    </xf>
    <xf numFmtId="175" fontId="14" fillId="0" borderId="0" xfId="0" applyFont="1" applyProtection="1">
      <protection locked="0"/>
    </xf>
    <xf numFmtId="175" fontId="14" fillId="0" borderId="14" xfId="66" quotePrefix="1" applyFont="1" applyBorder="1" applyAlignment="1" applyProtection="1">
      <alignment horizontal="center"/>
      <protection locked="0"/>
    </xf>
    <xf numFmtId="175" fontId="63" fillId="0" borderId="0" xfId="0" applyFont="1" applyAlignment="1">
      <alignment horizontal="left" vertical="center" indent="4"/>
    </xf>
    <xf numFmtId="175" fontId="14" fillId="0" borderId="0" xfId="0" applyFont="1" applyAlignment="1" applyProtection="1">
      <alignment horizontal="center"/>
      <protection locked="0"/>
    </xf>
    <xf numFmtId="17" fontId="14" fillId="0" borderId="0" xfId="0" quotePrefix="1" applyNumberFormat="1" applyFont="1" applyAlignment="1" applyProtection="1">
      <alignment horizontal="center"/>
      <protection locked="0"/>
    </xf>
    <xf numFmtId="175" fontId="0" fillId="47" borderId="0" xfId="0" applyFill="1"/>
    <xf numFmtId="17" fontId="14" fillId="47" borderId="0" xfId="0" quotePrefix="1" applyNumberFormat="1" applyFont="1" applyFill="1" applyAlignment="1" applyProtection="1">
      <alignment horizontal="center"/>
      <protection locked="0"/>
    </xf>
    <xf numFmtId="175" fontId="13" fillId="47" borderId="0" xfId="0" applyFont="1" applyFill="1" applyProtection="1">
      <protection locked="0"/>
    </xf>
    <xf numFmtId="175" fontId="51" fillId="0" borderId="0" xfId="0" applyFont="1" applyAlignment="1">
      <alignment horizontal="center"/>
    </xf>
    <xf numFmtId="38" fontId="13" fillId="0" borderId="24" xfId="0" applyNumberFormat="1" applyFont="1" applyBorder="1" applyAlignment="1">
      <alignment horizontal="center"/>
    </xf>
    <xf numFmtId="38" fontId="13" fillId="0" borderId="24" xfId="0" applyNumberFormat="1" applyFont="1" applyBorder="1" applyAlignment="1" applyProtection="1">
      <alignment horizontal="center"/>
      <protection locked="0"/>
    </xf>
    <xf numFmtId="175" fontId="13" fillId="0" borderId="17" xfId="0" applyFont="1" applyBorder="1" applyProtection="1">
      <protection locked="0"/>
    </xf>
    <xf numFmtId="3" fontId="13" fillId="0" borderId="29" xfId="0" applyNumberFormat="1" applyFont="1" applyBorder="1" applyAlignment="1">
      <alignment horizontal="center"/>
    </xf>
    <xf numFmtId="3" fontId="53" fillId="0" borderId="22" xfId="0" applyNumberFormat="1" applyFont="1" applyBorder="1" applyAlignment="1">
      <alignment horizontal="center"/>
    </xf>
    <xf numFmtId="3" fontId="53" fillId="0" borderId="17" xfId="0" applyNumberFormat="1" applyFont="1" applyBorder="1" applyAlignment="1">
      <alignment horizontal="center"/>
    </xf>
    <xf numFmtId="175" fontId="13" fillId="47" borderId="0" xfId="66" applyFill="1"/>
    <xf numFmtId="175" fontId="14" fillId="47" borderId="0" xfId="0" applyFont="1" applyFill="1" applyAlignment="1" applyProtection="1">
      <alignment horizontal="center"/>
      <protection locked="0"/>
    </xf>
    <xf numFmtId="175" fontId="14" fillId="0" borderId="11" xfId="0" applyFont="1" applyBorder="1" applyAlignment="1" applyProtection="1">
      <alignment horizontal="left"/>
      <protection locked="0"/>
    </xf>
    <xf numFmtId="175" fontId="13" fillId="0" borderId="17" xfId="0" applyFont="1" applyBorder="1"/>
    <xf numFmtId="17" fontId="15" fillId="0" borderId="0" xfId="0" applyNumberFormat="1" applyFont="1" applyAlignment="1" applyProtection="1">
      <alignment horizontal="center"/>
      <protection locked="0"/>
    </xf>
    <xf numFmtId="175" fontId="34" fillId="48" borderId="20" xfId="0" applyFont="1" applyFill="1" applyBorder="1" applyAlignment="1" applyProtection="1">
      <alignment horizontal="center" vertical="center"/>
      <protection locked="0"/>
    </xf>
    <xf numFmtId="175" fontId="34" fillId="48" borderId="11" xfId="0" applyFont="1" applyFill="1" applyBorder="1" applyAlignment="1" applyProtection="1">
      <alignment horizontal="center" vertical="center"/>
      <protection locked="0"/>
    </xf>
    <xf numFmtId="175" fontId="34" fillId="0" borderId="20" xfId="0" applyFont="1" applyBorder="1" applyAlignment="1" applyProtection="1">
      <alignment horizontal="right"/>
      <protection locked="0"/>
    </xf>
    <xf numFmtId="175" fontId="15" fillId="0" borderId="11" xfId="0" applyFont="1" applyBorder="1" applyAlignment="1" applyProtection="1">
      <alignment horizontal="left"/>
      <protection locked="0"/>
    </xf>
    <xf numFmtId="175" fontId="14" fillId="0" borderId="19" xfId="0" applyFont="1" applyBorder="1" applyAlignment="1" applyProtection="1">
      <alignment horizontal="center" wrapText="1"/>
      <protection locked="0"/>
    </xf>
    <xf numFmtId="172" fontId="0" fillId="0" borderId="0" xfId="0" applyNumberFormat="1"/>
    <xf numFmtId="3" fontId="14" fillId="0" borderId="26" xfId="0" applyNumberFormat="1" applyFont="1" applyBorder="1" applyAlignment="1">
      <alignment horizontal="center" wrapText="1"/>
    </xf>
    <xf numFmtId="174" fontId="13" fillId="0" borderId="24" xfId="0" applyNumberFormat="1" applyFont="1" applyBorder="1"/>
    <xf numFmtId="3" fontId="14" fillId="0" borderId="27" xfId="0" applyNumberFormat="1" applyFont="1" applyBorder="1" applyAlignment="1">
      <alignment horizontal="center" wrapText="1"/>
    </xf>
    <xf numFmtId="175" fontId="14" fillId="0" borderId="57" xfId="0" applyFont="1" applyBorder="1" applyAlignment="1">
      <alignment horizontal="center"/>
    </xf>
    <xf numFmtId="4" fontId="13" fillId="0" borderId="32" xfId="0" applyNumberFormat="1" applyFont="1" applyBorder="1" applyAlignment="1">
      <alignment horizontal="right"/>
    </xf>
    <xf numFmtId="4" fontId="13" fillId="0" borderId="29" xfId="0" applyNumberFormat="1" applyFont="1" applyBorder="1" applyAlignment="1">
      <alignment horizontal="right"/>
    </xf>
    <xf numFmtId="175" fontId="14" fillId="0" borderId="17" xfId="0" applyFont="1" applyBorder="1" applyProtection="1">
      <protection locked="0"/>
    </xf>
    <xf numFmtId="175" fontId="14" fillId="0" borderId="11" xfId="0" applyFont="1" applyBorder="1" applyProtection="1">
      <protection locked="0"/>
    </xf>
    <xf numFmtId="175" fontId="14" fillId="0" borderId="18" xfId="0" applyFont="1" applyBorder="1" applyAlignment="1" applyProtection="1">
      <alignment horizontal="center" wrapText="1"/>
      <protection locked="0"/>
    </xf>
    <xf numFmtId="175" fontId="14" fillId="0" borderId="11" xfId="0" applyFont="1" applyBorder="1" applyAlignment="1" applyProtection="1">
      <alignment horizontal="center" wrapText="1"/>
      <protection locked="0"/>
    </xf>
    <xf numFmtId="175" fontId="14" fillId="0" borderId="20" xfId="0" applyFont="1" applyBorder="1" applyAlignment="1" applyProtection="1">
      <alignment horizontal="center" wrapText="1"/>
      <protection locked="0"/>
    </xf>
    <xf numFmtId="175" fontId="14" fillId="0" borderId="21" xfId="0" applyFont="1" applyBorder="1" applyAlignment="1" applyProtection="1">
      <alignment horizontal="center" wrapText="1"/>
      <protection locked="0"/>
    </xf>
    <xf numFmtId="175" fontId="14" fillId="0" borderId="18" xfId="0" applyFont="1" applyBorder="1" applyAlignment="1">
      <alignment horizontal="center" wrapText="1"/>
    </xf>
    <xf numFmtId="175" fontId="14" fillId="0" borderId="18" xfId="0" applyFont="1" applyBorder="1" applyAlignment="1">
      <alignment horizontal="center"/>
    </xf>
    <xf numFmtId="175" fontId="14" fillId="0" borderId="20" xfId="0" applyFont="1" applyBorder="1" applyAlignment="1">
      <alignment horizontal="center" wrapText="1"/>
    </xf>
    <xf numFmtId="175" fontId="14" fillId="0" borderId="19" xfId="0" applyFont="1" applyBorder="1" applyAlignment="1">
      <alignment horizontal="center"/>
    </xf>
    <xf numFmtId="175" fontId="14" fillId="0" borderId="19" xfId="0" applyFont="1" applyBorder="1" applyAlignment="1" applyProtection="1">
      <alignment horizontal="center"/>
      <protection locked="0"/>
    </xf>
    <xf numFmtId="175" fontId="14" fillId="0" borderId="23" xfId="0" applyFont="1" applyBorder="1" applyProtection="1">
      <protection locked="0"/>
    </xf>
    <xf numFmtId="3" fontId="14" fillId="0" borderId="20" xfId="0" applyNumberFormat="1" applyFont="1" applyBorder="1" applyAlignment="1">
      <alignment horizontal="center" wrapText="1"/>
    </xf>
    <xf numFmtId="2" fontId="14" fillId="0" borderId="18" xfId="0" applyNumberFormat="1" applyFont="1" applyBorder="1" applyAlignment="1">
      <alignment horizontal="center" wrapText="1"/>
    </xf>
    <xf numFmtId="175" fontId="14" fillId="0" borderId="26" xfId="0" applyFont="1" applyBorder="1" applyAlignment="1">
      <alignment horizontal="center"/>
    </xf>
    <xf numFmtId="3" fontId="14" fillId="0" borderId="18" xfId="0" applyNumberFormat="1" applyFont="1" applyBorder="1" applyAlignment="1">
      <alignment horizontal="center" wrapText="1"/>
    </xf>
    <xf numFmtId="3" fontId="14" fillId="0" borderId="20" xfId="0" applyNumberFormat="1" applyFont="1" applyBorder="1" applyAlignment="1" applyProtection="1">
      <alignment horizontal="center" wrapText="1"/>
      <protection locked="0"/>
    </xf>
    <xf numFmtId="175" fontId="14" fillId="0" borderId="56" xfId="0" applyFont="1" applyBorder="1" applyAlignment="1">
      <alignment horizontal="center"/>
    </xf>
    <xf numFmtId="175" fontId="14" fillId="0" borderId="28" xfId="0" applyFont="1" applyBorder="1" applyProtection="1">
      <protection locked="0"/>
    </xf>
    <xf numFmtId="175" fontId="39" fillId="0" borderId="0" xfId="0" applyFont="1" applyProtection="1">
      <protection locked="0"/>
    </xf>
    <xf numFmtId="3" fontId="39" fillId="0" borderId="0" xfId="0" applyNumberFormat="1" applyFont="1" applyProtection="1">
      <protection locked="0"/>
    </xf>
    <xf numFmtId="1" fontId="39" fillId="0" borderId="0" xfId="0" applyNumberFormat="1" applyFont="1" applyProtection="1">
      <protection locked="0"/>
    </xf>
    <xf numFmtId="175" fontId="14" fillId="47" borderId="18" xfId="0" applyFont="1" applyFill="1" applyBorder="1" applyAlignment="1" applyProtection="1">
      <alignment horizontal="center" wrapText="1"/>
      <protection locked="0"/>
    </xf>
    <xf numFmtId="175" fontId="15" fillId="47" borderId="0" xfId="67" applyFill="1" applyProtection="1">
      <protection locked="0"/>
    </xf>
    <xf numFmtId="175" fontId="13" fillId="47" borderId="0" xfId="66" applyFill="1" applyProtection="1">
      <protection locked="0"/>
    </xf>
    <xf numFmtId="17" fontId="14" fillId="47" borderId="0" xfId="0" applyNumberFormat="1" applyFont="1" applyFill="1" applyAlignment="1" applyProtection="1">
      <alignment horizontal="center"/>
      <protection locked="0"/>
    </xf>
    <xf numFmtId="175" fontId="15" fillId="47" borderId="0" xfId="0" applyFont="1" applyFill="1" applyProtection="1">
      <protection locked="0"/>
    </xf>
    <xf numFmtId="164" fontId="13" fillId="0" borderId="58" xfId="66" applyNumberFormat="1" applyBorder="1" applyProtection="1">
      <protection locked="0"/>
    </xf>
    <xf numFmtId="175" fontId="51" fillId="47" borderId="0" xfId="0" applyFont="1" applyFill="1" applyAlignment="1">
      <alignment horizontal="center"/>
    </xf>
    <xf numFmtId="3" fontId="13" fillId="47" borderId="0" xfId="0" applyNumberFormat="1" applyFont="1" applyFill="1" applyAlignment="1">
      <alignment horizontal="center" wrapText="1"/>
    </xf>
    <xf numFmtId="175" fontId="14" fillId="0" borderId="58" xfId="66" applyFont="1" applyBorder="1" applyProtection="1">
      <protection locked="0"/>
    </xf>
    <xf numFmtId="175" fontId="14" fillId="47" borderId="0" xfId="0" applyFont="1" applyFill="1" applyProtection="1">
      <protection locked="0"/>
    </xf>
    <xf numFmtId="6" fontId="13" fillId="0" borderId="19" xfId="66" applyNumberFormat="1" applyBorder="1"/>
    <xf numFmtId="175" fontId="0" fillId="0" borderId="0" xfId="0" quotePrefix="1"/>
    <xf numFmtId="175" fontId="13" fillId="47" borderId="17" xfId="0" applyFont="1" applyFill="1" applyBorder="1"/>
    <xf numFmtId="3" fontId="53" fillId="47" borderId="17" xfId="0" applyNumberFormat="1" applyFont="1" applyFill="1" applyBorder="1" applyAlignment="1">
      <alignment horizontal="center"/>
    </xf>
    <xf numFmtId="175" fontId="14" fillId="0" borderId="44" xfId="66" quotePrefix="1" applyFont="1" applyBorder="1" applyAlignment="1">
      <alignment horizontal="left" wrapText="1" indent="1"/>
    </xf>
    <xf numFmtId="175" fontId="15" fillId="0" borderId="0" xfId="0" quotePrefix="1" applyFont="1" applyProtection="1">
      <protection locked="0"/>
    </xf>
    <xf numFmtId="175" fontId="65" fillId="0" borderId="0" xfId="0" applyFont="1" applyAlignment="1" applyProtection="1">
      <alignment horizontal="center"/>
      <protection locked="0"/>
    </xf>
    <xf numFmtId="168" fontId="50" fillId="0" borderId="0" xfId="52" applyNumberFormat="1" applyFont="1"/>
    <xf numFmtId="175" fontId="66" fillId="43" borderId="0" xfId="66" applyFont="1" applyFill="1"/>
    <xf numFmtId="44" fontId="66" fillId="43" borderId="0" xfId="50" applyFont="1" applyFill="1"/>
    <xf numFmtId="175" fontId="66" fillId="47" borderId="0" xfId="66" applyFont="1" applyFill="1"/>
    <xf numFmtId="17" fontId="65" fillId="47" borderId="0" xfId="0" applyNumberFormat="1" applyFont="1" applyFill="1" applyAlignment="1" applyProtection="1">
      <alignment horizontal="center"/>
      <protection locked="0"/>
    </xf>
    <xf numFmtId="175" fontId="65" fillId="44" borderId="35" xfId="66" applyFont="1" applyFill="1" applyBorder="1"/>
    <xf numFmtId="175" fontId="66" fillId="43" borderId="37" xfId="66" applyFont="1" applyFill="1" applyBorder="1"/>
    <xf numFmtId="44" fontId="66" fillId="43" borderId="37" xfId="50" applyFont="1" applyFill="1" applyBorder="1"/>
    <xf numFmtId="175" fontId="65" fillId="44" borderId="44" xfId="66" applyFont="1" applyFill="1" applyBorder="1" applyAlignment="1">
      <alignment horizontal="center"/>
    </xf>
    <xf numFmtId="175" fontId="65" fillId="43" borderId="18" xfId="66" applyFont="1" applyFill="1" applyBorder="1" applyAlignment="1">
      <alignment horizontal="center"/>
    </xf>
    <xf numFmtId="44" fontId="65" fillId="43" borderId="18" xfId="50" applyFont="1" applyFill="1" applyBorder="1" applyAlignment="1">
      <alignment horizontal="center"/>
    </xf>
    <xf numFmtId="175" fontId="65" fillId="44" borderId="46" xfId="66" applyFont="1" applyFill="1" applyBorder="1" applyAlignment="1">
      <alignment horizontal="center"/>
    </xf>
    <xf numFmtId="175" fontId="65" fillId="43" borderId="0" xfId="66" applyFont="1" applyFill="1" applyAlignment="1">
      <alignment horizontal="center"/>
    </xf>
    <xf numFmtId="44" fontId="65" fillId="43" borderId="0" xfId="50" applyFont="1" applyFill="1" applyAlignment="1">
      <alignment horizontal="center"/>
    </xf>
    <xf numFmtId="175" fontId="65" fillId="0" borderId="46" xfId="66" applyFont="1" applyBorder="1" applyAlignment="1">
      <alignment horizontal="center"/>
    </xf>
    <xf numFmtId="164" fontId="66" fillId="0" borderId="0" xfId="66" applyNumberFormat="1" applyFont="1"/>
    <xf numFmtId="175" fontId="66" fillId="0" borderId="0" xfId="66" applyFont="1"/>
    <xf numFmtId="164" fontId="65" fillId="43" borderId="18" xfId="66" applyNumberFormat="1" applyFont="1" applyFill="1" applyBorder="1"/>
    <xf numFmtId="175" fontId="65" fillId="0" borderId="44" xfId="66" applyFont="1" applyBorder="1" applyAlignment="1">
      <alignment wrapText="1"/>
    </xf>
    <xf numFmtId="175" fontId="65" fillId="0" borderId="20" xfId="66" applyFont="1" applyBorder="1"/>
    <xf numFmtId="44" fontId="65" fillId="43" borderId="18" xfId="50" applyFont="1" applyFill="1" applyBorder="1"/>
    <xf numFmtId="175" fontId="65" fillId="0" borderId="59" xfId="66" applyFont="1" applyBorder="1" applyAlignment="1">
      <alignment wrapText="1"/>
    </xf>
    <xf numFmtId="164" fontId="65" fillId="43" borderId="58" xfId="66" applyNumberFormat="1" applyFont="1" applyFill="1" applyBorder="1"/>
    <xf numFmtId="164" fontId="65" fillId="43" borderId="43" xfId="66" applyNumberFormat="1" applyFont="1" applyFill="1" applyBorder="1"/>
    <xf numFmtId="43" fontId="13" fillId="0" borderId="24" xfId="0" applyNumberFormat="1" applyFont="1" applyBorder="1" applyAlignment="1">
      <alignment horizontal="right"/>
    </xf>
    <xf numFmtId="175" fontId="13" fillId="47" borderId="13" xfId="0" applyFont="1" applyFill="1" applyBorder="1"/>
    <xf numFmtId="164" fontId="13" fillId="0" borderId="54" xfId="66" applyNumberFormat="1" applyBorder="1" applyProtection="1">
      <protection locked="0"/>
    </xf>
    <xf numFmtId="175" fontId="13" fillId="47" borderId="11" xfId="66" applyFill="1" applyBorder="1" applyAlignment="1">
      <alignment horizontal="left" indent="1"/>
    </xf>
    <xf numFmtId="175" fontId="14" fillId="47" borderId="0" xfId="0" quotePrefix="1" applyFont="1" applyFill="1" applyAlignment="1" applyProtection="1">
      <alignment horizontal="center"/>
      <protection locked="0"/>
    </xf>
    <xf numFmtId="6" fontId="13" fillId="0" borderId="34" xfId="66" applyNumberFormat="1" applyBorder="1"/>
    <xf numFmtId="43" fontId="13" fillId="0" borderId="24" xfId="0" applyNumberFormat="1" applyFont="1" applyBorder="1" applyAlignment="1">
      <alignment horizontal="center"/>
    </xf>
    <xf numFmtId="6" fontId="34" fillId="0" borderId="11" xfId="67" applyNumberFormat="1" applyFont="1" applyBorder="1" applyAlignment="1" applyProtection="1">
      <alignment horizontal="center"/>
      <protection locked="0"/>
    </xf>
    <xf numFmtId="4" fontId="13" fillId="0" borderId="24" xfId="0" applyNumberFormat="1" applyFont="1" applyBorder="1" applyAlignment="1">
      <alignment horizontal="right"/>
    </xf>
    <xf numFmtId="4" fontId="13" fillId="0" borderId="25" xfId="0" applyNumberFormat="1" applyFont="1" applyBorder="1" applyAlignment="1">
      <alignment horizontal="right"/>
    </xf>
    <xf numFmtId="2" fontId="13" fillId="0" borderId="24" xfId="0" applyNumberFormat="1" applyFont="1" applyBorder="1" applyAlignment="1">
      <alignment horizontal="right"/>
    </xf>
    <xf numFmtId="2" fontId="13" fillId="0" borderId="29" xfId="0" applyNumberFormat="1" applyFont="1" applyBorder="1" applyAlignment="1">
      <alignment horizontal="right"/>
    </xf>
    <xf numFmtId="165" fontId="13" fillId="0" borderId="32" xfId="0" applyNumberFormat="1" applyFont="1" applyBorder="1" applyAlignment="1">
      <alignment horizontal="right"/>
    </xf>
    <xf numFmtId="165" fontId="13" fillId="0" borderId="25" xfId="0" applyNumberFormat="1" applyFont="1" applyBorder="1" applyAlignment="1">
      <alignment horizontal="right"/>
    </xf>
    <xf numFmtId="175" fontId="69" fillId="0" borderId="0" xfId="0" applyFont="1" applyAlignment="1">
      <alignment vertical="center"/>
    </xf>
    <xf numFmtId="175" fontId="14" fillId="0" borderId="0" xfId="0" applyFont="1" applyAlignment="1">
      <alignment vertical="center"/>
    </xf>
    <xf numFmtId="164" fontId="13" fillId="0" borderId="0" xfId="66" applyNumberFormat="1" applyAlignment="1">
      <alignment horizontal="center"/>
    </xf>
    <xf numFmtId="164" fontId="13" fillId="0" borderId="18" xfId="66" applyNumberFormat="1" applyBorder="1" applyAlignment="1">
      <alignment horizontal="center"/>
    </xf>
    <xf numFmtId="164" fontId="13" fillId="0" borderId="27" xfId="66" applyNumberFormat="1" applyBorder="1" applyAlignment="1">
      <alignment horizontal="center"/>
    </xf>
    <xf numFmtId="164" fontId="13" fillId="44" borderId="18" xfId="66" applyNumberFormat="1" applyFill="1" applyBorder="1" applyAlignment="1">
      <alignment horizontal="center"/>
    </xf>
    <xf numFmtId="164" fontId="14" fillId="0" borderId="49" xfId="66" applyNumberFormat="1" applyFont="1" applyBorder="1" applyAlignment="1">
      <alignment horizontal="center"/>
    </xf>
    <xf numFmtId="164" fontId="14" fillId="0" borderId="37" xfId="66" applyNumberFormat="1" applyFont="1" applyBorder="1" applyAlignment="1">
      <alignment horizontal="center"/>
    </xf>
    <xf numFmtId="164" fontId="13" fillId="0" borderId="0" xfId="66" applyNumberFormat="1" applyAlignment="1" applyProtection="1">
      <alignment horizontal="center"/>
      <protection locked="0"/>
    </xf>
    <xf numFmtId="175" fontId="13" fillId="0" borderId="0" xfId="66" applyAlignment="1">
      <alignment horizontal="center"/>
    </xf>
    <xf numFmtId="164" fontId="13" fillId="0" borderId="14" xfId="66" applyNumberFormat="1" applyBorder="1" applyAlignment="1" applyProtection="1">
      <alignment horizontal="center"/>
      <protection locked="0"/>
    </xf>
    <xf numFmtId="164" fontId="13" fillId="44" borderId="19" xfId="66" applyNumberFormat="1" applyFill="1" applyBorder="1" applyAlignment="1">
      <alignment horizontal="center"/>
    </xf>
    <xf numFmtId="2" fontId="13" fillId="0" borderId="24" xfId="0" applyNumberFormat="1" applyFont="1" applyBorder="1"/>
    <xf numFmtId="43" fontId="13" fillId="0" borderId="25" xfId="0" applyNumberFormat="1" applyFont="1" applyBorder="1" applyAlignment="1">
      <alignment horizontal="right"/>
    </xf>
    <xf numFmtId="43" fontId="13" fillId="0" borderId="24" xfId="0" applyNumberFormat="1" applyFont="1" applyBorder="1"/>
    <xf numFmtId="2" fontId="13" fillId="0" borderId="25" xfId="0" applyNumberFormat="1" applyFont="1" applyBorder="1" applyAlignment="1">
      <alignment horizontal="right"/>
    </xf>
    <xf numFmtId="2" fontId="13" fillId="0" borderId="32" xfId="0" applyNumberFormat="1" applyFont="1" applyBorder="1" applyAlignment="1">
      <alignment horizontal="right"/>
    </xf>
    <xf numFmtId="2" fontId="13" fillId="0" borderId="29" xfId="0" applyNumberFormat="1" applyFont="1" applyBorder="1"/>
    <xf numFmtId="175" fontId="14" fillId="47" borderId="0" xfId="66" applyFont="1" applyFill="1" applyAlignment="1" applyProtection="1">
      <alignment horizontal="center"/>
      <protection locked="0"/>
    </xf>
    <xf numFmtId="171" fontId="14" fillId="47" borderId="0" xfId="0" applyNumberFormat="1" applyFont="1" applyFill="1" applyAlignment="1" applyProtection="1">
      <alignment horizontal="center"/>
      <protection locked="0"/>
    </xf>
    <xf numFmtId="175" fontId="69" fillId="0" borderId="0" xfId="0" applyFont="1" applyProtection="1">
      <protection locked="0"/>
    </xf>
    <xf numFmtId="175" fontId="69" fillId="0" borderId="0" xfId="0" applyFont="1"/>
    <xf numFmtId="175" fontId="69" fillId="0" borderId="0" xfId="0" applyFont="1" applyAlignment="1">
      <alignment vertical="top"/>
    </xf>
    <xf numFmtId="175" fontId="15" fillId="47" borderId="0" xfId="0" quotePrefix="1" applyFont="1" applyFill="1" applyProtection="1">
      <protection locked="0"/>
    </xf>
    <xf numFmtId="175" fontId="71" fillId="0" borderId="0" xfId="0" applyFont="1" applyProtection="1">
      <protection locked="0"/>
    </xf>
    <xf numFmtId="175" fontId="72" fillId="0" borderId="0" xfId="0" applyFont="1" applyAlignment="1" applyProtection="1">
      <alignment horizontal="left"/>
      <protection locked="0"/>
    </xf>
    <xf numFmtId="175" fontId="72" fillId="0" borderId="0" xfId="0" applyFont="1" applyAlignment="1">
      <alignment horizontal="left" vertical="top"/>
    </xf>
    <xf numFmtId="4" fontId="13" fillId="0" borderId="0" xfId="66" applyNumberFormat="1" applyProtection="1">
      <protection locked="0"/>
    </xf>
    <xf numFmtId="175" fontId="65" fillId="0" borderId="0" xfId="66" applyFont="1" applyAlignment="1">
      <alignment wrapText="1"/>
    </xf>
    <xf numFmtId="164" fontId="65" fillId="43" borderId="0" xfId="66" applyNumberFormat="1" applyFont="1" applyFill="1"/>
    <xf numFmtId="164" fontId="65" fillId="0" borderId="0" xfId="66" applyNumberFormat="1" applyFont="1" applyAlignment="1">
      <alignment horizontal="right"/>
    </xf>
    <xf numFmtId="165" fontId="13" fillId="0" borderId="24" xfId="0" applyNumberFormat="1" applyFont="1" applyBorder="1" applyAlignment="1">
      <alignment horizontal="right"/>
    </xf>
    <xf numFmtId="165" fontId="13" fillId="0" borderId="30" xfId="0" applyNumberFormat="1" applyFont="1" applyBorder="1" applyAlignment="1">
      <alignment horizontal="right"/>
    </xf>
    <xf numFmtId="39" fontId="14" fillId="0" borderId="11" xfId="0" applyNumberFormat="1" applyFont="1" applyBorder="1" applyAlignment="1">
      <alignment horizontal="center"/>
    </xf>
    <xf numFmtId="6" fontId="13" fillId="0" borderId="0" xfId="66" applyNumberFormat="1" applyAlignment="1" applyProtection="1">
      <alignment horizontal="center"/>
      <protection locked="0"/>
    </xf>
    <xf numFmtId="6" fontId="13" fillId="0" borderId="0" xfId="66" applyNumberFormat="1" applyAlignment="1">
      <alignment horizontal="center"/>
    </xf>
    <xf numFmtId="175" fontId="66" fillId="43" borderId="60" xfId="66" applyFont="1" applyFill="1" applyBorder="1"/>
    <xf numFmtId="175" fontId="65" fillId="43" borderId="40" xfId="66" applyFont="1" applyFill="1" applyBorder="1" applyAlignment="1">
      <alignment horizontal="center" wrapText="1"/>
    </xf>
    <xf numFmtId="175" fontId="65" fillId="43" borderId="61" xfId="66" applyFont="1" applyFill="1" applyBorder="1" applyAlignment="1">
      <alignment horizontal="center" wrapText="1"/>
    </xf>
    <xf numFmtId="175" fontId="65" fillId="0" borderId="61" xfId="66" applyFont="1" applyBorder="1" applyAlignment="1">
      <alignment horizontal="center" wrapText="1"/>
    </xf>
    <xf numFmtId="164" fontId="66" fillId="0" borderId="61" xfId="66" applyNumberFormat="1" applyFont="1" applyBorder="1"/>
    <xf numFmtId="164" fontId="65" fillId="0" borderId="62" xfId="66" applyNumberFormat="1" applyFont="1" applyBorder="1" applyAlignment="1">
      <alignment horizontal="right"/>
    </xf>
    <xf numFmtId="40" fontId="13" fillId="0" borderId="24" xfId="0" applyNumberFormat="1" applyFont="1" applyBorder="1" applyAlignment="1">
      <alignment horizontal="right"/>
    </xf>
    <xf numFmtId="40" fontId="13" fillId="0" borderId="25" xfId="0" applyNumberFormat="1" applyFont="1" applyBorder="1" applyAlignment="1">
      <alignment horizontal="right"/>
    </xf>
    <xf numFmtId="6" fontId="13" fillId="0" borderId="11" xfId="66" applyNumberFormat="1" applyBorder="1" applyAlignment="1">
      <alignment horizontal="center"/>
    </xf>
    <xf numFmtId="6" fontId="13" fillId="0" borderId="17" xfId="66" applyNumberFormat="1" applyBorder="1" applyAlignment="1">
      <alignment horizontal="center"/>
    </xf>
    <xf numFmtId="175" fontId="13" fillId="0" borderId="0" xfId="66" applyAlignment="1" applyProtection="1">
      <alignment horizontal="center"/>
      <protection locked="0"/>
    </xf>
    <xf numFmtId="165" fontId="13" fillId="0" borderId="24" xfId="0" applyNumberFormat="1" applyFont="1" applyBorder="1"/>
    <xf numFmtId="165" fontId="13" fillId="0" borderId="25" xfId="0" applyNumberFormat="1" applyFont="1" applyBorder="1"/>
    <xf numFmtId="165" fontId="13" fillId="0" borderId="30" xfId="0" applyNumberFormat="1" applyFont="1" applyBorder="1"/>
    <xf numFmtId="165" fontId="13" fillId="0" borderId="32" xfId="0" applyNumberFormat="1" applyFont="1" applyBorder="1"/>
    <xf numFmtId="40" fontId="13" fillId="0" borderId="24" xfId="0" applyNumberFormat="1" applyFont="1" applyBorder="1"/>
    <xf numFmtId="40" fontId="13" fillId="0" borderId="25" xfId="0" applyNumberFormat="1" applyFont="1" applyBorder="1"/>
    <xf numFmtId="175" fontId="14" fillId="0" borderId="14" xfId="66" applyFont="1" applyBorder="1" applyAlignment="1" applyProtection="1">
      <alignment horizontal="right"/>
      <protection locked="0"/>
    </xf>
    <xf numFmtId="175" fontId="14" fillId="0" borderId="14" xfId="66" quotePrefix="1" applyFont="1" applyBorder="1" applyAlignment="1" applyProtection="1">
      <alignment horizontal="right"/>
      <protection locked="0"/>
    </xf>
    <xf numFmtId="6" fontId="13" fillId="0" borderId="17" xfId="66" applyNumberFormat="1" applyBorder="1" applyAlignment="1" applyProtection="1">
      <alignment horizontal="center"/>
      <protection locked="0"/>
    </xf>
    <xf numFmtId="6" fontId="13" fillId="0" borderId="0" xfId="66" applyNumberFormat="1" applyAlignment="1">
      <alignment horizontal="right"/>
    </xf>
    <xf numFmtId="6" fontId="13" fillId="0" borderId="18" xfId="66" applyNumberFormat="1" applyBorder="1" applyAlignment="1">
      <alignment horizontal="right"/>
    </xf>
    <xf numFmtId="6" fontId="50" fillId="0" borderId="0" xfId="520" applyNumberFormat="1" applyFont="1"/>
    <xf numFmtId="175" fontId="69" fillId="47" borderId="0" xfId="66" applyFont="1" applyFill="1" applyProtection="1">
      <protection locked="0"/>
    </xf>
    <xf numFmtId="0" fontId="50" fillId="0" borderId="0" xfId="520" applyFont="1"/>
    <xf numFmtId="0" fontId="13" fillId="0" borderId="0" xfId="522"/>
    <xf numFmtId="0" fontId="50" fillId="47" borderId="0" xfId="520" applyFont="1" applyFill="1"/>
    <xf numFmtId="168" fontId="50" fillId="0" borderId="0" xfId="520" applyNumberFormat="1" applyFont="1"/>
    <xf numFmtId="4" fontId="13" fillId="0" borderId="30" xfId="0" applyNumberFormat="1" applyFont="1" applyBorder="1" applyAlignment="1">
      <alignment horizontal="right"/>
    </xf>
    <xf numFmtId="44" fontId="66" fillId="47" borderId="0" xfId="50" applyFont="1" applyFill="1"/>
    <xf numFmtId="175" fontId="34" fillId="0" borderId="0" xfId="67" applyFont="1"/>
    <xf numFmtId="3" fontId="53" fillId="47" borderId="21" xfId="0" applyNumberFormat="1" applyFont="1" applyFill="1" applyBorder="1" applyAlignment="1">
      <alignment horizontal="center"/>
    </xf>
    <xf numFmtId="175" fontId="13" fillId="47" borderId="17" xfId="0" applyFont="1" applyFill="1" applyBorder="1" applyProtection="1">
      <protection locked="0"/>
    </xf>
    <xf numFmtId="175" fontId="13" fillId="47" borderId="13" xfId="0" applyFont="1" applyFill="1" applyBorder="1" applyProtection="1">
      <protection locked="0"/>
    </xf>
    <xf numFmtId="175" fontId="13" fillId="0" borderId="11" xfId="0" applyFont="1" applyBorder="1" applyAlignment="1">
      <alignment vertical="center"/>
    </xf>
    <xf numFmtId="2" fontId="13" fillId="0" borderId="11" xfId="0" applyNumberFormat="1" applyFont="1" applyBorder="1" applyAlignment="1">
      <alignment horizontal="right" vertical="center"/>
    </xf>
    <xf numFmtId="2" fontId="13" fillId="0" borderId="11" xfId="0" applyNumberFormat="1" applyFont="1" applyBorder="1" applyAlignment="1">
      <alignment vertical="center"/>
    </xf>
    <xf numFmtId="2" fontId="13" fillId="0" borderId="11" xfId="0" applyNumberFormat="1" applyFont="1" applyBorder="1" applyAlignment="1" applyProtection="1">
      <alignment vertical="center"/>
      <protection locked="0"/>
    </xf>
    <xf numFmtId="2" fontId="13" fillId="0" borderId="11" xfId="0" applyNumberFormat="1" applyFont="1" applyBorder="1" applyAlignment="1" applyProtection="1">
      <alignment horizontal="right" vertical="center"/>
      <protection locked="0"/>
    </xf>
    <xf numFmtId="2" fontId="13" fillId="47" borderId="11" xfId="0" applyNumberFormat="1" applyFont="1" applyFill="1" applyBorder="1" applyAlignment="1">
      <alignment horizontal="right" vertical="center"/>
    </xf>
    <xf numFmtId="175" fontId="0" fillId="0" borderId="11" xfId="0" applyBorder="1" applyAlignment="1">
      <alignment vertical="center"/>
    </xf>
    <xf numFmtId="2" fontId="15" fillId="47" borderId="11" xfId="0" applyNumberFormat="1" applyFont="1" applyFill="1" applyBorder="1" applyAlignment="1">
      <alignment horizontal="right" vertical="center"/>
    </xf>
    <xf numFmtId="2" fontId="15" fillId="47" borderId="11" xfId="0" applyNumberFormat="1" applyFont="1" applyFill="1" applyBorder="1" applyAlignment="1" applyProtection="1">
      <alignment horizontal="right" vertical="center"/>
      <protection locked="0"/>
    </xf>
    <xf numFmtId="2" fontId="15" fillId="47" borderId="11" xfId="0" applyNumberFormat="1" applyFont="1" applyFill="1" applyBorder="1" applyAlignment="1">
      <alignment vertical="center"/>
    </xf>
    <xf numFmtId="2" fontId="15" fillId="47" borderId="11" xfId="0" applyNumberFormat="1" applyFont="1" applyFill="1" applyBorder="1" applyAlignment="1" applyProtection="1">
      <alignment vertical="center"/>
      <protection locked="0"/>
    </xf>
    <xf numFmtId="2" fontId="56" fillId="0" borderId="11" xfId="0" applyNumberFormat="1" applyFont="1" applyBorder="1" applyAlignment="1">
      <alignment horizontal="right" vertical="center"/>
    </xf>
    <xf numFmtId="3" fontId="13" fillId="47" borderId="11" xfId="0" applyNumberFormat="1" applyFont="1" applyFill="1" applyBorder="1" applyAlignment="1">
      <alignment horizontal="center" vertical="center" wrapText="1"/>
    </xf>
    <xf numFmtId="2" fontId="56" fillId="47" borderId="11" xfId="0" applyNumberFormat="1" applyFont="1" applyFill="1" applyBorder="1" applyAlignment="1">
      <alignment horizontal="right" vertical="center"/>
    </xf>
    <xf numFmtId="2" fontId="56" fillId="0" borderId="11" xfId="0" applyNumberFormat="1" applyFont="1" applyBorder="1" applyAlignment="1" applyProtection="1">
      <alignment horizontal="right" vertical="center"/>
      <protection locked="0"/>
    </xf>
    <xf numFmtId="2" fontId="56" fillId="0" borderId="13" xfId="0" applyNumberFormat="1" applyFont="1" applyBorder="1" applyAlignment="1">
      <alignment horizontal="right" vertical="center"/>
    </xf>
    <xf numFmtId="2" fontId="56" fillId="0" borderId="13" xfId="0" applyNumberFormat="1" applyFont="1" applyBorder="1" applyAlignment="1" applyProtection="1">
      <alignment horizontal="right" vertical="center"/>
      <protection locked="0"/>
    </xf>
    <xf numFmtId="2" fontId="56" fillId="47" borderId="13" xfId="0" applyNumberFormat="1" applyFont="1" applyFill="1" applyBorder="1" applyAlignment="1">
      <alignment horizontal="right" vertical="center"/>
    </xf>
    <xf numFmtId="175" fontId="14" fillId="0" borderId="34" xfId="0" applyFont="1" applyBorder="1" applyAlignment="1">
      <alignment horizontal="center"/>
    </xf>
    <xf numFmtId="3" fontId="13" fillId="0" borderId="11" xfId="0" applyNumberFormat="1" applyFont="1" applyBorder="1" applyAlignment="1">
      <alignment horizontal="left" vertical="center" wrapText="1"/>
    </xf>
    <xf numFmtId="3" fontId="13" fillId="0" borderId="11" xfId="0" applyNumberFormat="1" applyFont="1" applyBorder="1" applyAlignment="1">
      <alignment horizontal="center" vertical="center" wrapText="1"/>
    </xf>
    <xf numFmtId="2" fontId="13" fillId="47" borderId="11" xfId="0" applyNumberFormat="1" applyFont="1" applyFill="1" applyBorder="1" applyAlignment="1" applyProtection="1">
      <alignment horizontal="right" vertical="center"/>
      <protection locked="0"/>
    </xf>
    <xf numFmtId="175" fontId="34" fillId="0" borderId="11" xfId="0" applyFont="1" applyBorder="1" applyAlignment="1" applyProtection="1">
      <alignment horizontal="left"/>
      <protection locked="0"/>
    </xf>
    <xf numFmtId="175" fontId="34" fillId="47" borderId="11" xfId="0" applyFont="1" applyFill="1" applyBorder="1" applyAlignment="1" applyProtection="1">
      <alignment horizontal="left"/>
      <protection locked="0"/>
    </xf>
    <xf numFmtId="6" fontId="13" fillId="0" borderId="19" xfId="66" applyNumberFormat="1" applyBorder="1" applyAlignment="1">
      <alignment horizontal="center"/>
    </xf>
    <xf numFmtId="6" fontId="14" fillId="0" borderId="20" xfId="66" applyNumberFormat="1" applyFont="1" applyBorder="1" applyAlignment="1">
      <alignment horizontal="center"/>
    </xf>
    <xf numFmtId="6" fontId="14" fillId="0" borderId="11" xfId="66" applyNumberFormat="1" applyFont="1" applyBorder="1" applyAlignment="1">
      <alignment horizontal="center"/>
    </xf>
    <xf numFmtId="6" fontId="14" fillId="0" borderId="33" xfId="66" applyNumberFormat="1" applyFont="1" applyBorder="1" applyAlignment="1">
      <alignment horizontal="center"/>
    </xf>
    <xf numFmtId="6" fontId="14" fillId="0" borderId="23" xfId="66" applyNumberFormat="1" applyFont="1" applyBorder="1" applyAlignment="1">
      <alignment horizontal="center"/>
    </xf>
    <xf numFmtId="6" fontId="14" fillId="0" borderId="19" xfId="66" applyNumberFormat="1" applyFont="1" applyBorder="1" applyAlignment="1">
      <alignment horizontal="center"/>
    </xf>
    <xf numFmtId="44" fontId="66" fillId="0" borderId="0" xfId="50" applyFont="1"/>
    <xf numFmtId="0" fontId="75" fillId="0" borderId="0" xfId="520" applyFont="1"/>
    <xf numFmtId="0" fontId="75" fillId="0" borderId="27" xfId="520" applyFont="1" applyBorder="1" applyAlignment="1">
      <alignment horizontal="center" vertical="center"/>
    </xf>
    <xf numFmtId="0" fontId="77" fillId="0" borderId="14" xfId="520" applyFont="1" applyBorder="1" applyAlignment="1">
      <alignment horizontal="center" vertical="center" wrapText="1"/>
    </xf>
    <xf numFmtId="6" fontId="75" fillId="0" borderId="0" xfId="520" applyNumberFormat="1" applyFont="1"/>
    <xf numFmtId="6" fontId="75" fillId="0" borderId="14" xfId="520" applyNumberFormat="1" applyFont="1" applyBorder="1"/>
    <xf numFmtId="0" fontId="75" fillId="46" borderId="0" xfId="520" applyFont="1" applyFill="1"/>
    <xf numFmtId="0" fontId="75" fillId="0" borderId="27" xfId="520" applyFont="1" applyBorder="1"/>
    <xf numFmtId="0" fontId="75" fillId="45" borderId="0" xfId="520" applyFont="1" applyFill="1"/>
    <xf numFmtId="0" fontId="79" fillId="0" borderId="0" xfId="520" applyFont="1"/>
    <xf numFmtId="6" fontId="77" fillId="0" borderId="0" xfId="520" applyNumberFormat="1" applyFont="1"/>
    <xf numFmtId="6" fontId="13" fillId="0" borderId="23" xfId="66" applyNumberFormat="1" applyBorder="1" applyAlignment="1">
      <alignment horizontal="right"/>
    </xf>
    <xf numFmtId="175" fontId="13" fillId="0" borderId="11" xfId="66" applyBorder="1" applyProtection="1">
      <protection locked="0"/>
    </xf>
    <xf numFmtId="175" fontId="14" fillId="0" borderId="11" xfId="66" applyFont="1" applyBorder="1" applyAlignment="1">
      <alignment wrapText="1"/>
    </xf>
    <xf numFmtId="3" fontId="13" fillId="47" borderId="11" xfId="0" applyNumberFormat="1" applyFont="1" applyFill="1" applyBorder="1" applyAlignment="1">
      <alignment horizontal="left" vertical="center" wrapText="1"/>
    </xf>
    <xf numFmtId="165" fontId="15" fillId="47" borderId="0" xfId="0" applyNumberFormat="1" applyFont="1" applyFill="1" applyProtection="1">
      <protection locked="0"/>
    </xf>
    <xf numFmtId="6" fontId="13" fillId="47" borderId="0" xfId="66" applyNumberFormat="1" applyFill="1" applyProtection="1">
      <protection locked="0"/>
    </xf>
    <xf numFmtId="175" fontId="76" fillId="47" borderId="0" xfId="66" applyFont="1" applyFill="1" applyAlignment="1" applyProtection="1">
      <alignment vertical="top"/>
      <protection locked="0"/>
    </xf>
    <xf numFmtId="6" fontId="75" fillId="0" borderId="42" xfId="520" applyNumberFormat="1" applyFont="1" applyBorder="1"/>
    <xf numFmtId="6" fontId="75" fillId="0" borderId="16" xfId="520" applyNumberFormat="1" applyFont="1" applyBorder="1"/>
    <xf numFmtId="0" fontId="75" fillId="0" borderId="42" xfId="520" applyFont="1" applyBorder="1"/>
    <xf numFmtId="0" fontId="75" fillId="0" borderId="55" xfId="520" applyFont="1" applyBorder="1"/>
    <xf numFmtId="0" fontId="75" fillId="0" borderId="17" xfId="520" applyFont="1" applyBorder="1" applyAlignment="1">
      <alignment horizontal="left" indent="2"/>
    </xf>
    <xf numFmtId="0" fontId="75" fillId="0" borderId="17" xfId="520" applyFont="1" applyBorder="1"/>
    <xf numFmtId="0" fontId="77" fillId="0" borderId="22" xfId="520" applyFont="1" applyBorder="1"/>
    <xf numFmtId="175" fontId="61" fillId="47" borderId="0" xfId="0" applyFont="1" applyFill="1" applyAlignment="1">
      <alignment vertical="center"/>
    </xf>
    <xf numFmtId="175" fontId="13" fillId="0" borderId="63" xfId="66" applyBorder="1" applyProtection="1">
      <protection locked="0"/>
    </xf>
    <xf numFmtId="175" fontId="13" fillId="0" borderId="64" xfId="66" applyBorder="1" applyProtection="1">
      <protection locked="0"/>
    </xf>
    <xf numFmtId="175" fontId="14" fillId="0" borderId="45" xfId="66" applyFont="1" applyBorder="1" applyAlignment="1" applyProtection="1">
      <alignment horizontal="center" wrapText="1"/>
      <protection locked="0"/>
    </xf>
    <xf numFmtId="175" fontId="13" fillId="0" borderId="47" xfId="66" applyBorder="1" applyProtection="1">
      <protection locked="0"/>
    </xf>
    <xf numFmtId="167" fontId="13" fillId="0" borderId="47" xfId="66" applyNumberFormat="1" applyBorder="1" applyAlignment="1">
      <alignment horizontal="right"/>
    </xf>
    <xf numFmtId="167" fontId="13" fillId="0" borderId="45" xfId="66" applyNumberFormat="1" applyBorder="1" applyAlignment="1">
      <alignment horizontal="right"/>
    </xf>
    <xf numFmtId="167" fontId="13" fillId="0" borderId="45" xfId="66" applyNumberFormat="1" applyBorder="1"/>
    <xf numFmtId="167" fontId="13" fillId="0" borderId="47" xfId="66" applyNumberFormat="1" applyBorder="1"/>
    <xf numFmtId="175" fontId="13" fillId="47" borderId="41" xfId="0" applyFont="1" applyFill="1" applyBorder="1"/>
    <xf numFmtId="167" fontId="13" fillId="0" borderId="65" xfId="66" applyNumberFormat="1" applyBorder="1"/>
    <xf numFmtId="6" fontId="13" fillId="0" borderId="66" xfId="66" applyNumberFormat="1" applyBorder="1" applyProtection="1">
      <protection locked="0"/>
    </xf>
    <xf numFmtId="175" fontId="13" fillId="0" borderId="67" xfId="66" applyBorder="1" applyProtection="1">
      <protection locked="0"/>
    </xf>
    <xf numFmtId="175" fontId="15" fillId="0" borderId="20" xfId="0" applyFont="1" applyBorder="1" applyAlignment="1" applyProtection="1">
      <alignment horizontal="left"/>
      <protection locked="0"/>
    </xf>
    <xf numFmtId="175" fontId="34" fillId="0" borderId="15" xfId="0" applyFont="1" applyBorder="1" applyAlignment="1" applyProtection="1">
      <alignment horizontal="center" wrapText="1"/>
      <protection locked="0"/>
    </xf>
    <xf numFmtId="166" fontId="15" fillId="0" borderId="11" xfId="46" applyNumberFormat="1" applyFont="1" applyBorder="1" applyAlignment="1" applyProtection="1">
      <alignment horizontal="right"/>
      <protection locked="0"/>
    </xf>
    <xf numFmtId="175" fontId="14" fillId="0" borderId="68" xfId="66" applyFont="1" applyBorder="1" applyProtection="1">
      <protection locked="0"/>
    </xf>
    <xf numFmtId="175" fontId="14" fillId="0" borderId="34" xfId="66" applyFont="1" applyBorder="1" applyProtection="1">
      <protection locked="0"/>
    </xf>
    <xf numFmtId="175" fontId="16" fillId="0" borderId="17" xfId="66" applyFont="1" applyBorder="1" applyAlignment="1">
      <alignment wrapText="1"/>
    </xf>
    <xf numFmtId="175" fontId="13" fillId="0" borderId="17" xfId="66" applyBorder="1" applyAlignment="1">
      <alignment horizontal="left" indent="1"/>
    </xf>
    <xf numFmtId="175" fontId="13" fillId="47" borderId="17" xfId="66" applyFill="1" applyBorder="1" applyAlignment="1">
      <alignment horizontal="left" indent="1"/>
    </xf>
    <xf numFmtId="175" fontId="14" fillId="0" borderId="20" xfId="66" applyFont="1" applyBorder="1"/>
    <xf numFmtId="175" fontId="14" fillId="0" borderId="17" xfId="66" applyFont="1" applyBorder="1"/>
    <xf numFmtId="175" fontId="13" fillId="0" borderId="17" xfId="66" quotePrefix="1" applyBorder="1" applyAlignment="1">
      <alignment horizontal="left" indent="1"/>
    </xf>
    <xf numFmtId="175" fontId="14" fillId="0" borderId="20" xfId="66" applyFont="1" applyBorder="1" applyAlignment="1">
      <alignment wrapText="1"/>
    </xf>
    <xf numFmtId="175" fontId="14" fillId="0" borderId="22" xfId="66" applyFont="1" applyBorder="1" applyAlignment="1" applyProtection="1">
      <alignment wrapText="1"/>
      <protection locked="0"/>
    </xf>
    <xf numFmtId="6" fontId="75" fillId="49" borderId="18" xfId="520" applyNumberFormat="1" applyFont="1" applyFill="1" applyBorder="1"/>
    <xf numFmtId="6" fontId="75" fillId="49" borderId="19" xfId="520" applyNumberFormat="1" applyFont="1" applyFill="1" applyBorder="1"/>
    <xf numFmtId="0" fontId="75" fillId="49" borderId="18" xfId="520" applyFont="1" applyFill="1" applyBorder="1"/>
    <xf numFmtId="0" fontId="75" fillId="49" borderId="19" xfId="520" applyFont="1" applyFill="1" applyBorder="1"/>
    <xf numFmtId="0" fontId="78" fillId="49" borderId="18" xfId="520" applyFont="1" applyFill="1" applyBorder="1"/>
    <xf numFmtId="0" fontId="78" fillId="49" borderId="19" xfId="520" applyFont="1" applyFill="1" applyBorder="1"/>
    <xf numFmtId="175" fontId="13" fillId="0" borderId="11" xfId="66" applyBorder="1" applyAlignment="1" applyProtection="1">
      <alignment horizontal="center"/>
      <protection locked="0"/>
    </xf>
    <xf numFmtId="175" fontId="65" fillId="0" borderId="39" xfId="66" applyFont="1" applyBorder="1" applyAlignment="1">
      <alignment horizontal="left" wrapText="1" indent="1"/>
    </xf>
    <xf numFmtId="164" fontId="65" fillId="43" borderId="71" xfId="66" applyNumberFormat="1" applyFont="1" applyFill="1" applyBorder="1"/>
    <xf numFmtId="164" fontId="65" fillId="43" borderId="69" xfId="66" applyNumberFormat="1" applyFont="1" applyFill="1" applyBorder="1"/>
    <xf numFmtId="164" fontId="66" fillId="0" borderId="17" xfId="66" applyNumberFormat="1" applyFont="1" applyBorder="1"/>
    <xf numFmtId="175" fontId="65" fillId="47" borderId="41" xfId="66" applyFont="1" applyFill="1" applyBorder="1" applyAlignment="1">
      <alignment horizontal="center"/>
    </xf>
    <xf numFmtId="175" fontId="66" fillId="0" borderId="41" xfId="66" applyFont="1" applyBorder="1"/>
    <xf numFmtId="175" fontId="66" fillId="47" borderId="41" xfId="66" applyFont="1" applyFill="1" applyBorder="1"/>
    <xf numFmtId="164" fontId="65" fillId="43" borderId="14" xfId="66" applyNumberFormat="1" applyFont="1" applyFill="1" applyBorder="1"/>
    <xf numFmtId="164" fontId="65" fillId="0" borderId="61" xfId="66" applyNumberFormat="1" applyFont="1" applyBorder="1"/>
    <xf numFmtId="175" fontId="14" fillId="47" borderId="11" xfId="66" applyFont="1" applyFill="1" applyBorder="1" applyAlignment="1" applyProtection="1">
      <alignment horizontal="center" wrapText="1"/>
      <protection locked="0"/>
    </xf>
    <xf numFmtId="175" fontId="13" fillId="47" borderId="13" xfId="66" applyFill="1" applyBorder="1" applyProtection="1">
      <protection locked="0"/>
    </xf>
    <xf numFmtId="6" fontId="13" fillId="47" borderId="13" xfId="66" applyNumberFormat="1" applyFill="1" applyBorder="1" applyAlignment="1">
      <alignment horizontal="right"/>
    </xf>
    <xf numFmtId="6" fontId="13" fillId="47" borderId="11" xfId="66" applyNumberFormat="1" applyFill="1" applyBorder="1"/>
    <xf numFmtId="6" fontId="13" fillId="47" borderId="13" xfId="66" applyNumberFormat="1" applyFill="1" applyBorder="1"/>
    <xf numFmtId="6" fontId="13" fillId="47" borderId="33" xfId="66" applyNumberFormat="1" applyFill="1" applyBorder="1" applyAlignment="1">
      <alignment horizontal="right"/>
    </xf>
    <xf numFmtId="6" fontId="75" fillId="0" borderId="17" xfId="520" applyNumberFormat="1" applyFont="1" applyBorder="1"/>
    <xf numFmtId="6" fontId="75" fillId="0" borderId="21" xfId="520" applyNumberFormat="1" applyFont="1" applyBorder="1"/>
    <xf numFmtId="0" fontId="75" fillId="0" borderId="22" xfId="520" applyFont="1" applyBorder="1"/>
    <xf numFmtId="175" fontId="14" fillId="0" borderId="0" xfId="66" applyFont="1" applyAlignment="1" applyProtection="1">
      <alignment horizontal="center"/>
      <protection locked="0"/>
    </xf>
    <xf numFmtId="175" fontId="14" fillId="0" borderId="0" xfId="66" quotePrefix="1" applyFont="1" applyAlignment="1" applyProtection="1">
      <alignment horizontal="center"/>
      <protection locked="0"/>
    </xf>
    <xf numFmtId="6" fontId="13" fillId="0" borderId="34" xfId="66" applyNumberFormat="1" applyBorder="1" applyAlignment="1">
      <alignment horizontal="center"/>
    </xf>
    <xf numFmtId="175" fontId="13" fillId="0" borderId="11" xfId="66" applyBorder="1"/>
    <xf numFmtId="175" fontId="13" fillId="0" borderId="20" xfId="66" applyBorder="1"/>
    <xf numFmtId="175" fontId="14" fillId="0" borderId="34" xfId="66" applyFont="1" applyBorder="1" applyAlignment="1" applyProtection="1">
      <alignment horizontal="center"/>
      <protection locked="0"/>
    </xf>
    <xf numFmtId="175" fontId="14" fillId="0" borderId="34" xfId="66" quotePrefix="1" applyFont="1" applyBorder="1" applyAlignment="1" applyProtection="1">
      <alignment horizontal="center"/>
      <protection locked="0"/>
    </xf>
    <xf numFmtId="175" fontId="13" fillId="47" borderId="11" xfId="66" applyFill="1" applyBorder="1"/>
    <xf numFmtId="175" fontId="67" fillId="47" borderId="0" xfId="0" applyFont="1" applyFill="1" applyAlignment="1">
      <alignment vertical="center"/>
    </xf>
    <xf numFmtId="6" fontId="75" fillId="0" borderId="13" xfId="520" applyNumberFormat="1" applyFont="1" applyBorder="1"/>
    <xf numFmtId="6" fontId="75" fillId="0" borderId="34" xfId="520" applyNumberFormat="1" applyFont="1" applyBorder="1"/>
    <xf numFmtId="175" fontId="61" fillId="0" borderId="0" xfId="66" applyFont="1" applyProtection="1">
      <protection locked="0"/>
    </xf>
    <xf numFmtId="175" fontId="13" fillId="0" borderId="17" xfId="66" applyBorder="1"/>
    <xf numFmtId="175" fontId="13" fillId="47" borderId="17" xfId="0" applyFont="1" applyFill="1" applyBorder="1" applyAlignment="1">
      <alignment horizontal="left"/>
    </xf>
    <xf numFmtId="175" fontId="66" fillId="43" borderId="63" xfId="66" applyFont="1" applyFill="1" applyBorder="1"/>
    <xf numFmtId="175" fontId="65" fillId="43" borderId="64" xfId="66" applyFont="1" applyFill="1" applyBorder="1" applyAlignment="1">
      <alignment horizontal="center"/>
    </xf>
    <xf numFmtId="175" fontId="65" fillId="43" borderId="72" xfId="66" applyFont="1" applyFill="1" applyBorder="1" applyAlignment="1">
      <alignment horizontal="center"/>
    </xf>
    <xf numFmtId="175" fontId="65" fillId="0" borderId="59" xfId="66" applyFont="1" applyBorder="1"/>
    <xf numFmtId="175" fontId="14" fillId="0" borderId="11" xfId="66" applyFont="1" applyBorder="1" applyAlignment="1" applyProtection="1">
      <alignment horizontal="left"/>
      <protection locked="0"/>
    </xf>
    <xf numFmtId="175" fontId="14" fillId="0" borderId="61" xfId="66" applyFont="1" applyBorder="1" applyAlignment="1">
      <alignment horizontal="center"/>
    </xf>
    <xf numFmtId="175" fontId="14" fillId="0" borderId="61" xfId="66" applyFont="1" applyBorder="1" applyAlignment="1">
      <alignment horizontal="left"/>
    </xf>
    <xf numFmtId="175" fontId="14" fillId="0" borderId="40" xfId="66" applyFont="1" applyBorder="1"/>
    <xf numFmtId="175" fontId="13" fillId="0" borderId="61" xfId="66" applyBorder="1"/>
    <xf numFmtId="175" fontId="14" fillId="0" borderId="61" xfId="66" applyFont="1" applyBorder="1"/>
    <xf numFmtId="175" fontId="14" fillId="0" borderId="40" xfId="66" applyFont="1" applyBorder="1" applyAlignment="1">
      <alignment horizontal="left" wrapText="1" indent="1"/>
    </xf>
    <xf numFmtId="175" fontId="14" fillId="0" borderId="61" xfId="66" applyFont="1" applyBorder="1" applyAlignment="1">
      <alignment horizontal="left" indent="1"/>
    </xf>
    <xf numFmtId="175" fontId="14" fillId="0" borderId="61" xfId="66" applyFont="1" applyBorder="1" applyAlignment="1">
      <alignment horizontal="center" wrapText="1"/>
    </xf>
    <xf numFmtId="175" fontId="14" fillId="0" borderId="40" xfId="66" applyFont="1" applyBorder="1" applyAlignment="1">
      <alignment horizontal="left" indent="1"/>
    </xf>
    <xf numFmtId="175" fontId="14" fillId="0" borderId="70" xfId="66" applyFont="1" applyBorder="1" applyAlignment="1">
      <alignment horizontal="left" indent="1"/>
    </xf>
    <xf numFmtId="175" fontId="14" fillId="0" borderId="74" xfId="66" applyFont="1" applyBorder="1" applyAlignment="1">
      <alignment wrapText="1"/>
    </xf>
    <xf numFmtId="175" fontId="14" fillId="0" borderId="75" xfId="66" applyFont="1" applyBorder="1" applyAlignment="1">
      <alignment horizontal="center" wrapText="1"/>
    </xf>
    <xf numFmtId="175" fontId="13" fillId="0" borderId="72" xfId="66" applyBorder="1"/>
    <xf numFmtId="164" fontId="13" fillId="0" borderId="72" xfId="66" applyNumberFormat="1" applyBorder="1"/>
    <xf numFmtId="164" fontId="13" fillId="0" borderId="64" xfId="66" applyNumberFormat="1" applyBorder="1"/>
    <xf numFmtId="164" fontId="13" fillId="0" borderId="76" xfId="66" applyNumberFormat="1" applyBorder="1"/>
    <xf numFmtId="164" fontId="13" fillId="44" borderId="64" xfId="66" applyNumberFormat="1" applyFill="1" applyBorder="1" applyAlignment="1">
      <alignment horizontal="right"/>
    </xf>
    <xf numFmtId="164" fontId="14" fillId="0" borderId="77" xfId="66" applyNumberFormat="1" applyFont="1" applyBorder="1"/>
    <xf numFmtId="175" fontId="14" fillId="0" borderId="78" xfId="66" applyFont="1" applyBorder="1" applyAlignment="1">
      <alignment horizontal="center"/>
    </xf>
    <xf numFmtId="175" fontId="14" fillId="0" borderId="75" xfId="66" applyFont="1" applyBorder="1" applyAlignment="1">
      <alignment horizontal="center"/>
    </xf>
    <xf numFmtId="164" fontId="13" fillId="0" borderId="41" xfId="66" applyNumberFormat="1" applyBorder="1"/>
    <xf numFmtId="164" fontId="13" fillId="0" borderId="72" xfId="66" applyNumberFormat="1" applyBorder="1" applyAlignment="1">
      <alignment horizontal="center"/>
    </xf>
    <xf numFmtId="164" fontId="13" fillId="0" borderId="79" xfId="66" applyNumberFormat="1" applyBorder="1"/>
    <xf numFmtId="164" fontId="13" fillId="0" borderId="64" xfId="66" applyNumberFormat="1" applyBorder="1" applyAlignment="1">
      <alignment horizontal="center"/>
    </xf>
    <xf numFmtId="164" fontId="13" fillId="0" borderId="72" xfId="66" applyNumberFormat="1" applyBorder="1" applyAlignment="1" applyProtection="1">
      <alignment horizontal="center"/>
      <protection locked="0"/>
    </xf>
    <xf numFmtId="164" fontId="13" fillId="0" borderId="80" xfId="66" applyNumberFormat="1" applyBorder="1" applyAlignment="1" applyProtection="1">
      <alignment horizontal="center"/>
      <protection locked="0"/>
    </xf>
    <xf numFmtId="164" fontId="13" fillId="0" borderId="73" xfId="66" applyNumberFormat="1" applyBorder="1"/>
    <xf numFmtId="164" fontId="13" fillId="0" borderId="76" xfId="66" applyNumberFormat="1" applyBorder="1" applyAlignment="1">
      <alignment horizontal="center"/>
    </xf>
    <xf numFmtId="164" fontId="13" fillId="44" borderId="79" xfId="66" applyNumberFormat="1" applyFill="1" applyBorder="1"/>
    <xf numFmtId="164" fontId="13" fillId="44" borderId="64" xfId="66" applyNumberFormat="1" applyFill="1" applyBorder="1" applyAlignment="1">
      <alignment horizontal="center"/>
    </xf>
    <xf numFmtId="164" fontId="14" fillId="0" borderId="81" xfId="66" applyNumberFormat="1" applyFont="1" applyBorder="1"/>
    <xf numFmtId="164" fontId="14" fillId="0" borderId="77" xfId="66" applyNumberFormat="1" applyFont="1" applyBorder="1" applyAlignment="1">
      <alignment horizontal="center"/>
    </xf>
    <xf numFmtId="175" fontId="62" fillId="0" borderId="0" xfId="66" applyFont="1" applyProtection="1">
      <protection locked="0"/>
    </xf>
    <xf numFmtId="43" fontId="13" fillId="50" borderId="27" xfId="46" quotePrefix="1" applyFill="1" applyBorder="1" applyAlignment="1">
      <alignment horizontal="left"/>
    </xf>
    <xf numFmtId="43" fontId="13" fillId="50" borderId="55" xfId="46" quotePrefix="1" applyFill="1" applyBorder="1" applyAlignment="1">
      <alignment horizontal="left"/>
    </xf>
    <xf numFmtId="43" fontId="13" fillId="50" borderId="0" xfId="46" quotePrefix="1" applyFill="1" applyAlignment="1">
      <alignment horizontal="left"/>
    </xf>
    <xf numFmtId="43" fontId="13" fillId="50" borderId="42" xfId="46" quotePrefix="1" applyFill="1" applyBorder="1" applyAlignment="1">
      <alignment horizontal="left"/>
    </xf>
    <xf numFmtId="43" fontId="13" fillId="50" borderId="14" xfId="46" quotePrefix="1" applyFill="1" applyBorder="1" applyAlignment="1">
      <alignment horizontal="left"/>
    </xf>
    <xf numFmtId="43" fontId="13" fillId="50" borderId="16" xfId="46" quotePrefix="1" applyFill="1" applyBorder="1" applyAlignment="1">
      <alignment horizontal="left"/>
    </xf>
    <xf numFmtId="43" fontId="13" fillId="50" borderId="0" xfId="46" quotePrefix="1" applyFill="1" applyAlignment="1">
      <alignment horizontal="center"/>
    </xf>
    <xf numFmtId="43" fontId="13" fillId="50" borderId="0" xfId="46" quotePrefix="1" applyFill="1" applyAlignment="1">
      <alignment horizontal="right"/>
    </xf>
    <xf numFmtId="43" fontId="13" fillId="50" borderId="0" xfId="46" quotePrefix="1" applyFill="1"/>
    <xf numFmtId="43" fontId="13" fillId="50" borderId="42" xfId="46" quotePrefix="1" applyFill="1" applyBorder="1"/>
    <xf numFmtId="3" fontId="14" fillId="47" borderId="18" xfId="0" applyNumberFormat="1" applyFont="1" applyFill="1" applyBorder="1" applyAlignment="1">
      <alignment horizontal="center" wrapText="1"/>
    </xf>
    <xf numFmtId="175" fontId="14" fillId="47" borderId="26" xfId="0" applyFont="1" applyFill="1" applyBorder="1" applyAlignment="1">
      <alignment horizontal="center"/>
    </xf>
    <xf numFmtId="175" fontId="84" fillId="0" borderId="0" xfId="0" applyFont="1" applyAlignment="1" applyProtection="1">
      <alignment vertical="center"/>
      <protection locked="0"/>
    </xf>
    <xf numFmtId="175" fontId="85" fillId="0" borderId="0" xfId="0" applyFont="1" applyAlignment="1" applyProtection="1">
      <alignment vertical="center"/>
      <protection locked="0"/>
    </xf>
    <xf numFmtId="175" fontId="34" fillId="47" borderId="0" xfId="0" applyFont="1" applyFill="1" applyProtection="1">
      <protection locked="0"/>
    </xf>
    <xf numFmtId="164" fontId="65" fillId="47" borderId="43" xfId="66" applyNumberFormat="1" applyFont="1" applyFill="1" applyBorder="1"/>
    <xf numFmtId="43" fontId="13" fillId="0" borderId="0" xfId="46" applyProtection="1">
      <protection locked="0"/>
    </xf>
    <xf numFmtId="2" fontId="15" fillId="0" borderId="0" xfId="0" applyNumberFormat="1" applyFont="1" applyProtection="1">
      <protection locked="0"/>
    </xf>
    <xf numFmtId="175" fontId="14" fillId="47" borderId="0" xfId="782" applyFont="1" applyFill="1" applyAlignment="1">
      <alignment vertical="center"/>
    </xf>
    <xf numFmtId="0" fontId="15" fillId="0" borderId="11" xfId="67" applyNumberFormat="1" applyBorder="1" applyAlignment="1">
      <alignment horizontal="center" vertical="center" wrapText="1"/>
    </xf>
    <xf numFmtId="6" fontId="15" fillId="0" borderId="11" xfId="67" applyNumberFormat="1" applyBorder="1" applyAlignment="1">
      <alignment horizontal="center" vertical="center" wrapText="1"/>
    </xf>
    <xf numFmtId="175" fontId="15" fillId="0" borderId="11" xfId="67" applyBorder="1" applyAlignment="1">
      <alignment horizontal="left" vertical="center" wrapText="1"/>
    </xf>
    <xf numFmtId="14" fontId="15" fillId="0" borderId="11" xfId="67" applyNumberFormat="1" applyBorder="1" applyAlignment="1">
      <alignment horizontal="center" vertical="center" wrapText="1"/>
    </xf>
    <xf numFmtId="175" fontId="34" fillId="0" borderId="0" xfId="67" applyFont="1" applyAlignment="1">
      <alignment horizontal="center" vertical="center"/>
    </xf>
    <xf numFmtId="0" fontId="15" fillId="0" borderId="11" xfId="67" applyNumberFormat="1" applyBorder="1" applyAlignment="1" applyProtection="1">
      <alignment horizontal="center" vertical="center"/>
      <protection locked="0"/>
    </xf>
    <xf numFmtId="6" fontId="15" fillId="0" borderId="11" xfId="67" applyNumberFormat="1" applyBorder="1" applyAlignment="1" applyProtection="1">
      <alignment horizontal="center" vertical="center"/>
      <protection locked="0"/>
    </xf>
    <xf numFmtId="175" fontId="15" fillId="0" borderId="0" xfId="67" applyAlignment="1" applyProtection="1">
      <alignment vertical="center"/>
      <protection locked="0"/>
    </xf>
    <xf numFmtId="175" fontId="15" fillId="0" borderId="11" xfId="67" applyBorder="1" applyAlignment="1">
      <alignment horizontal="center" vertical="center" wrapText="1"/>
    </xf>
    <xf numFmtId="175" fontId="15" fillId="0" borderId="11" xfId="67" applyBorder="1" applyAlignment="1" applyProtection="1">
      <alignment horizontal="center" vertical="center" wrapText="1"/>
      <protection locked="0"/>
    </xf>
    <xf numFmtId="175" fontId="13" fillId="0" borderId="11" xfId="66" applyBorder="1" applyAlignment="1" applyProtection="1">
      <alignment vertical="center" wrapText="1"/>
      <protection locked="0"/>
    </xf>
    <xf numFmtId="175" fontId="13" fillId="0" borderId="0" xfId="66" applyAlignment="1" applyProtection="1">
      <alignment vertical="center" wrapText="1"/>
      <protection locked="0"/>
    </xf>
    <xf numFmtId="175" fontId="88" fillId="0" borderId="0" xfId="0" applyFont="1" applyAlignment="1">
      <alignment horizontal="left" vertical="center" indent="1"/>
    </xf>
    <xf numFmtId="175" fontId="14" fillId="47" borderId="0" xfId="0" applyFont="1" applyFill="1" applyAlignment="1">
      <alignment vertical="center"/>
    </xf>
    <xf numFmtId="6" fontId="13" fillId="47" borderId="0" xfId="66" applyNumberFormat="1" applyFill="1" applyAlignment="1" applyProtection="1">
      <alignment horizontal="right"/>
      <protection locked="0"/>
    </xf>
    <xf numFmtId="168" fontId="13" fillId="47" borderId="0" xfId="50" applyNumberFormat="1" applyFill="1" applyProtection="1">
      <protection locked="0"/>
    </xf>
    <xf numFmtId="175" fontId="15" fillId="0" borderId="0" xfId="0" applyFont="1" applyAlignment="1">
      <alignment horizontal="center"/>
    </xf>
    <xf numFmtId="172" fontId="13" fillId="0" borderId="0" xfId="0" applyNumberFormat="1" applyFont="1"/>
    <xf numFmtId="175" fontId="39" fillId="0" borderId="0" xfId="0" applyFont="1"/>
    <xf numFmtId="3" fontId="39" fillId="0" borderId="0" xfId="0" applyNumberFormat="1" applyFont="1"/>
    <xf numFmtId="175" fontId="15" fillId="47" borderId="0" xfId="0" applyFont="1" applyFill="1" applyAlignment="1">
      <alignment horizontal="center"/>
    </xf>
    <xf numFmtId="172" fontId="13" fillId="0" borderId="0" xfId="0" applyNumberFormat="1" applyFont="1" applyAlignment="1">
      <alignment horizontal="right"/>
    </xf>
    <xf numFmtId="172" fontId="13" fillId="0" borderId="0" xfId="0" applyNumberFormat="1" applyFont="1" applyAlignment="1" applyProtection="1">
      <alignment horizontal="right"/>
      <protection locked="0"/>
    </xf>
    <xf numFmtId="0" fontId="13" fillId="0" borderId="0" xfId="66" applyNumberFormat="1"/>
    <xf numFmtId="164" fontId="13" fillId="0" borderId="0" xfId="66" applyNumberFormat="1" applyBorder="1"/>
    <xf numFmtId="175" fontId="13" fillId="47" borderId="0" xfId="66" applyFont="1" applyFill="1" applyAlignment="1" applyProtection="1">
      <alignment horizontal="center"/>
      <protection locked="0"/>
    </xf>
    <xf numFmtId="175" fontId="13" fillId="47" borderId="0" xfId="66" applyFont="1" applyFill="1" applyProtection="1">
      <protection locked="0"/>
    </xf>
    <xf numFmtId="14" fontId="87" fillId="0" borderId="0" xfId="0" applyNumberFormat="1" applyFont="1"/>
    <xf numFmtId="171" fontId="13" fillId="47" borderId="0" xfId="66" applyNumberFormat="1" applyFont="1" applyFill="1" applyAlignment="1" applyProtection="1">
      <alignment horizontal="center"/>
      <protection locked="0"/>
    </xf>
    <xf numFmtId="175" fontId="13" fillId="0" borderId="0" xfId="66" applyBorder="1"/>
    <xf numFmtId="175" fontId="14" fillId="44" borderId="60" xfId="66" applyFont="1" applyFill="1" applyBorder="1" applyAlignment="1">
      <alignment horizontal="center"/>
    </xf>
    <xf numFmtId="175" fontId="14" fillId="0" borderId="71" xfId="66" applyFont="1" applyBorder="1"/>
    <xf numFmtId="175" fontId="14" fillId="0" borderId="60" xfId="0" applyFont="1" applyBorder="1" applyAlignment="1">
      <alignment wrapText="1"/>
    </xf>
    <xf numFmtId="175" fontId="14" fillId="0" borderId="71" xfId="66" applyFont="1" applyBorder="1" applyAlignment="1">
      <alignment horizontal="left"/>
    </xf>
    <xf numFmtId="175" fontId="14" fillId="0" borderId="36" xfId="66" applyFont="1" applyBorder="1" applyProtection="1">
      <protection locked="0"/>
    </xf>
    <xf numFmtId="175" fontId="14" fillId="0" borderId="20" xfId="66" applyFont="1" applyBorder="1" applyAlignment="1" applyProtection="1">
      <alignment horizontal="center"/>
      <protection locked="0"/>
    </xf>
    <xf numFmtId="6" fontId="13" fillId="0" borderId="0" xfId="66" applyNumberFormat="1" applyBorder="1" applyAlignment="1">
      <alignment horizontal="right"/>
    </xf>
    <xf numFmtId="175" fontId="14" fillId="0" borderId="0" xfId="66" applyFont="1" applyBorder="1" applyProtection="1">
      <protection locked="0"/>
    </xf>
    <xf numFmtId="175" fontId="14" fillId="0" borderId="82" xfId="66" applyFont="1" applyBorder="1" applyAlignment="1" applyProtection="1">
      <alignment horizontal="center" wrapText="1"/>
      <protection locked="0"/>
    </xf>
    <xf numFmtId="6" fontId="13" fillId="0" borderId="61" xfId="66" applyNumberFormat="1" applyBorder="1" applyAlignment="1">
      <alignment horizontal="right"/>
    </xf>
    <xf numFmtId="6" fontId="13" fillId="0" borderId="71" xfId="66" applyNumberFormat="1" applyBorder="1"/>
    <xf numFmtId="6" fontId="13" fillId="0" borderId="40" xfId="66" applyNumberFormat="1" applyBorder="1"/>
    <xf numFmtId="6" fontId="13" fillId="0" borderId="61" xfId="66" applyNumberFormat="1" applyBorder="1"/>
    <xf numFmtId="6" fontId="75" fillId="0" borderId="0" xfId="520" applyNumberFormat="1" applyFont="1" applyBorder="1"/>
    <xf numFmtId="0" fontId="75" fillId="0" borderId="0" xfId="520" applyFont="1" applyBorder="1"/>
    <xf numFmtId="164" fontId="66" fillId="0" borderId="0" xfId="66" applyNumberFormat="1" applyFont="1" applyBorder="1"/>
    <xf numFmtId="164" fontId="65" fillId="0" borderId="72" xfId="66" applyNumberFormat="1" applyFont="1" applyBorder="1"/>
    <xf numFmtId="0" fontId="77" fillId="0" borderId="21" xfId="520" applyFont="1" applyBorder="1"/>
    <xf numFmtId="164" fontId="65" fillId="43" borderId="20" xfId="66" applyNumberFormat="1" applyFont="1" applyFill="1" applyBorder="1" applyAlignment="1">
      <alignment horizontal="right"/>
    </xf>
    <xf numFmtId="164" fontId="65" fillId="43" borderId="18" xfId="66" applyNumberFormat="1" applyFont="1" applyFill="1" applyBorder="1" applyAlignment="1">
      <alignment horizontal="right"/>
    </xf>
    <xf numFmtId="164" fontId="65" fillId="0" borderId="19" xfId="66" applyNumberFormat="1" applyFont="1" applyBorder="1" applyAlignment="1">
      <alignment horizontal="right"/>
    </xf>
    <xf numFmtId="164" fontId="65" fillId="43" borderId="19" xfId="66" applyNumberFormat="1" applyFont="1" applyFill="1" applyBorder="1" applyAlignment="1">
      <alignment horizontal="right"/>
    </xf>
    <xf numFmtId="164" fontId="66" fillId="0" borderId="72" xfId="66" applyNumberFormat="1" applyFont="1" applyBorder="1"/>
    <xf numFmtId="164" fontId="66" fillId="0" borderId="22" xfId="66" applyNumberFormat="1" applyFont="1" applyBorder="1"/>
    <xf numFmtId="164" fontId="66" fillId="0" borderId="27" xfId="66" applyNumberFormat="1" applyFont="1" applyBorder="1"/>
    <xf numFmtId="164" fontId="66" fillId="0" borderId="55" xfId="66" applyNumberFormat="1" applyFont="1" applyBorder="1"/>
    <xf numFmtId="164" fontId="66" fillId="0" borderId="42" xfId="66" applyNumberFormat="1" applyFont="1" applyBorder="1"/>
    <xf numFmtId="164" fontId="66" fillId="0" borderId="21" xfId="66" applyNumberFormat="1" applyFont="1" applyBorder="1"/>
    <xf numFmtId="164" fontId="66" fillId="0" borderId="14" xfId="66" applyNumberFormat="1" applyFont="1" applyBorder="1"/>
    <xf numFmtId="164" fontId="66" fillId="0" borderId="16" xfId="66" applyNumberFormat="1" applyFont="1" applyBorder="1"/>
    <xf numFmtId="175" fontId="13" fillId="47" borderId="0" xfId="0" quotePrefix="1" applyFont="1" applyFill="1" applyAlignment="1">
      <alignment vertical="top" wrapText="1"/>
    </xf>
    <xf numFmtId="175" fontId="13" fillId="0" borderId="0" xfId="0" quotePrefix="1" applyFont="1"/>
    <xf numFmtId="175" fontId="82" fillId="0" borderId="0" xfId="0" quotePrefix="1" applyFont="1" applyAlignment="1">
      <alignment vertical="center"/>
    </xf>
    <xf numFmtId="175" fontId="15" fillId="0" borderId="0" xfId="67" quotePrefix="1" applyProtection="1">
      <protection locked="0"/>
    </xf>
    <xf numFmtId="175" fontId="82" fillId="0" borderId="0" xfId="0" quotePrefix="1" applyFont="1" applyProtection="1">
      <protection locked="0"/>
    </xf>
    <xf numFmtId="175" fontId="89" fillId="47" borderId="0" xfId="0" quotePrefix="1" applyFont="1" applyFill="1" applyProtection="1">
      <protection locked="0"/>
    </xf>
    <xf numFmtId="175" fontId="14" fillId="0" borderId="20" xfId="66" applyFont="1" applyBorder="1" applyAlignment="1" applyProtection="1">
      <alignment horizontal="right"/>
      <protection locked="0"/>
    </xf>
    <xf numFmtId="6" fontId="13" fillId="0" borderId="22" xfId="66" applyNumberFormat="1" applyBorder="1" applyAlignment="1">
      <alignment horizontal="right"/>
    </xf>
    <xf numFmtId="6" fontId="13" fillId="0" borderId="17" xfId="66" applyNumberFormat="1" applyBorder="1" applyAlignment="1">
      <alignment horizontal="right"/>
    </xf>
    <xf numFmtId="6" fontId="13" fillId="0" borderId="20" xfId="66" applyNumberFormat="1" applyBorder="1"/>
    <xf numFmtId="6" fontId="13" fillId="0" borderId="20" xfId="66" applyNumberFormat="1" applyBorder="1" applyAlignment="1">
      <alignment horizontal="right"/>
    </xf>
    <xf numFmtId="6" fontId="13" fillId="0" borderId="17" xfId="66" applyNumberFormat="1" applyBorder="1"/>
    <xf numFmtId="6" fontId="13" fillId="47" borderId="15" xfId="66" applyNumberFormat="1" applyFill="1" applyBorder="1"/>
    <xf numFmtId="6" fontId="13" fillId="47" borderId="13" xfId="66" applyNumberFormat="1" applyFill="1" applyBorder="1" applyProtection="1">
      <protection locked="0"/>
    </xf>
    <xf numFmtId="6" fontId="13" fillId="0" borderId="13" xfId="66" applyNumberFormat="1" applyBorder="1" applyProtection="1">
      <protection locked="0"/>
    </xf>
    <xf numFmtId="6" fontId="13" fillId="0" borderId="34" xfId="66" applyNumberFormat="1" applyBorder="1" applyProtection="1">
      <protection locked="0"/>
    </xf>
    <xf numFmtId="0" fontId="14" fillId="0" borderId="0" xfId="522" applyFont="1" applyAlignment="1" applyProtection="1">
      <alignment horizontal="center"/>
      <protection locked="0"/>
    </xf>
    <xf numFmtId="17" fontId="14" fillId="47" borderId="0" xfId="522" quotePrefix="1" applyNumberFormat="1" applyFont="1" applyFill="1" applyAlignment="1" applyProtection="1">
      <alignment horizontal="center"/>
      <protection locked="0"/>
    </xf>
    <xf numFmtId="0" fontId="54" fillId="49" borderId="18" xfId="520" applyFont="1" applyFill="1" applyBorder="1"/>
    <xf numFmtId="6" fontId="13" fillId="0" borderId="27" xfId="520" applyNumberFormat="1" applyFont="1" applyBorder="1"/>
    <xf numFmtId="0" fontId="14" fillId="0" borderId="18" xfId="520" applyFont="1" applyBorder="1" applyAlignment="1">
      <alignment horizontal="center"/>
    </xf>
    <xf numFmtId="0" fontId="14" fillId="0" borderId="14" xfId="520" applyFont="1" applyBorder="1" applyAlignment="1">
      <alignment horizontal="center"/>
    </xf>
    <xf numFmtId="0" fontId="14" fillId="0" borderId="16" xfId="520" applyFont="1" applyBorder="1" applyAlignment="1">
      <alignment horizontal="center"/>
    </xf>
    <xf numFmtId="6" fontId="13" fillId="0" borderId="22" xfId="520" applyNumberFormat="1" applyFont="1" applyBorder="1"/>
    <xf numFmtId="6" fontId="13" fillId="0" borderId="17" xfId="520" applyNumberFormat="1" applyFont="1" applyBorder="1"/>
    <xf numFmtId="6" fontId="13" fillId="0" borderId="55" xfId="520" applyNumberFormat="1" applyFont="1" applyBorder="1"/>
    <xf numFmtId="6" fontId="13" fillId="0" borderId="0" xfId="520" applyNumberFormat="1" applyFont="1" applyBorder="1"/>
    <xf numFmtId="6" fontId="13" fillId="0" borderId="42" xfId="520" applyNumberFormat="1" applyFont="1" applyBorder="1"/>
    <xf numFmtId="6" fontId="13" fillId="0" borderId="21" xfId="520" applyNumberFormat="1" applyFont="1" applyBorder="1"/>
    <xf numFmtId="6" fontId="13" fillId="0" borderId="14" xfId="520" applyNumberFormat="1" applyFont="1" applyBorder="1"/>
    <xf numFmtId="6" fontId="13" fillId="0" borderId="16" xfId="520" applyNumberFormat="1" applyFont="1" applyBorder="1"/>
    <xf numFmtId="6" fontId="13" fillId="49" borderId="20" xfId="520" applyNumberFormat="1" applyFont="1" applyFill="1" applyBorder="1"/>
    <xf numFmtId="6" fontId="13" fillId="49" borderId="18" xfId="520" applyNumberFormat="1" applyFont="1" applyFill="1" applyBorder="1"/>
    <xf numFmtId="6" fontId="13" fillId="49" borderId="21" xfId="520" applyNumberFormat="1" applyFont="1" applyFill="1" applyBorder="1"/>
    <xf numFmtId="6" fontId="13" fillId="49" borderId="14" xfId="520" applyNumberFormat="1" applyFont="1" applyFill="1" applyBorder="1"/>
    <xf numFmtId="6" fontId="13" fillId="0" borderId="0" xfId="520" applyNumberFormat="1" applyFont="1"/>
    <xf numFmtId="6" fontId="13" fillId="0" borderId="15" xfId="520" applyNumberFormat="1" applyFont="1" applyBorder="1"/>
    <xf numFmtId="6" fontId="13" fillId="0" borderId="13" xfId="520" applyNumberFormat="1" applyFont="1" applyBorder="1"/>
    <xf numFmtId="6" fontId="13" fillId="0" borderId="34" xfId="520" applyNumberFormat="1" applyFont="1" applyBorder="1"/>
    <xf numFmtId="6" fontId="13" fillId="47" borderId="13" xfId="520" applyNumberFormat="1" applyFont="1" applyFill="1" applyBorder="1"/>
    <xf numFmtId="6" fontId="13" fillId="51" borderId="0" xfId="520" applyNumberFormat="1" applyFont="1" applyFill="1"/>
    <xf numFmtId="6" fontId="13" fillId="47" borderId="42" xfId="520" applyNumberFormat="1" applyFont="1" applyFill="1" applyBorder="1"/>
    <xf numFmtId="0" fontId="14" fillId="0" borderId="21" xfId="520" applyFont="1" applyBorder="1" applyAlignment="1">
      <alignment wrapText="1"/>
    </xf>
    <xf numFmtId="0" fontId="13" fillId="0" borderId="17" xfId="520" applyFont="1" applyBorder="1" applyAlignment="1">
      <alignment horizontal="left" indent="2"/>
    </xf>
    <xf numFmtId="0" fontId="13" fillId="0" borderId="17" xfId="520" applyFont="1" applyBorder="1" applyAlignment="1">
      <alignment horizontal="left" wrapText="1" indent="2"/>
    </xf>
    <xf numFmtId="0" fontId="13" fillId="47" borderId="17" xfId="520" applyFont="1" applyFill="1" applyBorder="1" applyAlignment="1">
      <alignment horizontal="left" wrapText="1" indent="2"/>
    </xf>
    <xf numFmtId="0" fontId="92" fillId="0" borderId="17" xfId="520" applyFont="1" applyBorder="1"/>
    <xf numFmtId="0" fontId="14" fillId="0" borderId="17" xfId="520" applyFont="1" applyBorder="1"/>
    <xf numFmtId="0" fontId="14" fillId="0" borderId="17" xfId="520" applyFont="1" applyBorder="1" applyAlignment="1">
      <alignment wrapText="1"/>
    </xf>
    <xf numFmtId="0" fontId="54" fillId="49" borderId="20" xfId="520" applyFont="1" applyFill="1" applyBorder="1"/>
    <xf numFmtId="0" fontId="54" fillId="0" borderId="21" xfId="520" applyFont="1" applyBorder="1"/>
    <xf numFmtId="175" fontId="71" fillId="47" borderId="0" xfId="0" applyFont="1" applyFill="1" applyAlignment="1" applyProtection="1">
      <alignment vertical="center"/>
      <protection locked="0"/>
    </xf>
    <xf numFmtId="175" fontId="13" fillId="47" borderId="0" xfId="0" quotePrefix="1" applyFont="1" applyFill="1"/>
    <xf numFmtId="177" fontId="13" fillId="0" borderId="40" xfId="66" applyNumberFormat="1" applyBorder="1"/>
    <xf numFmtId="177" fontId="13" fillId="0" borderId="11" xfId="66" applyNumberFormat="1" applyBorder="1"/>
    <xf numFmtId="175" fontId="71" fillId="47" borderId="0" xfId="0" applyFont="1" applyFill="1" applyAlignment="1" applyProtection="1">
      <protection locked="0"/>
    </xf>
    <xf numFmtId="175" fontId="13" fillId="47" borderId="0" xfId="0" applyFont="1" applyFill="1" applyAlignment="1">
      <alignment vertical="center"/>
    </xf>
    <xf numFmtId="3" fontId="53" fillId="0" borderId="17" xfId="0" applyNumberFormat="1" applyFont="1" applyFill="1" applyBorder="1" applyAlignment="1">
      <alignment horizontal="center"/>
    </xf>
    <xf numFmtId="164" fontId="13" fillId="0" borderId="0" xfId="66" applyNumberFormat="1" applyBorder="1" applyAlignment="1">
      <alignment horizontal="center"/>
    </xf>
    <xf numFmtId="175" fontId="71" fillId="47" borderId="0" xfId="0" quotePrefix="1" applyFont="1" applyFill="1" applyAlignment="1" applyProtection="1">
      <alignment vertical="top"/>
      <protection locked="0"/>
    </xf>
    <xf numFmtId="3" fontId="45" fillId="0" borderId="17" xfId="0" applyNumberFormat="1" applyFont="1" applyFill="1" applyBorder="1" applyAlignment="1" applyProtection="1">
      <alignment horizontal="center"/>
      <protection locked="0"/>
    </xf>
    <xf numFmtId="175" fontId="14" fillId="47" borderId="0" xfId="0" applyFont="1" applyFill="1" applyAlignment="1" applyProtection="1">
      <alignment wrapText="1"/>
      <protection locked="0"/>
    </xf>
    <xf numFmtId="3" fontId="53" fillId="47" borderId="22" xfId="0" applyNumberFormat="1" applyFont="1" applyFill="1" applyBorder="1" applyAlignment="1">
      <alignment horizontal="center"/>
    </xf>
    <xf numFmtId="175" fontId="14" fillId="47" borderId="11" xfId="66" applyFont="1" applyFill="1" applyBorder="1" applyAlignment="1" applyProtection="1">
      <alignment horizontal="center"/>
    </xf>
    <xf numFmtId="171" fontId="14" fillId="47" borderId="11" xfId="66" applyNumberFormat="1" applyFont="1" applyFill="1" applyBorder="1" applyAlignment="1" applyProtection="1">
      <alignment horizontal="center"/>
    </xf>
    <xf numFmtId="175" fontId="14" fillId="47" borderId="11" xfId="66" applyFont="1" applyFill="1" applyBorder="1" applyAlignment="1" applyProtection="1">
      <alignment horizontal="center" wrapText="1"/>
    </xf>
    <xf numFmtId="175" fontId="13" fillId="47" borderId="11" xfId="66" applyFont="1" applyFill="1" applyBorder="1" applyAlignment="1" applyProtection="1">
      <alignment horizontal="left"/>
      <protection locked="0"/>
    </xf>
    <xf numFmtId="1" fontId="13" fillId="47" borderId="11" xfId="66" quotePrefix="1" applyNumberFormat="1" applyFont="1" applyFill="1" applyBorder="1" applyAlignment="1" applyProtection="1">
      <alignment horizontal="center"/>
      <protection locked="0"/>
    </xf>
    <xf numFmtId="14" fontId="13" fillId="47" borderId="11" xfId="66" applyNumberFormat="1" applyFont="1" applyFill="1" applyBorder="1" applyAlignment="1" applyProtection="1">
      <alignment horizontal="center"/>
      <protection locked="0"/>
    </xf>
    <xf numFmtId="175" fontId="13" fillId="47" borderId="11" xfId="66" applyFont="1" applyFill="1" applyBorder="1" applyAlignment="1" applyProtection="1">
      <alignment horizontal="center"/>
      <protection locked="0"/>
    </xf>
    <xf numFmtId="176" fontId="13" fillId="47" borderId="11" xfId="381" applyNumberFormat="1" applyFont="1" applyFill="1" applyBorder="1" applyAlignment="1" applyProtection="1">
      <alignment horizontal="center"/>
      <protection locked="0"/>
    </xf>
    <xf numFmtId="175" fontId="13" fillId="47" borderId="11" xfId="66" quotePrefix="1" applyFont="1" applyFill="1" applyBorder="1" applyAlignment="1" applyProtection="1">
      <alignment horizontal="center"/>
      <protection locked="0"/>
    </xf>
    <xf numFmtId="1" fontId="13" fillId="47" borderId="11" xfId="66" applyNumberFormat="1" applyFont="1" applyFill="1" applyBorder="1" applyAlignment="1" applyProtection="1">
      <alignment horizontal="center"/>
      <protection locked="0"/>
    </xf>
    <xf numFmtId="175" fontId="13" fillId="47" borderId="0" xfId="66" applyFont="1" applyFill="1" applyBorder="1" applyAlignment="1" applyProtection="1">
      <alignment horizontal="left"/>
      <protection locked="0"/>
    </xf>
    <xf numFmtId="1" fontId="13" fillId="47" borderId="0" xfId="66" quotePrefix="1" applyNumberFormat="1" applyFont="1" applyFill="1" applyBorder="1" applyAlignment="1" applyProtection="1">
      <alignment horizontal="center"/>
      <protection locked="0"/>
    </xf>
    <xf numFmtId="14" fontId="13" fillId="47" borderId="0" xfId="66" applyNumberFormat="1" applyFont="1" applyFill="1" applyBorder="1" applyAlignment="1" applyProtection="1">
      <alignment horizontal="center"/>
      <protection locked="0"/>
    </xf>
    <xf numFmtId="175" fontId="13" fillId="47" borderId="0" xfId="66" applyFont="1" applyFill="1" applyBorder="1" applyAlignment="1" applyProtection="1">
      <alignment horizontal="center"/>
      <protection locked="0"/>
    </xf>
    <xf numFmtId="176" fontId="13" fillId="47" borderId="0" xfId="381" applyNumberFormat="1" applyFont="1" applyFill="1" applyBorder="1" applyAlignment="1" applyProtection="1">
      <alignment horizontal="center"/>
      <protection locked="0"/>
    </xf>
    <xf numFmtId="175" fontId="13" fillId="47" borderId="0" xfId="66" quotePrefix="1" applyFont="1" applyFill="1" applyBorder="1" applyAlignment="1" applyProtection="1">
      <alignment horizontal="center"/>
      <protection locked="0"/>
    </xf>
    <xf numFmtId="1" fontId="13" fillId="47" borderId="0" xfId="66" applyNumberFormat="1" applyFont="1" applyFill="1" applyBorder="1" applyAlignment="1" applyProtection="1">
      <alignment horizontal="center"/>
      <protection locked="0"/>
    </xf>
    <xf numFmtId="175" fontId="14" fillId="47" borderId="0" xfId="66" applyFont="1" applyFill="1" applyBorder="1" applyAlignment="1" applyProtection="1">
      <alignment horizontal="left"/>
      <protection locked="0"/>
    </xf>
    <xf numFmtId="175" fontId="14" fillId="47" borderId="0" xfId="66" applyFont="1" applyFill="1" applyBorder="1" applyAlignment="1" applyProtection="1">
      <alignment horizontal="center"/>
      <protection locked="0"/>
    </xf>
    <xf numFmtId="171" fontId="13" fillId="47" borderId="0" xfId="66" applyNumberFormat="1" applyFont="1" applyFill="1" applyBorder="1" applyAlignment="1" applyProtection="1">
      <alignment horizontal="center"/>
      <protection locked="0"/>
    </xf>
    <xf numFmtId="176" fontId="13" fillId="47" borderId="0" xfId="268" applyNumberFormat="1" applyFont="1" applyFill="1" applyBorder="1" applyAlignment="1" applyProtection="1">
      <alignment horizontal="center"/>
      <protection locked="0"/>
    </xf>
    <xf numFmtId="175" fontId="54" fillId="47" borderId="0" xfId="66" quotePrefix="1" applyFont="1" applyFill="1" applyBorder="1" applyAlignment="1" applyProtection="1">
      <alignment horizontal="left"/>
      <protection locked="0"/>
    </xf>
    <xf numFmtId="175" fontId="13" fillId="0" borderId="0" xfId="782"/>
    <xf numFmtId="175" fontId="87" fillId="0" borderId="0" xfId="0" applyFont="1"/>
    <xf numFmtId="172" fontId="93" fillId="0" borderId="0" xfId="0" applyNumberFormat="1" applyFont="1"/>
    <xf numFmtId="175" fontId="93" fillId="0" borderId="0" xfId="0" applyFont="1"/>
    <xf numFmtId="175" fontId="14" fillId="0" borderId="11" xfId="0" applyFont="1" applyBorder="1" applyAlignment="1">
      <alignment horizontal="center"/>
    </xf>
    <xf numFmtId="175" fontId="34" fillId="0" borderId="15" xfId="0" applyFont="1" applyBorder="1" applyAlignment="1">
      <alignment wrapText="1"/>
    </xf>
    <xf numFmtId="175" fontId="0" fillId="0" borderId="55" xfId="0" applyBorder="1"/>
    <xf numFmtId="175" fontId="34" fillId="0" borderId="13" xfId="0" applyFont="1" applyBorder="1" applyAlignment="1">
      <alignment wrapText="1"/>
    </xf>
    <xf numFmtId="175" fontId="61" fillId="47" borderId="0" xfId="66" applyFont="1" applyFill="1" applyProtection="1">
      <protection locked="0"/>
    </xf>
    <xf numFmtId="175" fontId="13" fillId="47" borderId="0" xfId="66" applyFill="1" applyAlignment="1" applyProtection="1">
      <alignment vertical="center" wrapText="1"/>
      <protection locked="0"/>
    </xf>
    <xf numFmtId="2" fontId="39" fillId="0" borderId="0" xfId="0" applyNumberFormat="1" applyFont="1" applyProtection="1">
      <protection locked="0"/>
    </xf>
    <xf numFmtId="0" fontId="13" fillId="0" borderId="0" xfId="520" applyFont="1" applyFill="1" applyBorder="1" applyAlignment="1" applyProtection="1">
      <alignment horizontal="left"/>
      <protection locked="0"/>
    </xf>
    <xf numFmtId="175" fontId="14" fillId="47" borderId="0" xfId="66" quotePrefix="1" applyFont="1" applyFill="1" applyBorder="1" applyAlignment="1" applyProtection="1">
      <alignment horizontal="center"/>
      <protection locked="0"/>
    </xf>
    <xf numFmtId="176" fontId="13" fillId="0" borderId="0" xfId="782" applyNumberFormat="1"/>
    <xf numFmtId="2" fontId="13" fillId="47" borderId="0" xfId="0" quotePrefix="1" applyNumberFormat="1" applyFont="1" applyFill="1" applyAlignment="1">
      <alignment horizontal="left" vertical="top" wrapText="1"/>
    </xf>
    <xf numFmtId="175" fontId="70" fillId="0" borderId="0" xfId="0" applyFont="1" applyAlignment="1">
      <alignment vertical="center"/>
    </xf>
    <xf numFmtId="175" fontId="13" fillId="0" borderId="0" xfId="0" applyFont="1" applyFill="1" applyBorder="1"/>
    <xf numFmtId="175" fontId="13" fillId="0" borderId="0" xfId="0" applyFont="1" applyFill="1" applyBorder="1" applyProtection="1">
      <protection locked="0"/>
    </xf>
    <xf numFmtId="2" fontId="13" fillId="0" borderId="0" xfId="0" applyNumberFormat="1" applyFont="1" applyFill="1" applyBorder="1" applyProtection="1">
      <protection locked="0"/>
    </xf>
    <xf numFmtId="1" fontId="13" fillId="0" borderId="0" xfId="0" applyNumberFormat="1" applyFont="1" applyFill="1" applyBorder="1" applyProtection="1">
      <protection locked="0"/>
    </xf>
    <xf numFmtId="1" fontId="13" fillId="0" borderId="87" xfId="0" applyNumberFormat="1" applyFont="1" applyFill="1" applyBorder="1" applyProtection="1">
      <protection locked="0"/>
    </xf>
    <xf numFmtId="175" fontId="13" fillId="0" borderId="0" xfId="0" applyFont="1" applyAlignment="1" applyProtection="1">
      <alignment vertical="top"/>
      <protection locked="0"/>
    </xf>
    <xf numFmtId="175" fontId="13" fillId="0" borderId="0" xfId="0" applyFont="1" applyFill="1" applyAlignment="1" applyProtection="1">
      <alignment vertical="top"/>
      <protection locked="0"/>
    </xf>
    <xf numFmtId="175" fontId="94" fillId="0" borderId="0" xfId="0" applyFont="1" applyFill="1" applyBorder="1" applyAlignment="1">
      <alignment horizontal="center" vertical="top"/>
    </xf>
    <xf numFmtId="175" fontId="94" fillId="0" borderId="86" xfId="0" applyFont="1" applyFill="1" applyBorder="1" applyAlignment="1">
      <alignment horizontal="center" vertical="top"/>
    </xf>
    <xf numFmtId="43" fontId="94" fillId="0" borderId="18" xfId="0" applyNumberFormat="1" applyFont="1" applyFill="1" applyBorder="1" applyAlignment="1" applyProtection="1">
      <alignment horizontal="center" vertical="top" wrapText="1"/>
      <protection locked="0"/>
    </xf>
    <xf numFmtId="43" fontId="94" fillId="0" borderId="11" xfId="0" applyNumberFormat="1" applyFont="1" applyFill="1" applyBorder="1" applyAlignment="1" applyProtection="1">
      <alignment horizontal="center" vertical="top" wrapText="1"/>
      <protection locked="0"/>
    </xf>
    <xf numFmtId="1" fontId="56" fillId="0" borderId="87" xfId="0" applyNumberFormat="1" applyFont="1" applyFill="1" applyBorder="1"/>
    <xf numFmtId="175" fontId="56" fillId="0" borderId="88" xfId="0" applyFont="1" applyFill="1" applyBorder="1"/>
    <xf numFmtId="175" fontId="56" fillId="0" borderId="88" xfId="0" applyFont="1" applyFill="1" applyBorder="1" applyProtection="1">
      <protection locked="0"/>
    </xf>
    <xf numFmtId="178" fontId="13" fillId="0" borderId="0" xfId="0" applyNumberFormat="1" applyFont="1" applyFill="1" applyBorder="1" applyProtection="1">
      <protection locked="0"/>
    </xf>
    <xf numFmtId="0" fontId="13" fillId="0" borderId="0" xfId="0" applyNumberFormat="1" applyFont="1" applyFill="1" applyAlignment="1" applyProtection="1">
      <alignment vertical="top"/>
      <protection locked="0"/>
    </xf>
    <xf numFmtId="0" fontId="1" fillId="0" borderId="0" xfId="888"/>
    <xf numFmtId="171" fontId="14" fillId="47" borderId="0" xfId="0" quotePrefix="1" applyNumberFormat="1" applyFont="1" applyFill="1" applyAlignment="1" applyProtection="1">
      <alignment horizontal="center"/>
      <protection locked="0"/>
    </xf>
    <xf numFmtId="6" fontId="13" fillId="47" borderId="15" xfId="520" applyNumberFormat="1" applyFont="1" applyFill="1" applyBorder="1"/>
    <xf numFmtId="6" fontId="75" fillId="47" borderId="0" xfId="520" applyNumberFormat="1" applyFont="1" applyFill="1"/>
    <xf numFmtId="175" fontId="71" fillId="47" borderId="0" xfId="0" quotePrefix="1" applyFont="1" applyFill="1" applyAlignment="1" applyProtection="1">
      <alignment vertical="center"/>
      <protection locked="0"/>
    </xf>
    <xf numFmtId="175" fontId="76" fillId="47" borderId="0" xfId="66" applyFont="1" applyFill="1" applyAlignment="1" applyProtection="1">
      <alignment vertical="center"/>
      <protection locked="0"/>
    </xf>
    <xf numFmtId="175" fontId="61" fillId="0" borderId="0" xfId="66" applyFont="1" applyAlignment="1" applyProtection="1">
      <alignment vertical="center"/>
      <protection locked="0"/>
    </xf>
    <xf numFmtId="175" fontId="61" fillId="47" borderId="0" xfId="66" applyFont="1" applyFill="1" applyAlignment="1" applyProtection="1">
      <alignment vertical="center"/>
      <protection locked="0"/>
    </xf>
    <xf numFmtId="0" fontId="14" fillId="0" borderId="14" xfId="520" quotePrefix="1" applyNumberFormat="1" applyFont="1" applyBorder="1" applyAlignment="1">
      <alignment horizontal="center"/>
    </xf>
    <xf numFmtId="0" fontId="61" fillId="0" borderId="0" xfId="66" applyNumberFormat="1" applyFont="1" applyAlignment="1">
      <alignment horizontal="left"/>
    </xf>
    <xf numFmtId="164" fontId="69" fillId="0" borderId="0" xfId="66" applyNumberFormat="1" applyFont="1"/>
    <xf numFmtId="175" fontId="61" fillId="47" borderId="0" xfId="66" applyFont="1" applyFill="1" applyAlignment="1">
      <alignment wrapText="1"/>
    </xf>
    <xf numFmtId="175" fontId="61" fillId="0" borderId="0" xfId="66" applyFont="1" applyAlignment="1"/>
    <xf numFmtId="175" fontId="13" fillId="47" borderId="0" xfId="0" quotePrefix="1" applyFont="1" applyFill="1" applyAlignment="1">
      <alignment horizontal="left" vertical="top"/>
    </xf>
    <xf numFmtId="4" fontId="15" fillId="0" borderId="11" xfId="46" applyNumberFormat="1" applyFont="1" applyBorder="1" applyAlignment="1" applyProtection="1">
      <alignment horizontal="right"/>
      <protection locked="0"/>
    </xf>
    <xf numFmtId="4" fontId="34" fillId="0" borderId="11" xfId="0" applyNumberFormat="1" applyFont="1" applyBorder="1"/>
    <xf numFmtId="43" fontId="13" fillId="50" borderId="0" xfId="46" quotePrefix="1" applyFill="1" applyAlignment="1"/>
    <xf numFmtId="40" fontId="13" fillId="0" borderId="24" xfId="0" applyNumberFormat="1" applyFont="1" applyBorder="1" applyAlignment="1"/>
    <xf numFmtId="3" fontId="14" fillId="0" borderId="18" xfId="0" applyNumberFormat="1" applyFont="1" applyBorder="1" applyAlignment="1">
      <alignment wrapText="1"/>
    </xf>
    <xf numFmtId="165" fontId="13" fillId="0" borderId="24" xfId="0" applyNumberFormat="1" applyFont="1" applyBorder="1" applyAlignment="1"/>
    <xf numFmtId="165" fontId="13" fillId="0" borderId="30" xfId="0" applyNumberFormat="1" applyFont="1" applyBorder="1" applyAlignment="1"/>
    <xf numFmtId="6" fontId="13" fillId="47" borderId="17" xfId="66" applyNumberFormat="1" applyFill="1" applyBorder="1" applyAlignment="1">
      <alignment horizontal="right"/>
    </xf>
    <xf numFmtId="6" fontId="13" fillId="47" borderId="0" xfId="66" applyNumberFormat="1" applyFill="1" applyBorder="1" applyAlignment="1">
      <alignment horizontal="right"/>
    </xf>
    <xf numFmtId="6" fontId="13" fillId="47" borderId="61" xfId="66" applyNumberFormat="1" applyFill="1" applyBorder="1"/>
    <xf numFmtId="6" fontId="13" fillId="47" borderId="0" xfId="66" applyNumberFormat="1" applyFill="1"/>
    <xf numFmtId="167" fontId="13" fillId="47" borderId="47" xfId="66" applyNumberFormat="1" applyFill="1" applyBorder="1" applyAlignment="1">
      <alignment horizontal="right"/>
    </xf>
    <xf numFmtId="175" fontId="62" fillId="47" borderId="0" xfId="66" applyFont="1" applyFill="1" applyProtection="1">
      <protection locked="0"/>
    </xf>
    <xf numFmtId="175" fontId="61" fillId="47" borderId="0" xfId="66" applyFont="1" applyFill="1" applyAlignment="1" applyProtection="1">
      <protection locked="0"/>
    </xf>
    <xf numFmtId="175" fontId="13" fillId="0" borderId="42" xfId="0" applyFont="1" applyFill="1" applyBorder="1" applyAlignment="1">
      <alignment horizontal="left"/>
    </xf>
    <xf numFmtId="1" fontId="13" fillId="0" borderId="0" xfId="0" applyNumberFormat="1" applyFont="1" applyProtection="1">
      <protection locked="0"/>
    </xf>
    <xf numFmtId="164" fontId="66" fillId="47" borderId="17" xfId="66" applyNumberFormat="1" applyFont="1" applyFill="1" applyBorder="1"/>
    <xf numFmtId="164" fontId="66" fillId="47" borderId="0" xfId="66" applyNumberFormat="1" applyFont="1" applyFill="1"/>
    <xf numFmtId="164" fontId="66" fillId="47" borderId="61" xfId="66" applyNumberFormat="1" applyFont="1" applyFill="1" applyBorder="1"/>
    <xf numFmtId="164" fontId="66" fillId="47" borderId="0" xfId="66" applyNumberFormat="1" applyFont="1" applyFill="1" applyBorder="1"/>
    <xf numFmtId="164" fontId="66" fillId="47" borderId="42" xfId="66" applyNumberFormat="1" applyFont="1" applyFill="1" applyBorder="1"/>
    <xf numFmtId="164" fontId="66" fillId="47" borderId="72" xfId="66" applyNumberFormat="1" applyFont="1" applyFill="1" applyBorder="1"/>
    <xf numFmtId="175" fontId="13" fillId="47" borderId="0" xfId="0" quotePrefix="1" applyFont="1" applyFill="1" applyAlignment="1">
      <alignment horizontal="left" vertical="top" wrapText="1"/>
    </xf>
    <xf numFmtId="175" fontId="15" fillId="47" borderId="0" xfId="0" quotePrefix="1" applyFont="1" applyFill="1" applyAlignment="1" applyProtection="1">
      <alignment vertical="top" wrapText="1"/>
      <protection locked="0"/>
    </xf>
    <xf numFmtId="175" fontId="15" fillId="47" borderId="0" xfId="0" applyFont="1" applyFill="1" applyAlignment="1" applyProtection="1">
      <protection locked="0"/>
    </xf>
    <xf numFmtId="175" fontId="13" fillId="0" borderId="0" xfId="0" quotePrefix="1" applyFont="1" applyAlignment="1">
      <alignment vertical="top" wrapText="1"/>
    </xf>
    <xf numFmtId="175" fontId="13" fillId="0" borderId="0" xfId="0" applyFont="1" applyAlignment="1">
      <alignment vertical="top" wrapText="1"/>
    </xf>
    <xf numFmtId="175" fontId="34" fillId="0" borderId="11" xfId="0" applyFont="1" applyBorder="1" applyAlignment="1" applyProtection="1">
      <alignment horizontal="center"/>
      <protection locked="0"/>
    </xf>
    <xf numFmtId="175" fontId="34" fillId="0" borderId="11" xfId="0" applyFont="1" applyBorder="1" applyAlignment="1">
      <alignment horizontal="center"/>
    </xf>
    <xf numFmtId="175" fontId="71" fillId="47" borderId="0" xfId="0" applyFont="1" applyFill="1" applyAlignment="1" applyProtection="1">
      <alignment vertical="top"/>
      <protection locked="0"/>
    </xf>
    <xf numFmtId="175" fontId="61" fillId="0" borderId="0" xfId="66" applyFont="1" applyAlignment="1">
      <alignment wrapText="1"/>
    </xf>
    <xf numFmtId="175" fontId="13" fillId="47" borderId="0" xfId="0" quotePrefix="1" applyFont="1" applyFill="1" applyAlignment="1">
      <alignment horizontal="left" vertical="top" wrapText="1"/>
    </xf>
    <xf numFmtId="175" fontId="15" fillId="47" borderId="0" xfId="0" quotePrefix="1" applyFont="1" applyFill="1" applyAlignment="1" applyProtection="1">
      <alignment vertical="top" wrapText="1"/>
      <protection locked="0"/>
    </xf>
    <xf numFmtId="175" fontId="15" fillId="47" borderId="0" xfId="0" applyFont="1" applyFill="1" applyAlignment="1" applyProtection="1">
      <protection locked="0"/>
    </xf>
    <xf numFmtId="175" fontId="14" fillId="0" borderId="83" xfId="0" applyFont="1" applyBorder="1" applyAlignment="1">
      <alignment horizontal="center"/>
    </xf>
    <xf numFmtId="175" fontId="14" fillId="0" borderId="84" xfId="0" applyFont="1" applyBorder="1" applyAlignment="1">
      <alignment horizontal="center"/>
    </xf>
    <xf numFmtId="175" fontId="14" fillId="0" borderId="85" xfId="0" applyFont="1" applyBorder="1" applyAlignment="1">
      <alignment horizontal="center"/>
    </xf>
    <xf numFmtId="175" fontId="13" fillId="0" borderId="0" xfId="0" quotePrefix="1" applyFont="1" applyAlignment="1">
      <alignment horizontal="left" vertical="top" wrapText="1"/>
    </xf>
    <xf numFmtId="175" fontId="14" fillId="0" borderId="17" xfId="0" applyFont="1" applyBorder="1" applyAlignment="1">
      <alignment horizontal="center"/>
    </xf>
    <xf numFmtId="175" fontId="14" fillId="0" borderId="0" xfId="0" applyFont="1" applyBorder="1" applyAlignment="1">
      <alignment horizontal="center"/>
    </xf>
    <xf numFmtId="175" fontId="14" fillId="0" borderId="42" xfId="0" applyFont="1" applyBorder="1" applyAlignment="1">
      <alignment horizontal="center"/>
    </xf>
    <xf numFmtId="175" fontId="69" fillId="0" borderId="0" xfId="0" applyFont="1" applyAlignment="1">
      <alignment vertical="top" wrapText="1"/>
    </xf>
    <xf numFmtId="175" fontId="13" fillId="0" borderId="0" xfId="0" quotePrefix="1" applyFont="1" applyAlignment="1">
      <alignment vertical="top" wrapText="1"/>
    </xf>
    <xf numFmtId="175" fontId="13" fillId="0" borderId="0" xfId="0" applyFont="1" applyAlignment="1">
      <alignment vertical="top" wrapText="1"/>
    </xf>
    <xf numFmtId="175" fontId="34" fillId="0" borderId="11" xfId="0" applyFont="1" applyBorder="1" applyAlignment="1" applyProtection="1">
      <alignment horizontal="center"/>
      <protection locked="0"/>
    </xf>
    <xf numFmtId="175" fontId="34" fillId="0" borderId="11" xfId="0" applyFont="1" applyBorder="1" applyAlignment="1">
      <alignment horizontal="center"/>
    </xf>
    <xf numFmtId="175" fontId="84" fillId="0" borderId="0" xfId="0" applyFont="1" applyAlignment="1" applyProtection="1">
      <alignment horizontal="center"/>
      <protection locked="0"/>
    </xf>
    <xf numFmtId="17" fontId="84" fillId="47" borderId="0" xfId="0" quotePrefix="1" applyNumberFormat="1" applyFont="1" applyFill="1" applyAlignment="1" applyProtection="1">
      <alignment horizontal="left"/>
      <protection locked="0"/>
    </xf>
    <xf numFmtId="0" fontId="77" fillId="0" borderId="22" xfId="520" applyFont="1" applyBorder="1" applyAlignment="1">
      <alignment horizontal="center" vertical="center" wrapText="1"/>
    </xf>
    <xf numFmtId="0" fontId="77" fillId="0" borderId="21" xfId="520" applyFont="1" applyBorder="1" applyAlignment="1">
      <alignment horizontal="center" vertical="center" wrapText="1"/>
    </xf>
    <xf numFmtId="0" fontId="77" fillId="0" borderId="15" xfId="520" applyFont="1" applyBorder="1" applyAlignment="1">
      <alignment horizontal="center" vertical="center" wrapText="1"/>
    </xf>
    <xf numFmtId="0" fontId="77" fillId="0" borderId="34" xfId="520" applyFont="1" applyBorder="1" applyAlignment="1">
      <alignment horizontal="center" vertical="center" wrapText="1"/>
    </xf>
    <xf numFmtId="175" fontId="71" fillId="47" borderId="0" xfId="0" quotePrefix="1" applyFont="1" applyFill="1" applyAlignment="1" applyProtection="1">
      <alignment vertical="top" wrapText="1"/>
      <protection locked="0"/>
    </xf>
    <xf numFmtId="175" fontId="71" fillId="47" borderId="0" xfId="0" applyFont="1" applyFill="1" applyAlignment="1" applyProtection="1">
      <alignment vertical="top"/>
      <protection locked="0"/>
    </xf>
    <xf numFmtId="175" fontId="54" fillId="47" borderId="20" xfId="66" applyFont="1" applyFill="1" applyBorder="1" applyAlignment="1" applyProtection="1">
      <alignment horizontal="center" wrapText="1"/>
    </xf>
    <xf numFmtId="175" fontId="54" fillId="47" borderId="18" xfId="66" applyFont="1" applyFill="1" applyBorder="1" applyAlignment="1" applyProtection="1">
      <alignment horizontal="center" wrapText="1"/>
    </xf>
    <xf numFmtId="175" fontId="54" fillId="47" borderId="19" xfId="66" applyFont="1" applyFill="1" applyBorder="1" applyAlignment="1" applyProtection="1">
      <alignment horizontal="center" wrapText="1"/>
    </xf>
    <xf numFmtId="175" fontId="13" fillId="0" borderId="0" xfId="66" applyAlignment="1">
      <alignment wrapText="1"/>
    </xf>
    <xf numFmtId="175" fontId="61" fillId="0" borderId="0" xfId="66" applyFont="1" applyAlignment="1">
      <alignment wrapText="1"/>
    </xf>
  </cellXfs>
  <cellStyles count="892">
    <cellStyle name="20% - Accent1" xfId="1" builtinId="30" customBuiltin="1"/>
    <cellStyle name="20% - Accent1 2" xfId="115" xr:uid="{00000000-0005-0000-0000-000001000000}"/>
    <cellStyle name="20% - Accent1 3" xfId="149" xr:uid="{00000000-0005-0000-0000-000002000000}"/>
    <cellStyle name="20% - Accent1 4" xfId="195" xr:uid="{00000000-0005-0000-0000-000003000000}"/>
    <cellStyle name="20% - Accent1 5" xfId="241" xr:uid="{00000000-0005-0000-0000-000004000000}"/>
    <cellStyle name="20% - Accent1 6" xfId="290" xr:uid="{00000000-0005-0000-0000-000005000000}"/>
    <cellStyle name="20% - Accent1 7" xfId="354" xr:uid="{00000000-0005-0000-0000-000006000000}"/>
    <cellStyle name="20% - Accent1 8" xfId="425" xr:uid="{00000000-0005-0000-0000-000007000000}"/>
    <cellStyle name="20% - Accent1 9" xfId="529" xr:uid="{00000000-0005-0000-0000-000008000000}"/>
    <cellStyle name="20% - Accent2" xfId="2" builtinId="34" customBuiltin="1"/>
    <cellStyle name="20% - Accent2 2" xfId="116" xr:uid="{00000000-0005-0000-0000-00000A000000}"/>
    <cellStyle name="20% - Accent2 3" xfId="150" xr:uid="{00000000-0005-0000-0000-00000B000000}"/>
    <cellStyle name="20% - Accent2 4" xfId="196" xr:uid="{00000000-0005-0000-0000-00000C000000}"/>
    <cellStyle name="20% - Accent2 5" xfId="242" xr:uid="{00000000-0005-0000-0000-00000D000000}"/>
    <cellStyle name="20% - Accent2 6" xfId="291" xr:uid="{00000000-0005-0000-0000-00000E000000}"/>
    <cellStyle name="20% - Accent2 7" xfId="355" xr:uid="{00000000-0005-0000-0000-00000F000000}"/>
    <cellStyle name="20% - Accent2 8" xfId="426" xr:uid="{00000000-0005-0000-0000-000010000000}"/>
    <cellStyle name="20% - Accent2 9" xfId="530" xr:uid="{00000000-0005-0000-0000-000011000000}"/>
    <cellStyle name="20% - Accent3" xfId="3" builtinId="38" customBuiltin="1"/>
    <cellStyle name="20% - Accent3 2" xfId="117" xr:uid="{00000000-0005-0000-0000-000013000000}"/>
    <cellStyle name="20% - Accent3 3" xfId="151" xr:uid="{00000000-0005-0000-0000-000014000000}"/>
    <cellStyle name="20% - Accent3 4" xfId="197" xr:uid="{00000000-0005-0000-0000-000015000000}"/>
    <cellStyle name="20% - Accent3 5" xfId="243" xr:uid="{00000000-0005-0000-0000-000016000000}"/>
    <cellStyle name="20% - Accent3 6" xfId="292" xr:uid="{00000000-0005-0000-0000-000017000000}"/>
    <cellStyle name="20% - Accent3 7" xfId="356" xr:uid="{00000000-0005-0000-0000-000018000000}"/>
    <cellStyle name="20% - Accent3 8" xfId="427" xr:uid="{00000000-0005-0000-0000-000019000000}"/>
    <cellStyle name="20% - Accent3 9" xfId="531" xr:uid="{00000000-0005-0000-0000-00001A000000}"/>
    <cellStyle name="20% - Accent4" xfId="4" builtinId="42" customBuiltin="1"/>
    <cellStyle name="20% - Accent4 2" xfId="118" xr:uid="{00000000-0005-0000-0000-00001C000000}"/>
    <cellStyle name="20% - Accent4 3" xfId="152" xr:uid="{00000000-0005-0000-0000-00001D000000}"/>
    <cellStyle name="20% - Accent4 4" xfId="198" xr:uid="{00000000-0005-0000-0000-00001E000000}"/>
    <cellStyle name="20% - Accent4 5" xfId="244" xr:uid="{00000000-0005-0000-0000-00001F000000}"/>
    <cellStyle name="20% - Accent4 6" xfId="293" xr:uid="{00000000-0005-0000-0000-000020000000}"/>
    <cellStyle name="20% - Accent4 7" xfId="357" xr:uid="{00000000-0005-0000-0000-000021000000}"/>
    <cellStyle name="20% - Accent4 8" xfId="428" xr:uid="{00000000-0005-0000-0000-000022000000}"/>
    <cellStyle name="20% - Accent4 9" xfId="532" xr:uid="{00000000-0005-0000-0000-000023000000}"/>
    <cellStyle name="20% - Accent5" xfId="5" builtinId="46" customBuiltin="1"/>
    <cellStyle name="20% - Accent5 2" xfId="119" xr:uid="{00000000-0005-0000-0000-000025000000}"/>
    <cellStyle name="20% - Accent5 3" xfId="153" xr:uid="{00000000-0005-0000-0000-000026000000}"/>
    <cellStyle name="20% - Accent5 4" xfId="199" xr:uid="{00000000-0005-0000-0000-000027000000}"/>
    <cellStyle name="20% - Accent5 5" xfId="245" xr:uid="{00000000-0005-0000-0000-000028000000}"/>
    <cellStyle name="20% - Accent5 6" xfId="294" xr:uid="{00000000-0005-0000-0000-000029000000}"/>
    <cellStyle name="20% - Accent5 7" xfId="358" xr:uid="{00000000-0005-0000-0000-00002A000000}"/>
    <cellStyle name="20% - Accent5 8" xfId="429" xr:uid="{00000000-0005-0000-0000-00002B000000}"/>
    <cellStyle name="20% - Accent5 9" xfId="533" xr:uid="{00000000-0005-0000-0000-00002C000000}"/>
    <cellStyle name="20% - Accent6" xfId="6" builtinId="50" customBuiltin="1"/>
    <cellStyle name="20% - Accent6 2" xfId="120" xr:uid="{00000000-0005-0000-0000-00002E000000}"/>
    <cellStyle name="20% - Accent6 3" xfId="154" xr:uid="{00000000-0005-0000-0000-00002F000000}"/>
    <cellStyle name="20% - Accent6 4" xfId="200" xr:uid="{00000000-0005-0000-0000-000030000000}"/>
    <cellStyle name="20% - Accent6 5" xfId="246" xr:uid="{00000000-0005-0000-0000-000031000000}"/>
    <cellStyle name="20% - Accent6 6" xfId="295" xr:uid="{00000000-0005-0000-0000-000032000000}"/>
    <cellStyle name="20% - Accent6 7" xfId="359" xr:uid="{00000000-0005-0000-0000-000033000000}"/>
    <cellStyle name="20% - Accent6 8" xfId="430" xr:uid="{00000000-0005-0000-0000-000034000000}"/>
    <cellStyle name="20% - Accent6 9" xfId="534" xr:uid="{00000000-0005-0000-0000-000035000000}"/>
    <cellStyle name="40% - Accent1" xfId="7" builtinId="31" customBuiltin="1"/>
    <cellStyle name="40% - Accent1 2" xfId="121" xr:uid="{00000000-0005-0000-0000-000037000000}"/>
    <cellStyle name="40% - Accent1 3" xfId="155" xr:uid="{00000000-0005-0000-0000-000038000000}"/>
    <cellStyle name="40% - Accent1 4" xfId="201" xr:uid="{00000000-0005-0000-0000-000039000000}"/>
    <cellStyle name="40% - Accent1 5" xfId="247" xr:uid="{00000000-0005-0000-0000-00003A000000}"/>
    <cellStyle name="40% - Accent1 6" xfId="296" xr:uid="{00000000-0005-0000-0000-00003B000000}"/>
    <cellStyle name="40% - Accent1 7" xfId="360" xr:uid="{00000000-0005-0000-0000-00003C000000}"/>
    <cellStyle name="40% - Accent1 8" xfId="431" xr:uid="{00000000-0005-0000-0000-00003D000000}"/>
    <cellStyle name="40% - Accent1 9" xfId="535" xr:uid="{00000000-0005-0000-0000-00003E000000}"/>
    <cellStyle name="40% - Accent2" xfId="8" builtinId="35" customBuiltin="1"/>
    <cellStyle name="40% - Accent2 2" xfId="122" xr:uid="{00000000-0005-0000-0000-000040000000}"/>
    <cellStyle name="40% - Accent2 3" xfId="156" xr:uid="{00000000-0005-0000-0000-000041000000}"/>
    <cellStyle name="40% - Accent2 4" xfId="202" xr:uid="{00000000-0005-0000-0000-000042000000}"/>
    <cellStyle name="40% - Accent2 5" xfId="248" xr:uid="{00000000-0005-0000-0000-000043000000}"/>
    <cellStyle name="40% - Accent2 6" xfId="297" xr:uid="{00000000-0005-0000-0000-000044000000}"/>
    <cellStyle name="40% - Accent2 7" xfId="361" xr:uid="{00000000-0005-0000-0000-000045000000}"/>
    <cellStyle name="40% - Accent2 8" xfId="432" xr:uid="{00000000-0005-0000-0000-000046000000}"/>
    <cellStyle name="40% - Accent2 9" xfId="536" xr:uid="{00000000-0005-0000-0000-000047000000}"/>
    <cellStyle name="40% - Accent3" xfId="9" builtinId="39" customBuiltin="1"/>
    <cellStyle name="40% - Accent3 2" xfId="123" xr:uid="{00000000-0005-0000-0000-000049000000}"/>
    <cellStyle name="40% - Accent3 3" xfId="157" xr:uid="{00000000-0005-0000-0000-00004A000000}"/>
    <cellStyle name="40% - Accent3 4" xfId="203" xr:uid="{00000000-0005-0000-0000-00004B000000}"/>
    <cellStyle name="40% - Accent3 5" xfId="249" xr:uid="{00000000-0005-0000-0000-00004C000000}"/>
    <cellStyle name="40% - Accent3 6" xfId="298" xr:uid="{00000000-0005-0000-0000-00004D000000}"/>
    <cellStyle name="40% - Accent3 7" xfId="362" xr:uid="{00000000-0005-0000-0000-00004E000000}"/>
    <cellStyle name="40% - Accent3 8" xfId="433" xr:uid="{00000000-0005-0000-0000-00004F000000}"/>
    <cellStyle name="40% - Accent3 9" xfId="537" xr:uid="{00000000-0005-0000-0000-000050000000}"/>
    <cellStyle name="40% - Accent4" xfId="10" builtinId="43" customBuiltin="1"/>
    <cellStyle name="40% - Accent4 2" xfId="124" xr:uid="{00000000-0005-0000-0000-000052000000}"/>
    <cellStyle name="40% - Accent4 3" xfId="158" xr:uid="{00000000-0005-0000-0000-000053000000}"/>
    <cellStyle name="40% - Accent4 4" xfId="204" xr:uid="{00000000-0005-0000-0000-000054000000}"/>
    <cellStyle name="40% - Accent4 5" xfId="250" xr:uid="{00000000-0005-0000-0000-000055000000}"/>
    <cellStyle name="40% - Accent4 6" xfId="299" xr:uid="{00000000-0005-0000-0000-000056000000}"/>
    <cellStyle name="40% - Accent4 7" xfId="363" xr:uid="{00000000-0005-0000-0000-000057000000}"/>
    <cellStyle name="40% - Accent4 8" xfId="434" xr:uid="{00000000-0005-0000-0000-000058000000}"/>
    <cellStyle name="40% - Accent4 9" xfId="538" xr:uid="{00000000-0005-0000-0000-000059000000}"/>
    <cellStyle name="40% - Accent5" xfId="11" builtinId="47" customBuiltin="1"/>
    <cellStyle name="40% - Accent5 2" xfId="125" xr:uid="{00000000-0005-0000-0000-00005B000000}"/>
    <cellStyle name="40% - Accent5 3" xfId="159" xr:uid="{00000000-0005-0000-0000-00005C000000}"/>
    <cellStyle name="40% - Accent5 4" xfId="205" xr:uid="{00000000-0005-0000-0000-00005D000000}"/>
    <cellStyle name="40% - Accent5 5" xfId="251" xr:uid="{00000000-0005-0000-0000-00005E000000}"/>
    <cellStyle name="40% - Accent5 6" xfId="300" xr:uid="{00000000-0005-0000-0000-00005F000000}"/>
    <cellStyle name="40% - Accent5 7" xfId="364" xr:uid="{00000000-0005-0000-0000-000060000000}"/>
    <cellStyle name="40% - Accent5 8" xfId="435" xr:uid="{00000000-0005-0000-0000-000061000000}"/>
    <cellStyle name="40% - Accent5 9" xfId="539" xr:uid="{00000000-0005-0000-0000-000062000000}"/>
    <cellStyle name="40% - Accent6" xfId="12" builtinId="51" customBuiltin="1"/>
    <cellStyle name="40% - Accent6 2" xfId="126" xr:uid="{00000000-0005-0000-0000-000064000000}"/>
    <cellStyle name="40% - Accent6 3" xfId="160" xr:uid="{00000000-0005-0000-0000-000065000000}"/>
    <cellStyle name="40% - Accent6 4" xfId="206" xr:uid="{00000000-0005-0000-0000-000066000000}"/>
    <cellStyle name="40% - Accent6 5" xfId="252" xr:uid="{00000000-0005-0000-0000-000067000000}"/>
    <cellStyle name="40% - Accent6 6" xfId="301" xr:uid="{00000000-0005-0000-0000-000068000000}"/>
    <cellStyle name="40% - Accent6 7" xfId="365" xr:uid="{00000000-0005-0000-0000-000069000000}"/>
    <cellStyle name="40% - Accent6 8" xfId="436" xr:uid="{00000000-0005-0000-0000-00006A000000}"/>
    <cellStyle name="40% - Accent6 9" xfId="540" xr:uid="{00000000-0005-0000-0000-00006B000000}"/>
    <cellStyle name="60% - Accent1" xfId="13" builtinId="32" customBuiltin="1"/>
    <cellStyle name="60% - Accent1 2" xfId="161" xr:uid="{00000000-0005-0000-0000-00006D000000}"/>
    <cellStyle name="60% - Accent1 3" xfId="207" xr:uid="{00000000-0005-0000-0000-00006E000000}"/>
    <cellStyle name="60% - Accent1 4" xfId="253" xr:uid="{00000000-0005-0000-0000-00006F000000}"/>
    <cellStyle name="60% - Accent1 5" xfId="302" xr:uid="{00000000-0005-0000-0000-000070000000}"/>
    <cellStyle name="60% - Accent1 6" xfId="366" xr:uid="{00000000-0005-0000-0000-000071000000}"/>
    <cellStyle name="60% - Accent1 7" xfId="437" xr:uid="{00000000-0005-0000-0000-000072000000}"/>
    <cellStyle name="60% - Accent1 8" xfId="541" xr:uid="{00000000-0005-0000-0000-000073000000}"/>
    <cellStyle name="60% - Accent2" xfId="14" builtinId="36" customBuiltin="1"/>
    <cellStyle name="60% - Accent2 2" xfId="162" xr:uid="{00000000-0005-0000-0000-000075000000}"/>
    <cellStyle name="60% - Accent2 3" xfId="208" xr:uid="{00000000-0005-0000-0000-000076000000}"/>
    <cellStyle name="60% - Accent2 4" xfId="254" xr:uid="{00000000-0005-0000-0000-000077000000}"/>
    <cellStyle name="60% - Accent2 5" xfId="303" xr:uid="{00000000-0005-0000-0000-000078000000}"/>
    <cellStyle name="60% - Accent2 6" xfId="367" xr:uid="{00000000-0005-0000-0000-000079000000}"/>
    <cellStyle name="60% - Accent2 7" xfId="438" xr:uid="{00000000-0005-0000-0000-00007A000000}"/>
    <cellStyle name="60% - Accent2 8" xfId="542" xr:uid="{00000000-0005-0000-0000-00007B000000}"/>
    <cellStyle name="60% - Accent3" xfId="15" builtinId="40" customBuiltin="1"/>
    <cellStyle name="60% - Accent3 2" xfId="163" xr:uid="{00000000-0005-0000-0000-00007D000000}"/>
    <cellStyle name="60% - Accent3 3" xfId="209" xr:uid="{00000000-0005-0000-0000-00007E000000}"/>
    <cellStyle name="60% - Accent3 4" xfId="255" xr:uid="{00000000-0005-0000-0000-00007F000000}"/>
    <cellStyle name="60% - Accent3 5" xfId="304" xr:uid="{00000000-0005-0000-0000-000080000000}"/>
    <cellStyle name="60% - Accent3 6" xfId="368" xr:uid="{00000000-0005-0000-0000-000081000000}"/>
    <cellStyle name="60% - Accent3 7" xfId="439" xr:uid="{00000000-0005-0000-0000-000082000000}"/>
    <cellStyle name="60% - Accent3 8" xfId="543" xr:uid="{00000000-0005-0000-0000-000083000000}"/>
    <cellStyle name="60% - Accent4" xfId="16" builtinId="44" customBuiltin="1"/>
    <cellStyle name="60% - Accent4 2" xfId="164" xr:uid="{00000000-0005-0000-0000-000085000000}"/>
    <cellStyle name="60% - Accent4 3" xfId="210" xr:uid="{00000000-0005-0000-0000-000086000000}"/>
    <cellStyle name="60% - Accent4 4" xfId="256" xr:uid="{00000000-0005-0000-0000-000087000000}"/>
    <cellStyle name="60% - Accent4 5" xfId="305" xr:uid="{00000000-0005-0000-0000-000088000000}"/>
    <cellStyle name="60% - Accent4 6" xfId="369" xr:uid="{00000000-0005-0000-0000-000089000000}"/>
    <cellStyle name="60% - Accent4 7" xfId="440" xr:uid="{00000000-0005-0000-0000-00008A000000}"/>
    <cellStyle name="60% - Accent4 8" xfId="544" xr:uid="{00000000-0005-0000-0000-00008B000000}"/>
    <cellStyle name="60% - Accent5" xfId="17" builtinId="48" customBuiltin="1"/>
    <cellStyle name="60% - Accent5 2" xfId="165" xr:uid="{00000000-0005-0000-0000-00008D000000}"/>
    <cellStyle name="60% - Accent5 3" xfId="211" xr:uid="{00000000-0005-0000-0000-00008E000000}"/>
    <cellStyle name="60% - Accent5 4" xfId="257" xr:uid="{00000000-0005-0000-0000-00008F000000}"/>
    <cellStyle name="60% - Accent5 5" xfId="306" xr:uid="{00000000-0005-0000-0000-000090000000}"/>
    <cellStyle name="60% - Accent5 6" xfId="370" xr:uid="{00000000-0005-0000-0000-000091000000}"/>
    <cellStyle name="60% - Accent5 7" xfId="441" xr:uid="{00000000-0005-0000-0000-000092000000}"/>
    <cellStyle name="60% - Accent5 8" xfId="545" xr:uid="{00000000-0005-0000-0000-000093000000}"/>
    <cellStyle name="60% - Accent6" xfId="18" builtinId="52" customBuiltin="1"/>
    <cellStyle name="60% - Accent6 2" xfId="166" xr:uid="{00000000-0005-0000-0000-000095000000}"/>
    <cellStyle name="60% - Accent6 3" xfId="212" xr:uid="{00000000-0005-0000-0000-000096000000}"/>
    <cellStyle name="60% - Accent6 4" xfId="258" xr:uid="{00000000-0005-0000-0000-000097000000}"/>
    <cellStyle name="60% - Accent6 5" xfId="307" xr:uid="{00000000-0005-0000-0000-000098000000}"/>
    <cellStyle name="60% - Accent6 6" xfId="371" xr:uid="{00000000-0005-0000-0000-000099000000}"/>
    <cellStyle name="60% - Accent6 7" xfId="442" xr:uid="{00000000-0005-0000-0000-00009A000000}"/>
    <cellStyle name="60% - Accent6 8" xfId="546" xr:uid="{00000000-0005-0000-0000-00009B000000}"/>
    <cellStyle name="Accent1" xfId="19" builtinId="29" customBuiltin="1"/>
    <cellStyle name="Accent1 - 20%" xfId="20" xr:uid="{00000000-0005-0000-0000-00009D000000}"/>
    <cellStyle name="Accent1 - 40%" xfId="21" xr:uid="{00000000-0005-0000-0000-00009E000000}"/>
    <cellStyle name="Accent1 - 60%" xfId="22" xr:uid="{00000000-0005-0000-0000-00009F000000}"/>
    <cellStyle name="Accent1 2" xfId="167" xr:uid="{00000000-0005-0000-0000-0000A0000000}"/>
    <cellStyle name="Accent1 3" xfId="213" xr:uid="{00000000-0005-0000-0000-0000A1000000}"/>
    <cellStyle name="Accent1 4" xfId="259" xr:uid="{00000000-0005-0000-0000-0000A2000000}"/>
    <cellStyle name="Accent1 5" xfId="308" xr:uid="{00000000-0005-0000-0000-0000A3000000}"/>
    <cellStyle name="Accent1 6" xfId="372" xr:uid="{00000000-0005-0000-0000-0000A4000000}"/>
    <cellStyle name="Accent1 7" xfId="443" xr:uid="{00000000-0005-0000-0000-0000A5000000}"/>
    <cellStyle name="Accent1 8" xfId="547" xr:uid="{00000000-0005-0000-0000-0000A6000000}"/>
    <cellStyle name="Accent2" xfId="23" builtinId="33" customBuiltin="1"/>
    <cellStyle name="Accent2 - 20%" xfId="24" xr:uid="{00000000-0005-0000-0000-0000A8000000}"/>
    <cellStyle name="Accent2 - 40%" xfId="25" xr:uid="{00000000-0005-0000-0000-0000A9000000}"/>
    <cellStyle name="Accent2 - 60%" xfId="26" xr:uid="{00000000-0005-0000-0000-0000AA000000}"/>
    <cellStyle name="Accent2 2" xfId="168" xr:uid="{00000000-0005-0000-0000-0000AB000000}"/>
    <cellStyle name="Accent2 3" xfId="214" xr:uid="{00000000-0005-0000-0000-0000AC000000}"/>
    <cellStyle name="Accent2 4" xfId="260" xr:uid="{00000000-0005-0000-0000-0000AD000000}"/>
    <cellStyle name="Accent2 5" xfId="309" xr:uid="{00000000-0005-0000-0000-0000AE000000}"/>
    <cellStyle name="Accent2 6" xfId="373" xr:uid="{00000000-0005-0000-0000-0000AF000000}"/>
    <cellStyle name="Accent2 7" xfId="444" xr:uid="{00000000-0005-0000-0000-0000B0000000}"/>
    <cellStyle name="Accent2 8" xfId="548" xr:uid="{00000000-0005-0000-0000-0000B1000000}"/>
    <cellStyle name="Accent3" xfId="27" builtinId="37" customBuiltin="1"/>
    <cellStyle name="Accent3 - 20%" xfId="28" xr:uid="{00000000-0005-0000-0000-0000B3000000}"/>
    <cellStyle name="Accent3 - 40%" xfId="29" xr:uid="{00000000-0005-0000-0000-0000B4000000}"/>
    <cellStyle name="Accent3 - 60%" xfId="30" xr:uid="{00000000-0005-0000-0000-0000B5000000}"/>
    <cellStyle name="Accent3 2" xfId="169" xr:uid="{00000000-0005-0000-0000-0000B6000000}"/>
    <cellStyle name="Accent3 3" xfId="215" xr:uid="{00000000-0005-0000-0000-0000B7000000}"/>
    <cellStyle name="Accent3 4" xfId="261" xr:uid="{00000000-0005-0000-0000-0000B8000000}"/>
    <cellStyle name="Accent3 5" xfId="310" xr:uid="{00000000-0005-0000-0000-0000B9000000}"/>
    <cellStyle name="Accent3 6" xfId="374" xr:uid="{00000000-0005-0000-0000-0000BA000000}"/>
    <cellStyle name="Accent3 7" xfId="445" xr:uid="{00000000-0005-0000-0000-0000BB000000}"/>
    <cellStyle name="Accent3 8" xfId="549" xr:uid="{00000000-0005-0000-0000-0000BC000000}"/>
    <cellStyle name="Accent4" xfId="31" builtinId="41" customBuiltin="1"/>
    <cellStyle name="Accent4 - 20%" xfId="32" xr:uid="{00000000-0005-0000-0000-0000BE000000}"/>
    <cellStyle name="Accent4 - 40%" xfId="33" xr:uid="{00000000-0005-0000-0000-0000BF000000}"/>
    <cellStyle name="Accent4 - 60%" xfId="34" xr:uid="{00000000-0005-0000-0000-0000C0000000}"/>
    <cellStyle name="Accent4 2" xfId="170" xr:uid="{00000000-0005-0000-0000-0000C1000000}"/>
    <cellStyle name="Accent4 3" xfId="216" xr:uid="{00000000-0005-0000-0000-0000C2000000}"/>
    <cellStyle name="Accent4 4" xfId="262" xr:uid="{00000000-0005-0000-0000-0000C3000000}"/>
    <cellStyle name="Accent4 5" xfId="311" xr:uid="{00000000-0005-0000-0000-0000C4000000}"/>
    <cellStyle name="Accent4 6" xfId="375" xr:uid="{00000000-0005-0000-0000-0000C5000000}"/>
    <cellStyle name="Accent4 7" xfId="446" xr:uid="{00000000-0005-0000-0000-0000C6000000}"/>
    <cellStyle name="Accent4 8" xfId="550" xr:uid="{00000000-0005-0000-0000-0000C7000000}"/>
    <cellStyle name="Accent5" xfId="35" builtinId="45" customBuiltin="1"/>
    <cellStyle name="Accent5 - 20%" xfId="36" xr:uid="{00000000-0005-0000-0000-0000C9000000}"/>
    <cellStyle name="Accent5 - 40%" xfId="37" xr:uid="{00000000-0005-0000-0000-0000CA000000}"/>
    <cellStyle name="Accent5 - 60%" xfId="38" xr:uid="{00000000-0005-0000-0000-0000CB000000}"/>
    <cellStyle name="Accent5 2" xfId="171" xr:uid="{00000000-0005-0000-0000-0000CC000000}"/>
    <cellStyle name="Accent5 3" xfId="217" xr:uid="{00000000-0005-0000-0000-0000CD000000}"/>
    <cellStyle name="Accent5 4" xfId="263" xr:uid="{00000000-0005-0000-0000-0000CE000000}"/>
    <cellStyle name="Accent5 5" xfId="312" xr:uid="{00000000-0005-0000-0000-0000CF000000}"/>
    <cellStyle name="Accent5 6" xfId="376" xr:uid="{00000000-0005-0000-0000-0000D0000000}"/>
    <cellStyle name="Accent5 7" xfId="447" xr:uid="{00000000-0005-0000-0000-0000D1000000}"/>
    <cellStyle name="Accent5 8" xfId="551" xr:uid="{00000000-0005-0000-0000-0000D2000000}"/>
    <cellStyle name="Accent6" xfId="39" builtinId="49" customBuiltin="1"/>
    <cellStyle name="Accent6 - 20%" xfId="40" xr:uid="{00000000-0005-0000-0000-0000D4000000}"/>
    <cellStyle name="Accent6 - 40%" xfId="41" xr:uid="{00000000-0005-0000-0000-0000D5000000}"/>
    <cellStyle name="Accent6 - 60%" xfId="42" xr:uid="{00000000-0005-0000-0000-0000D6000000}"/>
    <cellStyle name="Accent6 2" xfId="172" xr:uid="{00000000-0005-0000-0000-0000D7000000}"/>
    <cellStyle name="Accent6 3" xfId="218" xr:uid="{00000000-0005-0000-0000-0000D8000000}"/>
    <cellStyle name="Accent6 4" xfId="264" xr:uid="{00000000-0005-0000-0000-0000D9000000}"/>
    <cellStyle name="Accent6 5" xfId="313" xr:uid="{00000000-0005-0000-0000-0000DA000000}"/>
    <cellStyle name="Accent6 6" xfId="377" xr:uid="{00000000-0005-0000-0000-0000DB000000}"/>
    <cellStyle name="Accent6 7" xfId="448" xr:uid="{00000000-0005-0000-0000-0000DC000000}"/>
    <cellStyle name="Accent6 8" xfId="552" xr:uid="{00000000-0005-0000-0000-0000DD000000}"/>
    <cellStyle name="Bad" xfId="43" builtinId="27" customBuiltin="1"/>
    <cellStyle name="Bad 2" xfId="173" xr:uid="{00000000-0005-0000-0000-0000DF000000}"/>
    <cellStyle name="Bad 3" xfId="219" xr:uid="{00000000-0005-0000-0000-0000E0000000}"/>
    <cellStyle name="Bad 4" xfId="265" xr:uid="{00000000-0005-0000-0000-0000E1000000}"/>
    <cellStyle name="Bad 5" xfId="314" xr:uid="{00000000-0005-0000-0000-0000E2000000}"/>
    <cellStyle name="Bad 6" xfId="378" xr:uid="{00000000-0005-0000-0000-0000E3000000}"/>
    <cellStyle name="Bad 7" xfId="449" xr:uid="{00000000-0005-0000-0000-0000E4000000}"/>
    <cellStyle name="Bad 8" xfId="553" xr:uid="{00000000-0005-0000-0000-0000E5000000}"/>
    <cellStyle name="Calculation" xfId="44" builtinId="22" customBuiltin="1"/>
    <cellStyle name="Calculation 2" xfId="174" xr:uid="{00000000-0005-0000-0000-0000E7000000}"/>
    <cellStyle name="Calculation 3" xfId="220" xr:uid="{00000000-0005-0000-0000-0000E8000000}"/>
    <cellStyle name="Calculation 4" xfId="266" xr:uid="{00000000-0005-0000-0000-0000E9000000}"/>
    <cellStyle name="Calculation 5" xfId="315" xr:uid="{00000000-0005-0000-0000-0000EA000000}"/>
    <cellStyle name="Calculation 6" xfId="379" xr:uid="{00000000-0005-0000-0000-0000EB000000}"/>
    <cellStyle name="Calculation 7" xfId="450" xr:uid="{00000000-0005-0000-0000-0000EC000000}"/>
    <cellStyle name="Calculation 8" xfId="554" xr:uid="{00000000-0005-0000-0000-0000ED000000}"/>
    <cellStyle name="Check Cell" xfId="45" builtinId="23" customBuiltin="1"/>
    <cellStyle name="Check Cell 2" xfId="175" xr:uid="{00000000-0005-0000-0000-0000EF000000}"/>
    <cellStyle name="Check Cell 3" xfId="221" xr:uid="{00000000-0005-0000-0000-0000F0000000}"/>
    <cellStyle name="Check Cell 4" xfId="267" xr:uid="{00000000-0005-0000-0000-0000F1000000}"/>
    <cellStyle name="Check Cell 5" xfId="316" xr:uid="{00000000-0005-0000-0000-0000F2000000}"/>
    <cellStyle name="Check Cell 6" xfId="380" xr:uid="{00000000-0005-0000-0000-0000F3000000}"/>
    <cellStyle name="Check Cell 7" xfId="451" xr:uid="{00000000-0005-0000-0000-0000F4000000}"/>
    <cellStyle name="Check Cell 8" xfId="555" xr:uid="{00000000-0005-0000-0000-0000F5000000}"/>
    <cellStyle name="Comma" xfId="46" builtinId="3"/>
    <cellStyle name="Comma 10" xfId="891" xr:uid="{AA021DD0-4C03-4450-8885-A7D916097526}"/>
    <cellStyle name="Comma 2" xfId="47" xr:uid="{00000000-0005-0000-0000-0000F7000000}"/>
    <cellStyle name="Comma 2 2" xfId="48" xr:uid="{00000000-0005-0000-0000-0000F8000000}"/>
    <cellStyle name="Comma 3" xfId="176" xr:uid="{00000000-0005-0000-0000-0000F9000000}"/>
    <cellStyle name="Comma 4" xfId="222" xr:uid="{00000000-0005-0000-0000-0000FA000000}"/>
    <cellStyle name="Comma 5" xfId="268" xr:uid="{00000000-0005-0000-0000-0000FB000000}"/>
    <cellStyle name="Comma 6" xfId="317" xr:uid="{00000000-0005-0000-0000-0000FC000000}"/>
    <cellStyle name="Comma 7" xfId="381" xr:uid="{00000000-0005-0000-0000-0000FD000000}"/>
    <cellStyle name="Comma 8" xfId="452" xr:uid="{00000000-0005-0000-0000-0000FE000000}"/>
    <cellStyle name="Comma 9" xfId="556" xr:uid="{00000000-0005-0000-0000-0000FF000000}"/>
    <cellStyle name="Currency 2" xfId="49" xr:uid="{00000000-0005-0000-0000-000000010000}"/>
    <cellStyle name="Currency 2 2" xfId="50" xr:uid="{00000000-0005-0000-0000-000001010000}"/>
    <cellStyle name="Currency 3" xfId="51" xr:uid="{00000000-0005-0000-0000-000002010000}"/>
    <cellStyle name="Currency 3 2" xfId="52" xr:uid="{00000000-0005-0000-0000-000003010000}"/>
    <cellStyle name="Currency 4" xfId="53" xr:uid="{00000000-0005-0000-0000-000004010000}"/>
    <cellStyle name="Currency 4 2" xfId="127" xr:uid="{00000000-0005-0000-0000-000005010000}"/>
    <cellStyle name="Emphasis 1" xfId="54" xr:uid="{00000000-0005-0000-0000-000006010000}"/>
    <cellStyle name="Emphasis 2" xfId="55" xr:uid="{00000000-0005-0000-0000-000007010000}"/>
    <cellStyle name="Emphasis 3" xfId="56" xr:uid="{00000000-0005-0000-0000-000008010000}"/>
    <cellStyle name="Explanatory Text" xfId="57" builtinId="53" customBuiltin="1"/>
    <cellStyle name="Explanatory Text 2" xfId="177" xr:uid="{00000000-0005-0000-0000-00000A010000}"/>
    <cellStyle name="Explanatory Text 3" xfId="223" xr:uid="{00000000-0005-0000-0000-00000B010000}"/>
    <cellStyle name="Explanatory Text 4" xfId="269" xr:uid="{00000000-0005-0000-0000-00000C010000}"/>
    <cellStyle name="Explanatory Text 5" xfId="318" xr:uid="{00000000-0005-0000-0000-00000D010000}"/>
    <cellStyle name="Explanatory Text 6" xfId="382" xr:uid="{00000000-0005-0000-0000-00000E010000}"/>
    <cellStyle name="Explanatory Text 7" xfId="453" xr:uid="{00000000-0005-0000-0000-00000F010000}"/>
    <cellStyle name="Explanatory Text 8" xfId="557" xr:uid="{00000000-0005-0000-0000-000010010000}"/>
    <cellStyle name="Good" xfId="58" builtinId="26" customBuiltin="1"/>
    <cellStyle name="Good 2" xfId="178" xr:uid="{00000000-0005-0000-0000-000012010000}"/>
    <cellStyle name="Good 3" xfId="224" xr:uid="{00000000-0005-0000-0000-000013010000}"/>
    <cellStyle name="Good 4" xfId="270" xr:uid="{00000000-0005-0000-0000-000014010000}"/>
    <cellStyle name="Good 5" xfId="319" xr:uid="{00000000-0005-0000-0000-000015010000}"/>
    <cellStyle name="Good 6" xfId="383" xr:uid="{00000000-0005-0000-0000-000016010000}"/>
    <cellStyle name="Good 7" xfId="454" xr:uid="{00000000-0005-0000-0000-000017010000}"/>
    <cellStyle name="Good 8" xfId="558" xr:uid="{00000000-0005-0000-0000-000018010000}"/>
    <cellStyle name="Heading 1" xfId="59" builtinId="16" customBuiltin="1"/>
    <cellStyle name="Heading 1 2" xfId="179" xr:uid="{00000000-0005-0000-0000-00001A010000}"/>
    <cellStyle name="Heading 1 3" xfId="225" xr:uid="{00000000-0005-0000-0000-00001B010000}"/>
    <cellStyle name="Heading 1 4" xfId="271" xr:uid="{00000000-0005-0000-0000-00001C010000}"/>
    <cellStyle name="Heading 1 5" xfId="320" xr:uid="{00000000-0005-0000-0000-00001D010000}"/>
    <cellStyle name="Heading 1 6" xfId="384" xr:uid="{00000000-0005-0000-0000-00001E010000}"/>
    <cellStyle name="Heading 1 7" xfId="455" xr:uid="{00000000-0005-0000-0000-00001F010000}"/>
    <cellStyle name="Heading 1 8" xfId="559" xr:uid="{00000000-0005-0000-0000-000020010000}"/>
    <cellStyle name="Heading 2" xfId="60" builtinId="17" customBuiltin="1"/>
    <cellStyle name="Heading 2 2" xfId="180" xr:uid="{00000000-0005-0000-0000-000022010000}"/>
    <cellStyle name="Heading 2 3" xfId="226" xr:uid="{00000000-0005-0000-0000-000023010000}"/>
    <cellStyle name="Heading 2 4" xfId="272" xr:uid="{00000000-0005-0000-0000-000024010000}"/>
    <cellStyle name="Heading 2 5" xfId="321" xr:uid="{00000000-0005-0000-0000-000025010000}"/>
    <cellStyle name="Heading 2 6" xfId="385" xr:uid="{00000000-0005-0000-0000-000026010000}"/>
    <cellStyle name="Heading 2 7" xfId="456" xr:uid="{00000000-0005-0000-0000-000027010000}"/>
    <cellStyle name="Heading 2 8" xfId="560" xr:uid="{00000000-0005-0000-0000-000028010000}"/>
    <cellStyle name="Heading 3" xfId="61" builtinId="18" customBuiltin="1"/>
    <cellStyle name="Heading 3 2" xfId="181" xr:uid="{00000000-0005-0000-0000-00002A010000}"/>
    <cellStyle name="Heading 3 3" xfId="227" xr:uid="{00000000-0005-0000-0000-00002B010000}"/>
    <cellStyle name="Heading 3 4" xfId="273" xr:uid="{00000000-0005-0000-0000-00002C010000}"/>
    <cellStyle name="Heading 3 5" xfId="322" xr:uid="{00000000-0005-0000-0000-00002D010000}"/>
    <cellStyle name="Heading 3 6" xfId="386" xr:uid="{00000000-0005-0000-0000-00002E010000}"/>
    <cellStyle name="Heading 3 7" xfId="457" xr:uid="{00000000-0005-0000-0000-00002F010000}"/>
    <cellStyle name="Heading 3 8" xfId="561" xr:uid="{00000000-0005-0000-0000-000030010000}"/>
    <cellStyle name="Heading 4" xfId="62" builtinId="19" customBuiltin="1"/>
    <cellStyle name="Heading 4 2" xfId="182" xr:uid="{00000000-0005-0000-0000-000032010000}"/>
    <cellStyle name="Heading 4 3" xfId="228" xr:uid="{00000000-0005-0000-0000-000033010000}"/>
    <cellStyle name="Heading 4 4" xfId="274" xr:uid="{00000000-0005-0000-0000-000034010000}"/>
    <cellStyle name="Heading 4 5" xfId="323" xr:uid="{00000000-0005-0000-0000-000035010000}"/>
    <cellStyle name="Heading 4 6" xfId="387" xr:uid="{00000000-0005-0000-0000-000036010000}"/>
    <cellStyle name="Heading 4 7" xfId="458" xr:uid="{00000000-0005-0000-0000-000037010000}"/>
    <cellStyle name="Heading 4 8" xfId="562" xr:uid="{00000000-0005-0000-0000-000038010000}"/>
    <cellStyle name="Input" xfId="63" builtinId="20" customBuiltin="1"/>
    <cellStyle name="Input 2" xfId="183" xr:uid="{00000000-0005-0000-0000-00003A010000}"/>
    <cellStyle name="Input 3" xfId="229" xr:uid="{00000000-0005-0000-0000-00003B010000}"/>
    <cellStyle name="Input 4" xfId="275" xr:uid="{00000000-0005-0000-0000-00003C010000}"/>
    <cellStyle name="Input 5" xfId="324" xr:uid="{00000000-0005-0000-0000-00003D010000}"/>
    <cellStyle name="Input 6" xfId="388" xr:uid="{00000000-0005-0000-0000-00003E010000}"/>
    <cellStyle name="Input 7" xfId="459" xr:uid="{00000000-0005-0000-0000-00003F010000}"/>
    <cellStyle name="Input 8" xfId="563" xr:uid="{00000000-0005-0000-0000-000040010000}"/>
    <cellStyle name="Linked Cell" xfId="64" builtinId="24" customBuiltin="1"/>
    <cellStyle name="Linked Cell 2" xfId="184" xr:uid="{00000000-0005-0000-0000-000042010000}"/>
    <cellStyle name="Linked Cell 3" xfId="230" xr:uid="{00000000-0005-0000-0000-000043010000}"/>
    <cellStyle name="Linked Cell 4" xfId="276" xr:uid="{00000000-0005-0000-0000-000044010000}"/>
    <cellStyle name="Linked Cell 5" xfId="325" xr:uid="{00000000-0005-0000-0000-000045010000}"/>
    <cellStyle name="Linked Cell 6" xfId="389" xr:uid="{00000000-0005-0000-0000-000046010000}"/>
    <cellStyle name="Linked Cell 7" xfId="460" xr:uid="{00000000-0005-0000-0000-000047010000}"/>
    <cellStyle name="Linked Cell 8" xfId="564" xr:uid="{00000000-0005-0000-0000-000048010000}"/>
    <cellStyle name="Neutral" xfId="65" builtinId="28" customBuiltin="1"/>
    <cellStyle name="Neutral 2" xfId="185" xr:uid="{00000000-0005-0000-0000-00004A010000}"/>
    <cellStyle name="Neutral 3" xfId="231" xr:uid="{00000000-0005-0000-0000-00004B010000}"/>
    <cellStyle name="Neutral 4" xfId="277" xr:uid="{00000000-0005-0000-0000-00004C010000}"/>
    <cellStyle name="Neutral 5" xfId="326" xr:uid="{00000000-0005-0000-0000-00004D010000}"/>
    <cellStyle name="Neutral 6" xfId="390" xr:uid="{00000000-0005-0000-0000-00004E010000}"/>
    <cellStyle name="Neutral 7" xfId="461" xr:uid="{00000000-0005-0000-0000-00004F010000}"/>
    <cellStyle name="Neutral 8" xfId="565" xr:uid="{00000000-0005-0000-0000-000050010000}"/>
    <cellStyle name="Normal" xfId="0" builtinId="0"/>
    <cellStyle name="Normal 10" xfId="289" xr:uid="{00000000-0005-0000-0000-000052010000}"/>
    <cellStyle name="Normal 10 2" xfId="342" xr:uid="{00000000-0005-0000-0000-000053010000}"/>
    <cellStyle name="Normal 10 2 2" xfId="414" xr:uid="{00000000-0005-0000-0000-000054010000}"/>
    <cellStyle name="Normal 10 2 3" xfId="522" xr:uid="{00000000-0005-0000-0000-000055010000}"/>
    <cellStyle name="Normal 10 3" xfId="521" xr:uid="{00000000-0005-0000-0000-000056010000}"/>
    <cellStyle name="Normal 11" xfId="288" xr:uid="{00000000-0005-0000-0000-000057010000}"/>
    <cellStyle name="Normal 11 2" xfId="404" xr:uid="{00000000-0005-0000-0000-000058010000}"/>
    <cellStyle name="Normal 11 2 2" xfId="501" xr:uid="{00000000-0005-0000-0000-000059010000}"/>
    <cellStyle name="Normal 11 2 2 2" xfId="657" xr:uid="{00000000-0005-0000-0000-00005A010000}"/>
    <cellStyle name="Normal 11 2 2 2 2" xfId="868" xr:uid="{00000000-0005-0000-0000-00005B010000}"/>
    <cellStyle name="Normal 11 2 2 3" xfId="762" xr:uid="{00000000-0005-0000-0000-00005C010000}"/>
    <cellStyle name="Normal 11 2 3" xfId="605" xr:uid="{00000000-0005-0000-0000-00005D010000}"/>
    <cellStyle name="Normal 11 2 3 2" xfId="816" xr:uid="{00000000-0005-0000-0000-00005E010000}"/>
    <cellStyle name="Normal 11 2 4" xfId="710" xr:uid="{00000000-0005-0000-0000-00005F010000}"/>
    <cellStyle name="Normal 11 3" xfId="475" xr:uid="{00000000-0005-0000-0000-000060010000}"/>
    <cellStyle name="Normal 11 3 2" xfId="631" xr:uid="{00000000-0005-0000-0000-000061010000}"/>
    <cellStyle name="Normal 11 3 2 2" xfId="842" xr:uid="{00000000-0005-0000-0000-000062010000}"/>
    <cellStyle name="Normal 11 3 3" xfId="736" xr:uid="{00000000-0005-0000-0000-000063010000}"/>
    <cellStyle name="Normal 11 4" xfId="579" xr:uid="{00000000-0005-0000-0000-000064010000}"/>
    <cellStyle name="Normal 11 4 2" xfId="790" xr:uid="{00000000-0005-0000-0000-000065010000}"/>
    <cellStyle name="Normal 11 5" xfId="684" xr:uid="{00000000-0005-0000-0000-000066010000}"/>
    <cellStyle name="Normal 12" xfId="340" xr:uid="{00000000-0005-0000-0000-000067010000}"/>
    <cellStyle name="Normal 12 2" xfId="412" xr:uid="{00000000-0005-0000-0000-000068010000}"/>
    <cellStyle name="Normal 12 2 2" xfId="509" xr:uid="{00000000-0005-0000-0000-000069010000}"/>
    <cellStyle name="Normal 12 2 2 2" xfId="665" xr:uid="{00000000-0005-0000-0000-00006A010000}"/>
    <cellStyle name="Normal 12 2 2 2 2" xfId="876" xr:uid="{00000000-0005-0000-0000-00006B010000}"/>
    <cellStyle name="Normal 12 2 2 3" xfId="770" xr:uid="{00000000-0005-0000-0000-00006C010000}"/>
    <cellStyle name="Normal 12 2 3" xfId="613" xr:uid="{00000000-0005-0000-0000-00006D010000}"/>
    <cellStyle name="Normal 12 2 3 2" xfId="824" xr:uid="{00000000-0005-0000-0000-00006E010000}"/>
    <cellStyle name="Normal 12 2 4" xfId="718" xr:uid="{00000000-0005-0000-0000-00006F010000}"/>
    <cellStyle name="Normal 12 3" xfId="483" xr:uid="{00000000-0005-0000-0000-000070010000}"/>
    <cellStyle name="Normal 12 3 2" xfId="639" xr:uid="{00000000-0005-0000-0000-000071010000}"/>
    <cellStyle name="Normal 12 3 2 2" xfId="850" xr:uid="{00000000-0005-0000-0000-000072010000}"/>
    <cellStyle name="Normal 12 3 3" xfId="744" xr:uid="{00000000-0005-0000-0000-000073010000}"/>
    <cellStyle name="Normal 12 4" xfId="587" xr:uid="{00000000-0005-0000-0000-000074010000}"/>
    <cellStyle name="Normal 12 4 2" xfId="798" xr:uid="{00000000-0005-0000-0000-000075010000}"/>
    <cellStyle name="Normal 12 5" xfId="692" xr:uid="{00000000-0005-0000-0000-000076010000}"/>
    <cellStyle name="Normal 13" xfId="341" xr:uid="{00000000-0005-0000-0000-000077010000}"/>
    <cellStyle name="Normal 13 2" xfId="413" xr:uid="{00000000-0005-0000-0000-000078010000}"/>
    <cellStyle name="Normal 13 2 2" xfId="510" xr:uid="{00000000-0005-0000-0000-000079010000}"/>
    <cellStyle name="Normal 13 2 2 2" xfId="666" xr:uid="{00000000-0005-0000-0000-00007A010000}"/>
    <cellStyle name="Normal 13 2 2 2 2" xfId="877" xr:uid="{00000000-0005-0000-0000-00007B010000}"/>
    <cellStyle name="Normal 13 2 2 3" xfId="771" xr:uid="{00000000-0005-0000-0000-00007C010000}"/>
    <cellStyle name="Normal 13 2 3" xfId="614" xr:uid="{00000000-0005-0000-0000-00007D010000}"/>
    <cellStyle name="Normal 13 2 3 2" xfId="825" xr:uid="{00000000-0005-0000-0000-00007E010000}"/>
    <cellStyle name="Normal 13 2 4" xfId="719" xr:uid="{00000000-0005-0000-0000-00007F010000}"/>
    <cellStyle name="Normal 13 3" xfId="523" xr:uid="{00000000-0005-0000-0000-000080010000}"/>
    <cellStyle name="Normal 13 3 2" xfId="675" xr:uid="{00000000-0005-0000-0000-000081010000}"/>
    <cellStyle name="Normal 13 3 2 2" xfId="886" xr:uid="{00000000-0005-0000-0000-000082010000}"/>
    <cellStyle name="Normal 13 3 3" xfId="780" xr:uid="{00000000-0005-0000-0000-000083010000}"/>
    <cellStyle name="Normal 13 4" xfId="484" xr:uid="{00000000-0005-0000-0000-000084010000}"/>
    <cellStyle name="Normal 13 4 2" xfId="640" xr:uid="{00000000-0005-0000-0000-000085010000}"/>
    <cellStyle name="Normal 13 4 2 2" xfId="851" xr:uid="{00000000-0005-0000-0000-000086010000}"/>
    <cellStyle name="Normal 13 4 3" xfId="745" xr:uid="{00000000-0005-0000-0000-000087010000}"/>
    <cellStyle name="Normal 13 5" xfId="588" xr:uid="{00000000-0005-0000-0000-000088010000}"/>
    <cellStyle name="Normal 13 5 2" xfId="799" xr:uid="{00000000-0005-0000-0000-000089010000}"/>
    <cellStyle name="Normal 13 6" xfId="693" xr:uid="{00000000-0005-0000-0000-00008A010000}"/>
    <cellStyle name="Normal 14" xfId="350" xr:uid="{00000000-0005-0000-0000-00008B010000}"/>
    <cellStyle name="Normal 14 2" xfId="525" xr:uid="{00000000-0005-0000-0000-00008C010000}"/>
    <cellStyle name="Normal 15" xfId="351" xr:uid="{00000000-0005-0000-0000-00008D010000}"/>
    <cellStyle name="Normal 15 2" xfId="422" xr:uid="{00000000-0005-0000-0000-00008E010000}"/>
    <cellStyle name="Normal 15 2 2" xfId="518" xr:uid="{00000000-0005-0000-0000-00008F010000}"/>
    <cellStyle name="Normal 15 2 2 2" xfId="674" xr:uid="{00000000-0005-0000-0000-000090010000}"/>
    <cellStyle name="Normal 15 2 2 2 2" xfId="885" xr:uid="{00000000-0005-0000-0000-000091010000}"/>
    <cellStyle name="Normal 15 2 2 3" xfId="779" xr:uid="{00000000-0005-0000-0000-000092010000}"/>
    <cellStyle name="Normal 15 2 3" xfId="622" xr:uid="{00000000-0005-0000-0000-000093010000}"/>
    <cellStyle name="Normal 15 2 3 2" xfId="833" xr:uid="{00000000-0005-0000-0000-000094010000}"/>
    <cellStyle name="Normal 15 2 4" xfId="727" xr:uid="{00000000-0005-0000-0000-000095010000}"/>
    <cellStyle name="Normal 15 3" xfId="492" xr:uid="{00000000-0005-0000-0000-000096010000}"/>
    <cellStyle name="Normal 15 3 2" xfId="648" xr:uid="{00000000-0005-0000-0000-000097010000}"/>
    <cellStyle name="Normal 15 3 2 2" xfId="859" xr:uid="{00000000-0005-0000-0000-000098010000}"/>
    <cellStyle name="Normal 15 3 3" xfId="753" xr:uid="{00000000-0005-0000-0000-000099010000}"/>
    <cellStyle name="Normal 15 4" xfId="596" xr:uid="{00000000-0005-0000-0000-00009A010000}"/>
    <cellStyle name="Normal 15 4 2" xfId="807" xr:uid="{00000000-0005-0000-0000-00009B010000}"/>
    <cellStyle name="Normal 15 5" xfId="701" xr:uid="{00000000-0005-0000-0000-00009C010000}"/>
    <cellStyle name="Normal 16" xfId="353" xr:uid="{00000000-0005-0000-0000-00009D010000}"/>
    <cellStyle name="Normal 17" xfId="352" xr:uid="{00000000-0005-0000-0000-00009E010000}"/>
    <cellStyle name="Normal 17 2" xfId="493" xr:uid="{00000000-0005-0000-0000-00009F010000}"/>
    <cellStyle name="Normal 17 2 2" xfId="649" xr:uid="{00000000-0005-0000-0000-0000A0010000}"/>
    <cellStyle name="Normal 17 2 2 2" xfId="860" xr:uid="{00000000-0005-0000-0000-0000A1010000}"/>
    <cellStyle name="Normal 17 2 3" xfId="754" xr:uid="{00000000-0005-0000-0000-0000A2010000}"/>
    <cellStyle name="Normal 17 3" xfId="597" xr:uid="{00000000-0005-0000-0000-0000A3010000}"/>
    <cellStyle name="Normal 17 3 2" xfId="808" xr:uid="{00000000-0005-0000-0000-0000A4010000}"/>
    <cellStyle name="Normal 17 4" xfId="702" xr:uid="{00000000-0005-0000-0000-0000A5010000}"/>
    <cellStyle name="Normal 18" xfId="424" xr:uid="{00000000-0005-0000-0000-0000A6010000}"/>
    <cellStyle name="Normal 19" xfId="519" xr:uid="{00000000-0005-0000-0000-0000A7010000}"/>
    <cellStyle name="Normal 2" xfId="66" xr:uid="{00000000-0005-0000-0000-0000A8010000}"/>
    <cellStyle name="Normal 2 2" xfId="520" xr:uid="{00000000-0005-0000-0000-0000A9010000}"/>
    <cellStyle name="Normal 20" xfId="423" xr:uid="{00000000-0005-0000-0000-0000AA010000}"/>
    <cellStyle name="Normal 20 2" xfId="623" xr:uid="{00000000-0005-0000-0000-0000AB010000}"/>
    <cellStyle name="Normal 20 2 2" xfId="834" xr:uid="{00000000-0005-0000-0000-0000AC010000}"/>
    <cellStyle name="Normal 20 3" xfId="728" xr:uid="{00000000-0005-0000-0000-0000AD010000}"/>
    <cellStyle name="Normal 21" xfId="528" xr:uid="{00000000-0005-0000-0000-0000AE010000}"/>
    <cellStyle name="Normal 21 2" xfId="782" xr:uid="{00000000-0005-0000-0000-0000AF010000}"/>
    <cellStyle name="Normal 22" xfId="676" xr:uid="{00000000-0005-0000-0000-0000B0010000}"/>
    <cellStyle name="Normal 22 2" xfId="887" xr:uid="{00000000-0005-0000-0000-0000B1010000}"/>
    <cellStyle name="Normal 23" xfId="527" xr:uid="{00000000-0005-0000-0000-0000B2010000}"/>
    <cellStyle name="Normal 23 2" xfId="781" xr:uid="{00000000-0005-0000-0000-0000B3010000}"/>
    <cellStyle name="Normal 24" xfId="888" xr:uid="{9C89C772-0D88-4EE7-B0FE-2578499CD212}"/>
    <cellStyle name="Normal 3" xfId="146" xr:uid="{00000000-0005-0000-0000-0000B4010000}"/>
    <cellStyle name="Normal 3 2" xfId="192" xr:uid="{00000000-0005-0000-0000-0000B5010000}"/>
    <cellStyle name="Normal 4" xfId="148" xr:uid="{00000000-0005-0000-0000-0000B6010000}"/>
    <cellStyle name="Normal 4 2" xfId="526" xr:uid="{00000000-0005-0000-0000-0000B7010000}"/>
    <cellStyle name="Normal 5" xfId="147" xr:uid="{00000000-0005-0000-0000-0000B8010000}"/>
    <cellStyle name="Normal 5 2" xfId="238" xr:uid="{00000000-0005-0000-0000-0000B9010000}"/>
    <cellStyle name="Normal 5 2 2" xfId="287" xr:uid="{00000000-0005-0000-0000-0000BA010000}"/>
    <cellStyle name="Normal 5 2 2 2" xfId="339" xr:uid="{00000000-0005-0000-0000-0000BB010000}"/>
    <cellStyle name="Normal 5 2 2 2 2" xfId="411" xr:uid="{00000000-0005-0000-0000-0000BC010000}"/>
    <cellStyle name="Normal 5 2 2 2 2 2" xfId="508" xr:uid="{00000000-0005-0000-0000-0000BD010000}"/>
    <cellStyle name="Normal 5 2 2 2 2 2 2" xfId="664" xr:uid="{00000000-0005-0000-0000-0000BE010000}"/>
    <cellStyle name="Normal 5 2 2 2 2 2 2 2" xfId="875" xr:uid="{00000000-0005-0000-0000-0000BF010000}"/>
    <cellStyle name="Normal 5 2 2 2 2 2 3" xfId="769" xr:uid="{00000000-0005-0000-0000-0000C0010000}"/>
    <cellStyle name="Normal 5 2 2 2 2 3" xfId="612" xr:uid="{00000000-0005-0000-0000-0000C1010000}"/>
    <cellStyle name="Normal 5 2 2 2 2 3 2" xfId="823" xr:uid="{00000000-0005-0000-0000-0000C2010000}"/>
    <cellStyle name="Normal 5 2 2 2 2 4" xfId="717" xr:uid="{00000000-0005-0000-0000-0000C3010000}"/>
    <cellStyle name="Normal 5 2 2 2 3" xfId="482" xr:uid="{00000000-0005-0000-0000-0000C4010000}"/>
    <cellStyle name="Normal 5 2 2 2 3 2" xfId="638" xr:uid="{00000000-0005-0000-0000-0000C5010000}"/>
    <cellStyle name="Normal 5 2 2 2 3 2 2" xfId="849" xr:uid="{00000000-0005-0000-0000-0000C6010000}"/>
    <cellStyle name="Normal 5 2 2 2 3 3" xfId="743" xr:uid="{00000000-0005-0000-0000-0000C7010000}"/>
    <cellStyle name="Normal 5 2 2 2 4" xfId="586" xr:uid="{00000000-0005-0000-0000-0000C8010000}"/>
    <cellStyle name="Normal 5 2 2 2 4 2" xfId="797" xr:uid="{00000000-0005-0000-0000-0000C9010000}"/>
    <cellStyle name="Normal 5 2 2 2 5" xfId="691" xr:uid="{00000000-0005-0000-0000-0000CA010000}"/>
    <cellStyle name="Normal 5 2 2 3" xfId="349" xr:uid="{00000000-0005-0000-0000-0000CB010000}"/>
    <cellStyle name="Normal 5 2 2 3 2" xfId="421" xr:uid="{00000000-0005-0000-0000-0000CC010000}"/>
    <cellStyle name="Normal 5 2 2 3 2 2" xfId="517" xr:uid="{00000000-0005-0000-0000-0000CD010000}"/>
    <cellStyle name="Normal 5 2 2 3 2 2 2" xfId="673" xr:uid="{00000000-0005-0000-0000-0000CE010000}"/>
    <cellStyle name="Normal 5 2 2 3 2 2 2 2" xfId="884" xr:uid="{00000000-0005-0000-0000-0000CF010000}"/>
    <cellStyle name="Normal 5 2 2 3 2 2 3" xfId="778" xr:uid="{00000000-0005-0000-0000-0000D0010000}"/>
    <cellStyle name="Normal 5 2 2 3 2 3" xfId="621" xr:uid="{00000000-0005-0000-0000-0000D1010000}"/>
    <cellStyle name="Normal 5 2 2 3 2 3 2" xfId="832" xr:uid="{00000000-0005-0000-0000-0000D2010000}"/>
    <cellStyle name="Normal 5 2 2 3 2 4" xfId="726" xr:uid="{00000000-0005-0000-0000-0000D3010000}"/>
    <cellStyle name="Normal 5 2 2 3 3" xfId="491" xr:uid="{00000000-0005-0000-0000-0000D4010000}"/>
    <cellStyle name="Normal 5 2 2 3 3 2" xfId="647" xr:uid="{00000000-0005-0000-0000-0000D5010000}"/>
    <cellStyle name="Normal 5 2 2 3 3 2 2" xfId="858" xr:uid="{00000000-0005-0000-0000-0000D6010000}"/>
    <cellStyle name="Normal 5 2 2 3 3 3" xfId="752" xr:uid="{00000000-0005-0000-0000-0000D7010000}"/>
    <cellStyle name="Normal 5 2 2 3 4" xfId="595" xr:uid="{00000000-0005-0000-0000-0000D8010000}"/>
    <cellStyle name="Normal 5 2 2 3 4 2" xfId="806" xr:uid="{00000000-0005-0000-0000-0000D9010000}"/>
    <cellStyle name="Normal 5 2 2 3 5" xfId="700" xr:uid="{00000000-0005-0000-0000-0000DA010000}"/>
    <cellStyle name="Normal 5 2 2 4" xfId="403" xr:uid="{00000000-0005-0000-0000-0000DB010000}"/>
    <cellStyle name="Normal 5 2 2 4 2" xfId="500" xr:uid="{00000000-0005-0000-0000-0000DC010000}"/>
    <cellStyle name="Normal 5 2 2 4 2 2" xfId="656" xr:uid="{00000000-0005-0000-0000-0000DD010000}"/>
    <cellStyle name="Normal 5 2 2 4 2 2 2" xfId="867" xr:uid="{00000000-0005-0000-0000-0000DE010000}"/>
    <cellStyle name="Normal 5 2 2 4 2 3" xfId="761" xr:uid="{00000000-0005-0000-0000-0000DF010000}"/>
    <cellStyle name="Normal 5 2 2 4 3" xfId="604" xr:uid="{00000000-0005-0000-0000-0000E0010000}"/>
    <cellStyle name="Normal 5 2 2 4 3 2" xfId="815" xr:uid="{00000000-0005-0000-0000-0000E1010000}"/>
    <cellStyle name="Normal 5 2 2 4 4" xfId="709" xr:uid="{00000000-0005-0000-0000-0000E2010000}"/>
    <cellStyle name="Normal 5 2 2 5" xfId="474" xr:uid="{00000000-0005-0000-0000-0000E3010000}"/>
    <cellStyle name="Normal 5 2 2 5 2" xfId="630" xr:uid="{00000000-0005-0000-0000-0000E4010000}"/>
    <cellStyle name="Normal 5 2 2 5 2 2" xfId="841" xr:uid="{00000000-0005-0000-0000-0000E5010000}"/>
    <cellStyle name="Normal 5 2 2 5 3" xfId="735" xr:uid="{00000000-0005-0000-0000-0000E6010000}"/>
    <cellStyle name="Normal 5 2 2 6" xfId="578" xr:uid="{00000000-0005-0000-0000-0000E7010000}"/>
    <cellStyle name="Normal 5 2 2 6 2" xfId="789" xr:uid="{00000000-0005-0000-0000-0000E8010000}"/>
    <cellStyle name="Normal 5 2 2 7" xfId="683" xr:uid="{00000000-0005-0000-0000-0000E9010000}"/>
    <cellStyle name="Normal 5 2 3" xfId="335" xr:uid="{00000000-0005-0000-0000-0000EA010000}"/>
    <cellStyle name="Normal 5 2 3 2" xfId="407" xr:uid="{00000000-0005-0000-0000-0000EB010000}"/>
    <cellStyle name="Normal 5 2 3 2 2" xfId="504" xr:uid="{00000000-0005-0000-0000-0000EC010000}"/>
    <cellStyle name="Normal 5 2 3 2 2 2" xfId="660" xr:uid="{00000000-0005-0000-0000-0000ED010000}"/>
    <cellStyle name="Normal 5 2 3 2 2 2 2" xfId="871" xr:uid="{00000000-0005-0000-0000-0000EE010000}"/>
    <cellStyle name="Normal 5 2 3 2 2 3" xfId="765" xr:uid="{00000000-0005-0000-0000-0000EF010000}"/>
    <cellStyle name="Normal 5 2 3 2 3" xfId="608" xr:uid="{00000000-0005-0000-0000-0000F0010000}"/>
    <cellStyle name="Normal 5 2 3 2 3 2" xfId="819" xr:uid="{00000000-0005-0000-0000-0000F1010000}"/>
    <cellStyle name="Normal 5 2 3 2 4" xfId="713" xr:uid="{00000000-0005-0000-0000-0000F2010000}"/>
    <cellStyle name="Normal 5 2 3 3" xfId="478" xr:uid="{00000000-0005-0000-0000-0000F3010000}"/>
    <cellStyle name="Normal 5 2 3 3 2" xfId="634" xr:uid="{00000000-0005-0000-0000-0000F4010000}"/>
    <cellStyle name="Normal 5 2 3 3 2 2" xfId="845" xr:uid="{00000000-0005-0000-0000-0000F5010000}"/>
    <cellStyle name="Normal 5 2 3 3 3" xfId="739" xr:uid="{00000000-0005-0000-0000-0000F6010000}"/>
    <cellStyle name="Normal 5 2 3 4" xfId="582" xr:uid="{00000000-0005-0000-0000-0000F7010000}"/>
    <cellStyle name="Normal 5 2 3 4 2" xfId="793" xr:uid="{00000000-0005-0000-0000-0000F8010000}"/>
    <cellStyle name="Normal 5 2 3 5" xfId="687" xr:uid="{00000000-0005-0000-0000-0000F9010000}"/>
    <cellStyle name="Normal 5 2 4" xfId="345" xr:uid="{00000000-0005-0000-0000-0000FA010000}"/>
    <cellStyle name="Normal 5 2 4 2" xfId="417" xr:uid="{00000000-0005-0000-0000-0000FB010000}"/>
    <cellStyle name="Normal 5 2 4 2 2" xfId="513" xr:uid="{00000000-0005-0000-0000-0000FC010000}"/>
    <cellStyle name="Normal 5 2 4 2 2 2" xfId="669" xr:uid="{00000000-0005-0000-0000-0000FD010000}"/>
    <cellStyle name="Normal 5 2 4 2 2 2 2" xfId="880" xr:uid="{00000000-0005-0000-0000-0000FE010000}"/>
    <cellStyle name="Normal 5 2 4 2 2 3" xfId="774" xr:uid="{00000000-0005-0000-0000-0000FF010000}"/>
    <cellStyle name="Normal 5 2 4 2 3" xfId="617" xr:uid="{00000000-0005-0000-0000-000000020000}"/>
    <cellStyle name="Normal 5 2 4 2 3 2" xfId="828" xr:uid="{00000000-0005-0000-0000-000001020000}"/>
    <cellStyle name="Normal 5 2 4 2 4" xfId="722" xr:uid="{00000000-0005-0000-0000-000002020000}"/>
    <cellStyle name="Normal 5 2 4 3" xfId="487" xr:uid="{00000000-0005-0000-0000-000003020000}"/>
    <cellStyle name="Normal 5 2 4 3 2" xfId="643" xr:uid="{00000000-0005-0000-0000-000004020000}"/>
    <cellStyle name="Normal 5 2 4 3 2 2" xfId="854" xr:uid="{00000000-0005-0000-0000-000005020000}"/>
    <cellStyle name="Normal 5 2 4 3 3" xfId="748" xr:uid="{00000000-0005-0000-0000-000006020000}"/>
    <cellStyle name="Normal 5 2 4 4" xfId="591" xr:uid="{00000000-0005-0000-0000-000007020000}"/>
    <cellStyle name="Normal 5 2 4 4 2" xfId="802" xr:uid="{00000000-0005-0000-0000-000008020000}"/>
    <cellStyle name="Normal 5 2 4 5" xfId="696" xr:uid="{00000000-0005-0000-0000-000009020000}"/>
    <cellStyle name="Normal 5 2 5" xfId="399" xr:uid="{00000000-0005-0000-0000-00000A020000}"/>
    <cellStyle name="Normal 5 2 5 2" xfId="496" xr:uid="{00000000-0005-0000-0000-00000B020000}"/>
    <cellStyle name="Normal 5 2 5 2 2" xfId="652" xr:uid="{00000000-0005-0000-0000-00000C020000}"/>
    <cellStyle name="Normal 5 2 5 2 2 2" xfId="863" xr:uid="{00000000-0005-0000-0000-00000D020000}"/>
    <cellStyle name="Normal 5 2 5 2 3" xfId="757" xr:uid="{00000000-0005-0000-0000-00000E020000}"/>
    <cellStyle name="Normal 5 2 5 3" xfId="600" xr:uid="{00000000-0005-0000-0000-00000F020000}"/>
    <cellStyle name="Normal 5 2 5 3 2" xfId="811" xr:uid="{00000000-0005-0000-0000-000010020000}"/>
    <cellStyle name="Normal 5 2 5 4" xfId="705" xr:uid="{00000000-0005-0000-0000-000011020000}"/>
    <cellStyle name="Normal 5 2 6" xfId="470" xr:uid="{00000000-0005-0000-0000-000012020000}"/>
    <cellStyle name="Normal 5 2 6 2" xfId="626" xr:uid="{00000000-0005-0000-0000-000013020000}"/>
    <cellStyle name="Normal 5 2 6 2 2" xfId="837" xr:uid="{00000000-0005-0000-0000-000014020000}"/>
    <cellStyle name="Normal 5 2 6 3" xfId="731" xr:uid="{00000000-0005-0000-0000-000015020000}"/>
    <cellStyle name="Normal 5 2 7" xfId="574" xr:uid="{00000000-0005-0000-0000-000016020000}"/>
    <cellStyle name="Normal 5 2 7 2" xfId="785" xr:uid="{00000000-0005-0000-0000-000017020000}"/>
    <cellStyle name="Normal 5 2 8" xfId="679" xr:uid="{00000000-0005-0000-0000-000018020000}"/>
    <cellStyle name="Normal 5 3" xfId="284" xr:uid="{00000000-0005-0000-0000-000019020000}"/>
    <cellStyle name="Normal 5 3 2" xfId="337" xr:uid="{00000000-0005-0000-0000-00001A020000}"/>
    <cellStyle name="Normal 5 3 2 2" xfId="409" xr:uid="{00000000-0005-0000-0000-00001B020000}"/>
    <cellStyle name="Normal 5 3 2 2 2" xfId="506" xr:uid="{00000000-0005-0000-0000-00001C020000}"/>
    <cellStyle name="Normal 5 3 2 2 2 2" xfId="662" xr:uid="{00000000-0005-0000-0000-00001D020000}"/>
    <cellStyle name="Normal 5 3 2 2 2 2 2" xfId="873" xr:uid="{00000000-0005-0000-0000-00001E020000}"/>
    <cellStyle name="Normal 5 3 2 2 2 3" xfId="767" xr:uid="{00000000-0005-0000-0000-00001F020000}"/>
    <cellStyle name="Normal 5 3 2 2 3" xfId="610" xr:uid="{00000000-0005-0000-0000-000020020000}"/>
    <cellStyle name="Normal 5 3 2 2 3 2" xfId="821" xr:uid="{00000000-0005-0000-0000-000021020000}"/>
    <cellStyle name="Normal 5 3 2 2 4" xfId="715" xr:uid="{00000000-0005-0000-0000-000022020000}"/>
    <cellStyle name="Normal 5 3 2 3" xfId="480" xr:uid="{00000000-0005-0000-0000-000023020000}"/>
    <cellStyle name="Normal 5 3 2 3 2" xfId="636" xr:uid="{00000000-0005-0000-0000-000024020000}"/>
    <cellStyle name="Normal 5 3 2 3 2 2" xfId="847" xr:uid="{00000000-0005-0000-0000-000025020000}"/>
    <cellStyle name="Normal 5 3 2 3 3" xfId="741" xr:uid="{00000000-0005-0000-0000-000026020000}"/>
    <cellStyle name="Normal 5 3 2 4" xfId="584" xr:uid="{00000000-0005-0000-0000-000027020000}"/>
    <cellStyle name="Normal 5 3 2 4 2" xfId="795" xr:uid="{00000000-0005-0000-0000-000028020000}"/>
    <cellStyle name="Normal 5 3 2 5" xfId="689" xr:uid="{00000000-0005-0000-0000-000029020000}"/>
    <cellStyle name="Normal 5 3 3" xfId="347" xr:uid="{00000000-0005-0000-0000-00002A020000}"/>
    <cellStyle name="Normal 5 3 3 2" xfId="419" xr:uid="{00000000-0005-0000-0000-00002B020000}"/>
    <cellStyle name="Normal 5 3 3 2 2" xfId="515" xr:uid="{00000000-0005-0000-0000-00002C020000}"/>
    <cellStyle name="Normal 5 3 3 2 2 2" xfId="671" xr:uid="{00000000-0005-0000-0000-00002D020000}"/>
    <cellStyle name="Normal 5 3 3 2 2 2 2" xfId="882" xr:uid="{00000000-0005-0000-0000-00002E020000}"/>
    <cellStyle name="Normal 5 3 3 2 2 3" xfId="776" xr:uid="{00000000-0005-0000-0000-00002F020000}"/>
    <cellStyle name="Normal 5 3 3 2 3" xfId="619" xr:uid="{00000000-0005-0000-0000-000030020000}"/>
    <cellStyle name="Normal 5 3 3 2 3 2" xfId="830" xr:uid="{00000000-0005-0000-0000-000031020000}"/>
    <cellStyle name="Normal 5 3 3 2 4" xfId="724" xr:uid="{00000000-0005-0000-0000-000032020000}"/>
    <cellStyle name="Normal 5 3 3 3" xfId="489" xr:uid="{00000000-0005-0000-0000-000033020000}"/>
    <cellStyle name="Normal 5 3 3 3 2" xfId="645" xr:uid="{00000000-0005-0000-0000-000034020000}"/>
    <cellStyle name="Normal 5 3 3 3 2 2" xfId="856" xr:uid="{00000000-0005-0000-0000-000035020000}"/>
    <cellStyle name="Normal 5 3 3 3 3" xfId="750" xr:uid="{00000000-0005-0000-0000-000036020000}"/>
    <cellStyle name="Normal 5 3 3 4" xfId="593" xr:uid="{00000000-0005-0000-0000-000037020000}"/>
    <cellStyle name="Normal 5 3 3 4 2" xfId="804" xr:uid="{00000000-0005-0000-0000-000038020000}"/>
    <cellStyle name="Normal 5 3 3 5" xfId="698" xr:uid="{00000000-0005-0000-0000-000039020000}"/>
    <cellStyle name="Normal 5 3 4" xfId="401" xr:uid="{00000000-0005-0000-0000-00003A020000}"/>
    <cellStyle name="Normal 5 3 4 2" xfId="498" xr:uid="{00000000-0005-0000-0000-00003B020000}"/>
    <cellStyle name="Normal 5 3 4 2 2" xfId="654" xr:uid="{00000000-0005-0000-0000-00003C020000}"/>
    <cellStyle name="Normal 5 3 4 2 2 2" xfId="865" xr:uid="{00000000-0005-0000-0000-00003D020000}"/>
    <cellStyle name="Normal 5 3 4 2 3" xfId="759" xr:uid="{00000000-0005-0000-0000-00003E020000}"/>
    <cellStyle name="Normal 5 3 4 3" xfId="602" xr:uid="{00000000-0005-0000-0000-00003F020000}"/>
    <cellStyle name="Normal 5 3 4 3 2" xfId="813" xr:uid="{00000000-0005-0000-0000-000040020000}"/>
    <cellStyle name="Normal 5 3 4 4" xfId="707" xr:uid="{00000000-0005-0000-0000-000041020000}"/>
    <cellStyle name="Normal 5 3 5" xfId="472" xr:uid="{00000000-0005-0000-0000-000042020000}"/>
    <cellStyle name="Normal 5 3 5 2" xfId="628" xr:uid="{00000000-0005-0000-0000-000043020000}"/>
    <cellStyle name="Normal 5 3 5 2 2" xfId="839" xr:uid="{00000000-0005-0000-0000-000044020000}"/>
    <cellStyle name="Normal 5 3 5 3" xfId="733" xr:uid="{00000000-0005-0000-0000-000045020000}"/>
    <cellStyle name="Normal 5 3 6" xfId="576" xr:uid="{00000000-0005-0000-0000-000046020000}"/>
    <cellStyle name="Normal 5 3 6 2" xfId="787" xr:uid="{00000000-0005-0000-0000-000047020000}"/>
    <cellStyle name="Normal 5 3 7" xfId="681" xr:uid="{00000000-0005-0000-0000-000048020000}"/>
    <cellStyle name="Normal 5 4" xfId="333" xr:uid="{00000000-0005-0000-0000-000049020000}"/>
    <cellStyle name="Normal 5 4 2" xfId="405" xr:uid="{00000000-0005-0000-0000-00004A020000}"/>
    <cellStyle name="Normal 5 4 2 2" xfId="502" xr:uid="{00000000-0005-0000-0000-00004B020000}"/>
    <cellStyle name="Normal 5 4 2 2 2" xfId="658" xr:uid="{00000000-0005-0000-0000-00004C020000}"/>
    <cellStyle name="Normal 5 4 2 2 2 2" xfId="869" xr:uid="{00000000-0005-0000-0000-00004D020000}"/>
    <cellStyle name="Normal 5 4 2 2 3" xfId="763" xr:uid="{00000000-0005-0000-0000-00004E020000}"/>
    <cellStyle name="Normal 5 4 2 3" xfId="606" xr:uid="{00000000-0005-0000-0000-00004F020000}"/>
    <cellStyle name="Normal 5 4 2 3 2" xfId="817" xr:uid="{00000000-0005-0000-0000-000050020000}"/>
    <cellStyle name="Normal 5 4 2 4" xfId="711" xr:uid="{00000000-0005-0000-0000-000051020000}"/>
    <cellStyle name="Normal 5 4 3" xfId="476" xr:uid="{00000000-0005-0000-0000-000052020000}"/>
    <cellStyle name="Normal 5 4 3 2" xfId="632" xr:uid="{00000000-0005-0000-0000-000053020000}"/>
    <cellStyle name="Normal 5 4 3 2 2" xfId="843" xr:uid="{00000000-0005-0000-0000-000054020000}"/>
    <cellStyle name="Normal 5 4 3 3" xfId="737" xr:uid="{00000000-0005-0000-0000-000055020000}"/>
    <cellStyle name="Normal 5 4 4" xfId="580" xr:uid="{00000000-0005-0000-0000-000056020000}"/>
    <cellStyle name="Normal 5 4 4 2" xfId="791" xr:uid="{00000000-0005-0000-0000-000057020000}"/>
    <cellStyle name="Normal 5 4 5" xfId="685" xr:uid="{00000000-0005-0000-0000-000058020000}"/>
    <cellStyle name="Normal 5 5" xfId="343" xr:uid="{00000000-0005-0000-0000-000059020000}"/>
    <cellStyle name="Normal 5 5 2" xfId="415" xr:uid="{00000000-0005-0000-0000-00005A020000}"/>
    <cellStyle name="Normal 5 5 2 2" xfId="511" xr:uid="{00000000-0005-0000-0000-00005B020000}"/>
    <cellStyle name="Normal 5 5 2 2 2" xfId="667" xr:uid="{00000000-0005-0000-0000-00005C020000}"/>
    <cellStyle name="Normal 5 5 2 2 2 2" xfId="878" xr:uid="{00000000-0005-0000-0000-00005D020000}"/>
    <cellStyle name="Normal 5 5 2 2 3" xfId="772" xr:uid="{00000000-0005-0000-0000-00005E020000}"/>
    <cellStyle name="Normal 5 5 2 3" xfId="615" xr:uid="{00000000-0005-0000-0000-00005F020000}"/>
    <cellStyle name="Normal 5 5 2 3 2" xfId="826" xr:uid="{00000000-0005-0000-0000-000060020000}"/>
    <cellStyle name="Normal 5 5 2 4" xfId="720" xr:uid="{00000000-0005-0000-0000-000061020000}"/>
    <cellStyle name="Normal 5 5 3" xfId="485" xr:uid="{00000000-0005-0000-0000-000062020000}"/>
    <cellStyle name="Normal 5 5 3 2" xfId="641" xr:uid="{00000000-0005-0000-0000-000063020000}"/>
    <cellStyle name="Normal 5 5 3 2 2" xfId="852" xr:uid="{00000000-0005-0000-0000-000064020000}"/>
    <cellStyle name="Normal 5 5 3 3" xfId="746" xr:uid="{00000000-0005-0000-0000-000065020000}"/>
    <cellStyle name="Normal 5 5 4" xfId="589" xr:uid="{00000000-0005-0000-0000-000066020000}"/>
    <cellStyle name="Normal 5 5 4 2" xfId="800" xr:uid="{00000000-0005-0000-0000-000067020000}"/>
    <cellStyle name="Normal 5 5 5" xfId="694" xr:uid="{00000000-0005-0000-0000-000068020000}"/>
    <cellStyle name="Normal 5 6" xfId="397" xr:uid="{00000000-0005-0000-0000-000069020000}"/>
    <cellStyle name="Normal 5 6 2" xfId="494" xr:uid="{00000000-0005-0000-0000-00006A020000}"/>
    <cellStyle name="Normal 5 6 2 2" xfId="650" xr:uid="{00000000-0005-0000-0000-00006B020000}"/>
    <cellStyle name="Normal 5 6 2 2 2" xfId="861" xr:uid="{00000000-0005-0000-0000-00006C020000}"/>
    <cellStyle name="Normal 5 6 2 3" xfId="755" xr:uid="{00000000-0005-0000-0000-00006D020000}"/>
    <cellStyle name="Normal 5 6 3" xfId="598" xr:uid="{00000000-0005-0000-0000-00006E020000}"/>
    <cellStyle name="Normal 5 6 3 2" xfId="809" xr:uid="{00000000-0005-0000-0000-00006F020000}"/>
    <cellStyle name="Normal 5 6 4" xfId="703" xr:uid="{00000000-0005-0000-0000-000070020000}"/>
    <cellStyle name="Normal 5 7" xfId="468" xr:uid="{00000000-0005-0000-0000-000071020000}"/>
    <cellStyle name="Normal 5 7 2" xfId="624" xr:uid="{00000000-0005-0000-0000-000072020000}"/>
    <cellStyle name="Normal 5 7 2 2" xfId="835" xr:uid="{00000000-0005-0000-0000-000073020000}"/>
    <cellStyle name="Normal 5 7 3" xfId="729" xr:uid="{00000000-0005-0000-0000-000074020000}"/>
    <cellStyle name="Normal 5 8" xfId="572" xr:uid="{00000000-0005-0000-0000-000075020000}"/>
    <cellStyle name="Normal 5 8 2" xfId="783" xr:uid="{00000000-0005-0000-0000-000076020000}"/>
    <cellStyle name="Normal 5 9" xfId="677" xr:uid="{00000000-0005-0000-0000-000077020000}"/>
    <cellStyle name="Normal 6" xfId="194" xr:uid="{00000000-0005-0000-0000-000078020000}"/>
    <cellStyle name="Normal 6 2" xfId="286" xr:uid="{00000000-0005-0000-0000-000079020000}"/>
    <cellStyle name="Normal 7" xfId="193" xr:uid="{00000000-0005-0000-0000-00007A020000}"/>
    <cellStyle name="Normal 7 2" xfId="285" xr:uid="{00000000-0005-0000-0000-00007B020000}"/>
    <cellStyle name="Normal 7 2 2" xfId="338" xr:uid="{00000000-0005-0000-0000-00007C020000}"/>
    <cellStyle name="Normal 7 2 2 2" xfId="410" xr:uid="{00000000-0005-0000-0000-00007D020000}"/>
    <cellStyle name="Normal 7 2 2 2 2" xfId="507" xr:uid="{00000000-0005-0000-0000-00007E020000}"/>
    <cellStyle name="Normal 7 2 2 2 2 2" xfId="663" xr:uid="{00000000-0005-0000-0000-00007F020000}"/>
    <cellStyle name="Normal 7 2 2 2 2 2 2" xfId="874" xr:uid="{00000000-0005-0000-0000-000080020000}"/>
    <cellStyle name="Normal 7 2 2 2 2 3" xfId="768" xr:uid="{00000000-0005-0000-0000-000081020000}"/>
    <cellStyle name="Normal 7 2 2 2 3" xfId="611" xr:uid="{00000000-0005-0000-0000-000082020000}"/>
    <cellStyle name="Normal 7 2 2 2 3 2" xfId="822" xr:uid="{00000000-0005-0000-0000-000083020000}"/>
    <cellStyle name="Normal 7 2 2 2 4" xfId="716" xr:uid="{00000000-0005-0000-0000-000084020000}"/>
    <cellStyle name="Normal 7 2 2 3" xfId="481" xr:uid="{00000000-0005-0000-0000-000085020000}"/>
    <cellStyle name="Normal 7 2 2 3 2" xfId="637" xr:uid="{00000000-0005-0000-0000-000086020000}"/>
    <cellStyle name="Normal 7 2 2 3 2 2" xfId="848" xr:uid="{00000000-0005-0000-0000-000087020000}"/>
    <cellStyle name="Normal 7 2 2 3 3" xfId="742" xr:uid="{00000000-0005-0000-0000-000088020000}"/>
    <cellStyle name="Normal 7 2 2 4" xfId="585" xr:uid="{00000000-0005-0000-0000-000089020000}"/>
    <cellStyle name="Normal 7 2 2 4 2" xfId="796" xr:uid="{00000000-0005-0000-0000-00008A020000}"/>
    <cellStyle name="Normal 7 2 2 5" xfId="690" xr:uid="{00000000-0005-0000-0000-00008B020000}"/>
    <cellStyle name="Normal 7 2 3" xfId="348" xr:uid="{00000000-0005-0000-0000-00008C020000}"/>
    <cellStyle name="Normal 7 2 3 2" xfId="420" xr:uid="{00000000-0005-0000-0000-00008D020000}"/>
    <cellStyle name="Normal 7 2 3 2 2" xfId="516" xr:uid="{00000000-0005-0000-0000-00008E020000}"/>
    <cellStyle name="Normal 7 2 3 2 2 2" xfId="672" xr:uid="{00000000-0005-0000-0000-00008F020000}"/>
    <cellStyle name="Normal 7 2 3 2 2 2 2" xfId="883" xr:uid="{00000000-0005-0000-0000-000090020000}"/>
    <cellStyle name="Normal 7 2 3 2 2 3" xfId="777" xr:uid="{00000000-0005-0000-0000-000091020000}"/>
    <cellStyle name="Normal 7 2 3 2 3" xfId="620" xr:uid="{00000000-0005-0000-0000-000092020000}"/>
    <cellStyle name="Normal 7 2 3 2 3 2" xfId="831" xr:uid="{00000000-0005-0000-0000-000093020000}"/>
    <cellStyle name="Normal 7 2 3 2 4" xfId="725" xr:uid="{00000000-0005-0000-0000-000094020000}"/>
    <cellStyle name="Normal 7 2 3 3" xfId="490" xr:uid="{00000000-0005-0000-0000-000095020000}"/>
    <cellStyle name="Normal 7 2 3 3 2" xfId="646" xr:uid="{00000000-0005-0000-0000-000096020000}"/>
    <cellStyle name="Normal 7 2 3 3 2 2" xfId="857" xr:uid="{00000000-0005-0000-0000-000097020000}"/>
    <cellStyle name="Normal 7 2 3 3 3" xfId="751" xr:uid="{00000000-0005-0000-0000-000098020000}"/>
    <cellStyle name="Normal 7 2 3 4" xfId="594" xr:uid="{00000000-0005-0000-0000-000099020000}"/>
    <cellStyle name="Normal 7 2 3 4 2" xfId="805" xr:uid="{00000000-0005-0000-0000-00009A020000}"/>
    <cellStyle name="Normal 7 2 3 5" xfId="699" xr:uid="{00000000-0005-0000-0000-00009B020000}"/>
    <cellStyle name="Normal 7 2 4" xfId="402" xr:uid="{00000000-0005-0000-0000-00009C020000}"/>
    <cellStyle name="Normal 7 2 4 2" xfId="499" xr:uid="{00000000-0005-0000-0000-00009D020000}"/>
    <cellStyle name="Normal 7 2 4 2 2" xfId="655" xr:uid="{00000000-0005-0000-0000-00009E020000}"/>
    <cellStyle name="Normal 7 2 4 2 2 2" xfId="866" xr:uid="{00000000-0005-0000-0000-00009F020000}"/>
    <cellStyle name="Normal 7 2 4 2 3" xfId="760" xr:uid="{00000000-0005-0000-0000-0000A0020000}"/>
    <cellStyle name="Normal 7 2 4 3" xfId="603" xr:uid="{00000000-0005-0000-0000-0000A1020000}"/>
    <cellStyle name="Normal 7 2 4 3 2" xfId="814" xr:uid="{00000000-0005-0000-0000-0000A2020000}"/>
    <cellStyle name="Normal 7 2 4 4" xfId="708" xr:uid="{00000000-0005-0000-0000-0000A3020000}"/>
    <cellStyle name="Normal 7 2 5" xfId="473" xr:uid="{00000000-0005-0000-0000-0000A4020000}"/>
    <cellStyle name="Normal 7 2 5 2" xfId="629" xr:uid="{00000000-0005-0000-0000-0000A5020000}"/>
    <cellStyle name="Normal 7 2 5 2 2" xfId="840" xr:uid="{00000000-0005-0000-0000-0000A6020000}"/>
    <cellStyle name="Normal 7 2 5 3" xfId="734" xr:uid="{00000000-0005-0000-0000-0000A7020000}"/>
    <cellStyle name="Normal 7 2 6" xfId="577" xr:uid="{00000000-0005-0000-0000-0000A8020000}"/>
    <cellStyle name="Normal 7 2 6 2" xfId="788" xr:uid="{00000000-0005-0000-0000-0000A9020000}"/>
    <cellStyle name="Normal 7 2 7" xfId="682" xr:uid="{00000000-0005-0000-0000-0000AA020000}"/>
    <cellStyle name="Normal 7 3" xfId="334" xr:uid="{00000000-0005-0000-0000-0000AB020000}"/>
    <cellStyle name="Normal 7 3 2" xfId="406" xr:uid="{00000000-0005-0000-0000-0000AC020000}"/>
    <cellStyle name="Normal 7 3 2 2" xfId="503" xr:uid="{00000000-0005-0000-0000-0000AD020000}"/>
    <cellStyle name="Normal 7 3 2 2 2" xfId="659" xr:uid="{00000000-0005-0000-0000-0000AE020000}"/>
    <cellStyle name="Normal 7 3 2 2 2 2" xfId="870" xr:uid="{00000000-0005-0000-0000-0000AF020000}"/>
    <cellStyle name="Normal 7 3 2 2 3" xfId="764" xr:uid="{00000000-0005-0000-0000-0000B0020000}"/>
    <cellStyle name="Normal 7 3 2 3" xfId="607" xr:uid="{00000000-0005-0000-0000-0000B1020000}"/>
    <cellStyle name="Normal 7 3 2 3 2" xfId="818" xr:uid="{00000000-0005-0000-0000-0000B2020000}"/>
    <cellStyle name="Normal 7 3 2 4" xfId="712" xr:uid="{00000000-0005-0000-0000-0000B3020000}"/>
    <cellStyle name="Normal 7 3 3" xfId="477" xr:uid="{00000000-0005-0000-0000-0000B4020000}"/>
    <cellStyle name="Normal 7 3 3 2" xfId="633" xr:uid="{00000000-0005-0000-0000-0000B5020000}"/>
    <cellStyle name="Normal 7 3 3 2 2" xfId="844" xr:uid="{00000000-0005-0000-0000-0000B6020000}"/>
    <cellStyle name="Normal 7 3 3 3" xfId="738" xr:uid="{00000000-0005-0000-0000-0000B7020000}"/>
    <cellStyle name="Normal 7 3 4" xfId="581" xr:uid="{00000000-0005-0000-0000-0000B8020000}"/>
    <cellStyle name="Normal 7 3 4 2" xfId="792" xr:uid="{00000000-0005-0000-0000-0000B9020000}"/>
    <cellStyle name="Normal 7 3 5" xfId="686" xr:uid="{00000000-0005-0000-0000-0000BA020000}"/>
    <cellStyle name="Normal 7 4" xfId="344" xr:uid="{00000000-0005-0000-0000-0000BB020000}"/>
    <cellStyle name="Normal 7 4 2" xfId="416" xr:uid="{00000000-0005-0000-0000-0000BC020000}"/>
    <cellStyle name="Normal 7 4 2 2" xfId="512" xr:uid="{00000000-0005-0000-0000-0000BD020000}"/>
    <cellStyle name="Normal 7 4 2 2 2" xfId="668" xr:uid="{00000000-0005-0000-0000-0000BE020000}"/>
    <cellStyle name="Normal 7 4 2 2 2 2" xfId="879" xr:uid="{00000000-0005-0000-0000-0000BF020000}"/>
    <cellStyle name="Normal 7 4 2 2 3" xfId="773" xr:uid="{00000000-0005-0000-0000-0000C0020000}"/>
    <cellStyle name="Normal 7 4 2 3" xfId="616" xr:uid="{00000000-0005-0000-0000-0000C1020000}"/>
    <cellStyle name="Normal 7 4 2 3 2" xfId="827" xr:uid="{00000000-0005-0000-0000-0000C2020000}"/>
    <cellStyle name="Normal 7 4 2 4" xfId="721" xr:uid="{00000000-0005-0000-0000-0000C3020000}"/>
    <cellStyle name="Normal 7 4 3" xfId="486" xr:uid="{00000000-0005-0000-0000-0000C4020000}"/>
    <cellStyle name="Normal 7 4 3 2" xfId="642" xr:uid="{00000000-0005-0000-0000-0000C5020000}"/>
    <cellStyle name="Normal 7 4 3 2 2" xfId="853" xr:uid="{00000000-0005-0000-0000-0000C6020000}"/>
    <cellStyle name="Normal 7 4 3 3" xfId="747" xr:uid="{00000000-0005-0000-0000-0000C7020000}"/>
    <cellStyle name="Normal 7 4 4" xfId="590" xr:uid="{00000000-0005-0000-0000-0000C8020000}"/>
    <cellStyle name="Normal 7 4 4 2" xfId="801" xr:uid="{00000000-0005-0000-0000-0000C9020000}"/>
    <cellStyle name="Normal 7 4 5" xfId="695" xr:uid="{00000000-0005-0000-0000-0000CA020000}"/>
    <cellStyle name="Normal 7 5" xfId="398" xr:uid="{00000000-0005-0000-0000-0000CB020000}"/>
    <cellStyle name="Normal 7 5 2" xfId="495" xr:uid="{00000000-0005-0000-0000-0000CC020000}"/>
    <cellStyle name="Normal 7 5 2 2" xfId="651" xr:uid="{00000000-0005-0000-0000-0000CD020000}"/>
    <cellStyle name="Normal 7 5 2 2 2" xfId="862" xr:uid="{00000000-0005-0000-0000-0000CE020000}"/>
    <cellStyle name="Normal 7 5 2 3" xfId="756" xr:uid="{00000000-0005-0000-0000-0000CF020000}"/>
    <cellStyle name="Normal 7 5 3" xfId="599" xr:uid="{00000000-0005-0000-0000-0000D0020000}"/>
    <cellStyle name="Normal 7 5 3 2" xfId="810" xr:uid="{00000000-0005-0000-0000-0000D1020000}"/>
    <cellStyle name="Normal 7 5 4" xfId="704" xr:uid="{00000000-0005-0000-0000-0000D2020000}"/>
    <cellStyle name="Normal 7 6" xfId="469" xr:uid="{00000000-0005-0000-0000-0000D3020000}"/>
    <cellStyle name="Normal 7 6 2" xfId="625" xr:uid="{00000000-0005-0000-0000-0000D4020000}"/>
    <cellStyle name="Normal 7 6 2 2" xfId="836" xr:uid="{00000000-0005-0000-0000-0000D5020000}"/>
    <cellStyle name="Normal 7 6 3" xfId="730" xr:uid="{00000000-0005-0000-0000-0000D6020000}"/>
    <cellStyle name="Normal 7 7" xfId="573" xr:uid="{00000000-0005-0000-0000-0000D7020000}"/>
    <cellStyle name="Normal 7 7 2" xfId="784" xr:uid="{00000000-0005-0000-0000-0000D8020000}"/>
    <cellStyle name="Normal 7 8" xfId="678" xr:uid="{00000000-0005-0000-0000-0000D9020000}"/>
    <cellStyle name="Normal 8" xfId="240" xr:uid="{00000000-0005-0000-0000-0000DA020000}"/>
    <cellStyle name="Normal 8 2" xfId="524" xr:uid="{00000000-0005-0000-0000-0000DB020000}"/>
    <cellStyle name="Normal 9" xfId="239" xr:uid="{00000000-0005-0000-0000-0000DC020000}"/>
    <cellStyle name="Normal 9 2" xfId="336" xr:uid="{00000000-0005-0000-0000-0000DD020000}"/>
    <cellStyle name="Normal 9 2 2" xfId="408" xr:uid="{00000000-0005-0000-0000-0000DE020000}"/>
    <cellStyle name="Normal 9 2 2 2" xfId="505" xr:uid="{00000000-0005-0000-0000-0000DF020000}"/>
    <cellStyle name="Normal 9 2 2 2 2" xfId="661" xr:uid="{00000000-0005-0000-0000-0000E0020000}"/>
    <cellStyle name="Normal 9 2 2 2 2 2" xfId="872" xr:uid="{00000000-0005-0000-0000-0000E1020000}"/>
    <cellStyle name="Normal 9 2 2 2 3" xfId="766" xr:uid="{00000000-0005-0000-0000-0000E2020000}"/>
    <cellStyle name="Normal 9 2 2 3" xfId="609" xr:uid="{00000000-0005-0000-0000-0000E3020000}"/>
    <cellStyle name="Normal 9 2 2 3 2" xfId="820" xr:uid="{00000000-0005-0000-0000-0000E4020000}"/>
    <cellStyle name="Normal 9 2 2 4" xfId="714" xr:uid="{00000000-0005-0000-0000-0000E5020000}"/>
    <cellStyle name="Normal 9 2 3" xfId="479" xr:uid="{00000000-0005-0000-0000-0000E6020000}"/>
    <cellStyle name="Normal 9 2 3 2" xfId="635" xr:uid="{00000000-0005-0000-0000-0000E7020000}"/>
    <cellStyle name="Normal 9 2 3 2 2" xfId="846" xr:uid="{00000000-0005-0000-0000-0000E8020000}"/>
    <cellStyle name="Normal 9 2 3 3" xfId="740" xr:uid="{00000000-0005-0000-0000-0000E9020000}"/>
    <cellStyle name="Normal 9 2 4" xfId="583" xr:uid="{00000000-0005-0000-0000-0000EA020000}"/>
    <cellStyle name="Normal 9 2 4 2" xfId="794" xr:uid="{00000000-0005-0000-0000-0000EB020000}"/>
    <cellStyle name="Normal 9 2 5" xfId="688" xr:uid="{00000000-0005-0000-0000-0000EC020000}"/>
    <cellStyle name="Normal 9 3" xfId="346" xr:uid="{00000000-0005-0000-0000-0000ED020000}"/>
    <cellStyle name="Normal 9 3 2" xfId="418" xr:uid="{00000000-0005-0000-0000-0000EE020000}"/>
    <cellStyle name="Normal 9 3 2 2" xfId="514" xr:uid="{00000000-0005-0000-0000-0000EF020000}"/>
    <cellStyle name="Normal 9 3 2 2 2" xfId="670" xr:uid="{00000000-0005-0000-0000-0000F0020000}"/>
    <cellStyle name="Normal 9 3 2 2 2 2" xfId="881" xr:uid="{00000000-0005-0000-0000-0000F1020000}"/>
    <cellStyle name="Normal 9 3 2 2 3" xfId="775" xr:uid="{00000000-0005-0000-0000-0000F2020000}"/>
    <cellStyle name="Normal 9 3 2 3" xfId="618" xr:uid="{00000000-0005-0000-0000-0000F3020000}"/>
    <cellStyle name="Normal 9 3 2 3 2" xfId="829" xr:uid="{00000000-0005-0000-0000-0000F4020000}"/>
    <cellStyle name="Normal 9 3 2 4" xfId="723" xr:uid="{00000000-0005-0000-0000-0000F5020000}"/>
    <cellStyle name="Normal 9 3 3" xfId="488" xr:uid="{00000000-0005-0000-0000-0000F6020000}"/>
    <cellStyle name="Normal 9 3 3 2" xfId="644" xr:uid="{00000000-0005-0000-0000-0000F7020000}"/>
    <cellStyle name="Normal 9 3 3 2 2" xfId="855" xr:uid="{00000000-0005-0000-0000-0000F8020000}"/>
    <cellStyle name="Normal 9 3 3 3" xfId="749" xr:uid="{00000000-0005-0000-0000-0000F9020000}"/>
    <cellStyle name="Normal 9 3 4" xfId="592" xr:uid="{00000000-0005-0000-0000-0000FA020000}"/>
    <cellStyle name="Normal 9 3 4 2" xfId="803" xr:uid="{00000000-0005-0000-0000-0000FB020000}"/>
    <cellStyle name="Normal 9 3 5" xfId="697" xr:uid="{00000000-0005-0000-0000-0000FC020000}"/>
    <cellStyle name="Normal 9 4" xfId="400" xr:uid="{00000000-0005-0000-0000-0000FD020000}"/>
    <cellStyle name="Normal 9 4 2" xfId="497" xr:uid="{00000000-0005-0000-0000-0000FE020000}"/>
    <cellStyle name="Normal 9 4 2 2" xfId="653" xr:uid="{00000000-0005-0000-0000-0000FF020000}"/>
    <cellStyle name="Normal 9 4 2 2 2" xfId="864" xr:uid="{00000000-0005-0000-0000-000000030000}"/>
    <cellStyle name="Normal 9 4 2 3" xfId="758" xr:uid="{00000000-0005-0000-0000-000001030000}"/>
    <cellStyle name="Normal 9 4 3" xfId="601" xr:uid="{00000000-0005-0000-0000-000002030000}"/>
    <cellStyle name="Normal 9 4 3 2" xfId="812" xr:uid="{00000000-0005-0000-0000-000003030000}"/>
    <cellStyle name="Normal 9 4 4" xfId="706" xr:uid="{00000000-0005-0000-0000-000004030000}"/>
    <cellStyle name="Normal 9 5" xfId="471" xr:uid="{00000000-0005-0000-0000-000005030000}"/>
    <cellStyle name="Normal 9 5 2" xfId="627" xr:uid="{00000000-0005-0000-0000-000006030000}"/>
    <cellStyle name="Normal 9 5 2 2" xfId="838" xr:uid="{00000000-0005-0000-0000-000007030000}"/>
    <cellStyle name="Normal 9 5 3" xfId="732" xr:uid="{00000000-0005-0000-0000-000008030000}"/>
    <cellStyle name="Normal 9 6" xfId="575" xr:uid="{00000000-0005-0000-0000-000009030000}"/>
    <cellStyle name="Normal 9 6 2" xfId="786" xr:uid="{00000000-0005-0000-0000-00000A030000}"/>
    <cellStyle name="Normal 9 7" xfId="680" xr:uid="{00000000-0005-0000-0000-00000B030000}"/>
    <cellStyle name="Normal_Funding Shift Table Sample" xfId="67" xr:uid="{00000000-0005-0000-0000-00000C030000}"/>
    <cellStyle name="Note" xfId="68" builtinId="10" customBuiltin="1"/>
    <cellStyle name="Note 2" xfId="186" xr:uid="{00000000-0005-0000-0000-00000E030000}"/>
    <cellStyle name="Note 3" xfId="232" xr:uid="{00000000-0005-0000-0000-00000F030000}"/>
    <cellStyle name="Note 4" xfId="278" xr:uid="{00000000-0005-0000-0000-000010030000}"/>
    <cellStyle name="Note 5" xfId="327" xr:uid="{00000000-0005-0000-0000-000011030000}"/>
    <cellStyle name="Note 6" xfId="391" xr:uid="{00000000-0005-0000-0000-000012030000}"/>
    <cellStyle name="Note 7" xfId="462" xr:uid="{00000000-0005-0000-0000-000013030000}"/>
    <cellStyle name="Note 8" xfId="566" xr:uid="{00000000-0005-0000-0000-000014030000}"/>
    <cellStyle name="Output" xfId="69" builtinId="21" customBuiltin="1"/>
    <cellStyle name="Output 2" xfId="187" xr:uid="{00000000-0005-0000-0000-000016030000}"/>
    <cellStyle name="Output 3" xfId="233" xr:uid="{00000000-0005-0000-0000-000017030000}"/>
    <cellStyle name="Output 4" xfId="279" xr:uid="{00000000-0005-0000-0000-000018030000}"/>
    <cellStyle name="Output 5" xfId="328" xr:uid="{00000000-0005-0000-0000-000019030000}"/>
    <cellStyle name="Output 6" xfId="392" xr:uid="{00000000-0005-0000-0000-00001A030000}"/>
    <cellStyle name="Output 7" xfId="463" xr:uid="{00000000-0005-0000-0000-00001B030000}"/>
    <cellStyle name="Output 8" xfId="567" xr:uid="{00000000-0005-0000-0000-00001C030000}"/>
    <cellStyle name="Percent" xfId="145" builtinId="5"/>
    <cellStyle name="Percent 2" xfId="70" xr:uid="{00000000-0005-0000-0000-00001E030000}"/>
    <cellStyle name="Percent 2 2" xfId="71" xr:uid="{00000000-0005-0000-0000-00001F030000}"/>
    <cellStyle name="Percent 3" xfId="191" xr:uid="{00000000-0005-0000-0000-000020030000}"/>
    <cellStyle name="Percent 4" xfId="237" xr:uid="{00000000-0005-0000-0000-000021030000}"/>
    <cellStyle name="Percent 5" xfId="283" xr:uid="{00000000-0005-0000-0000-000022030000}"/>
    <cellStyle name="Percent 6" xfId="332" xr:uid="{00000000-0005-0000-0000-000023030000}"/>
    <cellStyle name="Percent 7" xfId="396" xr:uid="{00000000-0005-0000-0000-000024030000}"/>
    <cellStyle name="Percent 8" xfId="467" xr:uid="{00000000-0005-0000-0000-000025030000}"/>
    <cellStyle name="Percent 9" xfId="571" xr:uid="{00000000-0005-0000-0000-000026030000}"/>
    <cellStyle name="SAPBEXaggData" xfId="72" xr:uid="{00000000-0005-0000-0000-000027030000}"/>
    <cellStyle name="SAPBEXaggDataEmph" xfId="73" xr:uid="{00000000-0005-0000-0000-000028030000}"/>
    <cellStyle name="SAPBEXaggItem" xfId="74" xr:uid="{00000000-0005-0000-0000-000029030000}"/>
    <cellStyle name="SAPBEXaggItemX" xfId="75" xr:uid="{00000000-0005-0000-0000-00002A030000}"/>
    <cellStyle name="SAPBEXchaText" xfId="76" xr:uid="{00000000-0005-0000-0000-00002B030000}"/>
    <cellStyle name="SAPBEXexcBad7" xfId="77" xr:uid="{00000000-0005-0000-0000-00002C030000}"/>
    <cellStyle name="SAPBEXexcBad7 2" xfId="128" xr:uid="{00000000-0005-0000-0000-00002D030000}"/>
    <cellStyle name="SAPBEXexcBad8" xfId="78" xr:uid="{00000000-0005-0000-0000-00002E030000}"/>
    <cellStyle name="SAPBEXexcBad8 2" xfId="129" xr:uid="{00000000-0005-0000-0000-00002F030000}"/>
    <cellStyle name="SAPBEXexcBad9" xfId="79" xr:uid="{00000000-0005-0000-0000-000030030000}"/>
    <cellStyle name="SAPBEXexcBad9 2" xfId="130" xr:uid="{00000000-0005-0000-0000-000031030000}"/>
    <cellStyle name="SAPBEXexcCritical4" xfId="80" xr:uid="{00000000-0005-0000-0000-000032030000}"/>
    <cellStyle name="SAPBEXexcCritical4 2" xfId="131" xr:uid="{00000000-0005-0000-0000-000033030000}"/>
    <cellStyle name="SAPBEXexcCritical5" xfId="81" xr:uid="{00000000-0005-0000-0000-000034030000}"/>
    <cellStyle name="SAPBEXexcCritical5 2" xfId="132" xr:uid="{00000000-0005-0000-0000-000035030000}"/>
    <cellStyle name="SAPBEXexcCritical6" xfId="82" xr:uid="{00000000-0005-0000-0000-000036030000}"/>
    <cellStyle name="SAPBEXexcCritical6 2" xfId="133" xr:uid="{00000000-0005-0000-0000-000037030000}"/>
    <cellStyle name="SAPBEXexcGood1" xfId="83" xr:uid="{00000000-0005-0000-0000-000038030000}"/>
    <cellStyle name="SAPBEXexcGood1 2" xfId="134" xr:uid="{00000000-0005-0000-0000-000039030000}"/>
    <cellStyle name="SAPBEXexcGood2" xfId="84" xr:uid="{00000000-0005-0000-0000-00003A030000}"/>
    <cellStyle name="SAPBEXexcGood2 2" xfId="135" xr:uid="{00000000-0005-0000-0000-00003B030000}"/>
    <cellStyle name="SAPBEXexcGood3" xfId="85" xr:uid="{00000000-0005-0000-0000-00003C030000}"/>
    <cellStyle name="SAPBEXexcGood3 2" xfId="136" xr:uid="{00000000-0005-0000-0000-00003D030000}"/>
    <cellStyle name="SAPBEXfilterDrill" xfId="86" xr:uid="{00000000-0005-0000-0000-00003E030000}"/>
    <cellStyle name="SAPBEXfilterItem" xfId="87" xr:uid="{00000000-0005-0000-0000-00003F030000}"/>
    <cellStyle name="SAPBEXfilterItem 2" xfId="137" xr:uid="{00000000-0005-0000-0000-000040030000}"/>
    <cellStyle name="SAPBEXfilterText" xfId="88" xr:uid="{00000000-0005-0000-0000-000041030000}"/>
    <cellStyle name="SAPBEXformats" xfId="89" xr:uid="{00000000-0005-0000-0000-000042030000}"/>
    <cellStyle name="SAPBEXformats 2" xfId="138" xr:uid="{00000000-0005-0000-0000-000043030000}"/>
    <cellStyle name="SAPBEXheaderItem" xfId="90" xr:uid="{00000000-0005-0000-0000-000044030000}"/>
    <cellStyle name="SAPBEXheaderText" xfId="91" xr:uid="{00000000-0005-0000-0000-000045030000}"/>
    <cellStyle name="SAPBEXHLevel0" xfId="92" xr:uid="{00000000-0005-0000-0000-000046030000}"/>
    <cellStyle name="SAPBEXHLevel0X" xfId="93" xr:uid="{00000000-0005-0000-0000-000047030000}"/>
    <cellStyle name="SAPBEXHLevel1" xfId="94" xr:uid="{00000000-0005-0000-0000-000048030000}"/>
    <cellStyle name="SAPBEXHLevel1X" xfId="95" xr:uid="{00000000-0005-0000-0000-000049030000}"/>
    <cellStyle name="SAPBEXHLevel2" xfId="96" xr:uid="{00000000-0005-0000-0000-00004A030000}"/>
    <cellStyle name="SAPBEXHLevel2X" xfId="97" xr:uid="{00000000-0005-0000-0000-00004B030000}"/>
    <cellStyle name="SAPBEXHLevel3" xfId="98" xr:uid="{00000000-0005-0000-0000-00004C030000}"/>
    <cellStyle name="SAPBEXHLevel3X" xfId="99" xr:uid="{00000000-0005-0000-0000-00004D030000}"/>
    <cellStyle name="SAPBEXinputData" xfId="100" xr:uid="{00000000-0005-0000-0000-00004E030000}"/>
    <cellStyle name="SAPBEXresData" xfId="101" xr:uid="{00000000-0005-0000-0000-00004F030000}"/>
    <cellStyle name="SAPBEXresData 2" xfId="139" xr:uid="{00000000-0005-0000-0000-000050030000}"/>
    <cellStyle name="SAPBEXresDataEmph" xfId="102" xr:uid="{00000000-0005-0000-0000-000051030000}"/>
    <cellStyle name="SAPBEXresItem" xfId="103" xr:uid="{00000000-0005-0000-0000-000052030000}"/>
    <cellStyle name="SAPBEXresItem 2" xfId="140" xr:uid="{00000000-0005-0000-0000-000053030000}"/>
    <cellStyle name="SAPBEXresItemX" xfId="104" xr:uid="{00000000-0005-0000-0000-000054030000}"/>
    <cellStyle name="SAPBEXresItemX 2" xfId="141" xr:uid="{00000000-0005-0000-0000-000055030000}"/>
    <cellStyle name="SAPBEXstdData" xfId="105" xr:uid="{00000000-0005-0000-0000-000056030000}"/>
    <cellStyle name="SAPBEXstdData 2" xfId="142" xr:uid="{00000000-0005-0000-0000-000057030000}"/>
    <cellStyle name="SAPBEXstdData 3" xfId="889" xr:uid="{A87DB1B3-E42C-412B-BA07-8E4275339EE4}"/>
    <cellStyle name="SAPBEXstdDataEmph" xfId="106" xr:uid="{00000000-0005-0000-0000-000058030000}"/>
    <cellStyle name="SAPBEXstdItem" xfId="107" xr:uid="{00000000-0005-0000-0000-000059030000}"/>
    <cellStyle name="SAPBEXstdItem 2" xfId="143" xr:uid="{00000000-0005-0000-0000-00005A030000}"/>
    <cellStyle name="SAPBEXstdItem 3" xfId="890" xr:uid="{045C2561-423E-4B09-9F8E-E7C7DA435F49}"/>
    <cellStyle name="SAPBEXstdItemX" xfId="108" xr:uid="{00000000-0005-0000-0000-00005B030000}"/>
    <cellStyle name="SAPBEXstdItemX 2" xfId="144" xr:uid="{00000000-0005-0000-0000-00005C030000}"/>
    <cellStyle name="SAPBEXtitle" xfId="109" xr:uid="{00000000-0005-0000-0000-00005D030000}"/>
    <cellStyle name="SAPBEXundefined" xfId="110" xr:uid="{00000000-0005-0000-0000-00005E030000}"/>
    <cellStyle name="Sheet Title" xfId="111" xr:uid="{00000000-0005-0000-0000-00005F030000}"/>
    <cellStyle name="Title" xfId="112" builtinId="15" customBuiltin="1"/>
    <cellStyle name="Title 2" xfId="188" xr:uid="{00000000-0005-0000-0000-000061030000}"/>
    <cellStyle name="Title 3" xfId="234" xr:uid="{00000000-0005-0000-0000-000062030000}"/>
    <cellStyle name="Title 4" xfId="280" xr:uid="{00000000-0005-0000-0000-000063030000}"/>
    <cellStyle name="Title 5" xfId="329" xr:uid="{00000000-0005-0000-0000-000064030000}"/>
    <cellStyle name="Title 6" xfId="393" xr:uid="{00000000-0005-0000-0000-000065030000}"/>
    <cellStyle name="Title 7" xfId="464" xr:uid="{00000000-0005-0000-0000-000066030000}"/>
    <cellStyle name="Title 8" xfId="568" xr:uid="{00000000-0005-0000-0000-000067030000}"/>
    <cellStyle name="Total" xfId="113" builtinId="25" customBuiltin="1"/>
    <cellStyle name="Total 2" xfId="189" xr:uid="{00000000-0005-0000-0000-000069030000}"/>
    <cellStyle name="Total 3" xfId="235" xr:uid="{00000000-0005-0000-0000-00006A030000}"/>
    <cellStyle name="Total 4" xfId="281" xr:uid="{00000000-0005-0000-0000-00006B030000}"/>
    <cellStyle name="Total 5" xfId="330" xr:uid="{00000000-0005-0000-0000-00006C030000}"/>
    <cellStyle name="Total 6" xfId="394" xr:uid="{00000000-0005-0000-0000-00006D030000}"/>
    <cellStyle name="Total 7" xfId="465" xr:uid="{00000000-0005-0000-0000-00006E030000}"/>
    <cellStyle name="Total 8" xfId="569" xr:uid="{00000000-0005-0000-0000-00006F030000}"/>
    <cellStyle name="Warning Text" xfId="114" builtinId="11" customBuiltin="1"/>
    <cellStyle name="Warning Text 2" xfId="190" xr:uid="{00000000-0005-0000-0000-000071030000}"/>
    <cellStyle name="Warning Text 3" xfId="236" xr:uid="{00000000-0005-0000-0000-000072030000}"/>
    <cellStyle name="Warning Text 4" xfId="282" xr:uid="{00000000-0005-0000-0000-000073030000}"/>
    <cellStyle name="Warning Text 5" xfId="331" xr:uid="{00000000-0005-0000-0000-000074030000}"/>
    <cellStyle name="Warning Text 6" xfId="395" xr:uid="{00000000-0005-0000-0000-000075030000}"/>
    <cellStyle name="Warning Text 7" xfId="466" xr:uid="{00000000-0005-0000-0000-000076030000}"/>
    <cellStyle name="Warning Text 8" xfId="570" xr:uid="{00000000-0005-0000-0000-000077030000}"/>
  </cellStyles>
  <dxfs count="10">
    <dxf>
      <font>
        <b val="0"/>
        <i val="0"/>
        <strike val="0"/>
        <condense val="0"/>
        <extend val="0"/>
        <outline val="0"/>
        <shadow val="0"/>
        <u val="none"/>
        <vertAlign val="baseline"/>
        <sz val="10"/>
        <color auto="1"/>
        <name val="Arial"/>
        <family val="2"/>
        <scheme val="none"/>
      </font>
      <numFmt numFmtId="178" formatCode="0.0000"/>
      <fill>
        <patternFill patternType="none">
          <fgColor indexed="64"/>
          <bgColor auto="1"/>
        </patternFill>
      </fill>
      <protection locked="0" hidden="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auto="1"/>
        </patternFill>
      </fill>
      <protection locked="0" hidden="0"/>
    </dxf>
    <dxf>
      <font>
        <b val="0"/>
        <i val="0"/>
        <strike val="0"/>
        <condense val="0"/>
        <extend val="0"/>
        <outline val="0"/>
        <shadow val="0"/>
        <u val="none"/>
        <vertAlign val="baseline"/>
        <sz val="10"/>
        <color theme="1"/>
        <name val="Arial"/>
        <family val="2"/>
        <scheme val="none"/>
      </font>
      <fill>
        <patternFill patternType="none">
          <fgColor theme="4" tint="0.59999389629810485"/>
          <bgColor auto="1"/>
        </patternFill>
      </fill>
      <border diagonalUp="0" diagonalDown="0" outline="0">
        <left style="thin">
          <color theme="0"/>
        </left>
        <right/>
        <top style="thick">
          <color theme="0"/>
        </top>
        <bottom/>
      </border>
      <protection locked="0" hidden="0"/>
    </dxf>
    <dxf>
      <font>
        <b val="0"/>
        <i val="0"/>
        <strike val="0"/>
        <condense val="0"/>
        <extend val="0"/>
        <outline val="0"/>
        <shadow val="0"/>
        <u val="none"/>
        <vertAlign val="baseline"/>
        <sz val="10"/>
        <color auto="1"/>
        <name val="Arial"/>
        <family val="2"/>
        <scheme val="none"/>
      </font>
      <fill>
        <patternFill patternType="none">
          <fgColor indexed="64"/>
          <bgColor auto="1"/>
        </patternFill>
      </fill>
      <protection locked="0" hidden="0"/>
    </dxf>
    <dxf>
      <font>
        <b val="0"/>
        <i val="0"/>
        <strike val="0"/>
        <condense val="0"/>
        <extend val="0"/>
        <outline val="0"/>
        <shadow val="0"/>
        <u val="none"/>
        <vertAlign val="baseline"/>
        <sz val="10"/>
        <color auto="1"/>
        <name val="Arial"/>
        <family val="2"/>
        <scheme val="none"/>
      </font>
      <fill>
        <patternFill patternType="none">
          <fgColor indexed="64"/>
          <bgColor auto="1"/>
        </patternFill>
      </fill>
      <protection locked="0" hidden="0"/>
    </dxf>
    <dxf>
      <font>
        <b val="0"/>
        <i val="0"/>
        <strike val="0"/>
        <condense val="0"/>
        <extend val="0"/>
        <outline val="0"/>
        <shadow val="0"/>
        <u val="none"/>
        <vertAlign val="baseline"/>
        <sz val="10"/>
        <color auto="1"/>
        <name val="Arial"/>
        <family val="2"/>
        <scheme val="none"/>
      </font>
      <fill>
        <patternFill patternType="none">
          <fgColor indexed="64"/>
          <bgColor indexed="65"/>
        </patternFill>
      </fill>
      <protection locked="0" hidden="0"/>
    </dxf>
    <dxf>
      <font>
        <b val="0"/>
        <i val="0"/>
        <strike val="0"/>
        <condense val="0"/>
        <extend val="0"/>
        <outline val="0"/>
        <shadow val="0"/>
        <u val="none"/>
        <vertAlign val="baseline"/>
        <sz val="10"/>
        <color auto="1"/>
        <name val="Arial"/>
        <family val="2"/>
        <scheme val="none"/>
      </font>
      <fill>
        <patternFill patternType="none">
          <fgColor indexed="64"/>
          <bgColor auto="1"/>
        </patternFill>
      </fill>
      <protection locked="0" hidden="0"/>
    </dxf>
    <dxf>
      <font>
        <b val="0"/>
        <i val="0"/>
        <strike val="0"/>
        <condense val="0"/>
        <extend val="0"/>
        <outline val="0"/>
        <shadow val="0"/>
        <u val="none"/>
        <vertAlign val="baseline"/>
        <sz val="10"/>
        <color auto="1"/>
        <name val="Arial"/>
        <family val="2"/>
        <scheme val="none"/>
      </font>
      <fill>
        <patternFill patternType="none">
          <fgColor indexed="64"/>
          <bgColor auto="1"/>
        </patternFill>
      </fill>
      <protection locked="0" hidden="0"/>
    </dxf>
    <dxf>
      <font>
        <b val="0"/>
        <i val="0"/>
        <strike val="0"/>
        <condense val="0"/>
        <extend val="0"/>
        <outline val="0"/>
        <shadow val="0"/>
        <u val="none"/>
        <vertAlign val="baseline"/>
        <sz val="10"/>
        <color auto="1"/>
        <name val="Arial"/>
        <family val="2"/>
        <scheme val="none"/>
      </font>
      <fill>
        <patternFill patternType="none">
          <fgColor indexed="64"/>
          <bgColor auto="1"/>
        </patternFill>
      </fill>
      <protection locked="0" hidden="0"/>
    </dxf>
    <dxf>
      <font>
        <b val="0"/>
        <i val="0"/>
        <strike val="0"/>
        <condense val="0"/>
        <extend val="0"/>
        <outline val="0"/>
        <shadow val="0"/>
        <u val="none"/>
        <vertAlign val="baseline"/>
        <sz val="10"/>
        <color auto="1"/>
        <name val="Arial"/>
        <family val="2"/>
        <scheme val="none"/>
      </font>
      <fill>
        <patternFill patternType="none">
          <bgColor auto="1"/>
        </patternFill>
      </fill>
      <alignment vertical="top" textRotation="0" indent="0" justifyLastLine="0" shrinkToFit="0" readingOrder="0"/>
      <protection locked="0" hidden="0"/>
    </dxf>
  </dxfs>
  <tableStyles count="0" defaultTableStyle="TableStyleMedium9" defaultPivotStyle="PivotStyleLight16"/>
  <colors>
    <mruColors>
      <color rgb="FF00CC66"/>
      <color rgb="FFCCFF66"/>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4.xml"/><Relationship Id="rId5" Type="http://schemas.openxmlformats.org/officeDocument/2006/relationships/worksheet" Target="worksheets/sheet5.xml"/><Relationship Id="rId15" Type="http://schemas.openxmlformats.org/officeDocument/2006/relationships/externalLink" Target="externalLinks/externalLink1.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1</xdr:col>
      <xdr:colOff>9525</xdr:colOff>
      <xdr:row>8</xdr:row>
      <xdr:rowOff>9525</xdr:rowOff>
    </xdr:from>
    <xdr:to>
      <xdr:col>13</xdr:col>
      <xdr:colOff>0</xdr:colOff>
      <xdr:row>8</xdr:row>
      <xdr:rowOff>381000</xdr:rowOff>
    </xdr:to>
    <xdr:sp macro="" textlink="">
      <xdr:nvSpPr>
        <xdr:cNvPr id="2" name="Text Box 1">
          <a:extLst>
            <a:ext uri="{FF2B5EF4-FFF2-40B4-BE49-F238E27FC236}">
              <a16:creationId xmlns:a16="http://schemas.microsoft.com/office/drawing/2014/main" id="{00000000-0008-0000-0600-000002000000}"/>
            </a:ext>
          </a:extLst>
        </xdr:cNvPr>
        <xdr:cNvSpPr txBox="1">
          <a:spLocks noChangeArrowheads="1"/>
        </xdr:cNvSpPr>
      </xdr:nvSpPr>
      <xdr:spPr bwMode="auto">
        <a:xfrm>
          <a:off x="4010025" y="1247775"/>
          <a:ext cx="9601200" cy="371475"/>
        </a:xfrm>
        <a:prstGeom prst="rect">
          <a:avLst/>
        </a:prstGeom>
        <a:solidFill>
          <a:srgbClr val="FFFFFF"/>
        </a:solidFill>
        <a:ln w="9525">
          <a:solidFill>
            <a:srgbClr val="000000"/>
          </a:solidFill>
          <a:miter lim="800000"/>
          <a:headEnd/>
          <a:tailEnd/>
        </a:ln>
      </xdr:spPr>
      <xdr:txBody>
        <a:bodyPr vertOverflow="clip" wrap="square" lIns="27432" tIns="27432" rIns="27432" bIns="0" anchor="t" upright="1"/>
        <a:lstStyle/>
        <a:p>
          <a:pPr algn="ctr" rtl="0">
            <a:defRPr sz="1000"/>
          </a:pPr>
          <a:endParaRPr lang="en-US" sz="1100" b="1" i="0" u="none" strike="noStrike" baseline="0">
            <a:solidFill>
              <a:srgbClr val="000000"/>
            </a:solidFill>
            <a:latin typeface="Arial"/>
            <a:cs typeface="Arial"/>
          </a:endParaRPr>
        </a:p>
        <a:p>
          <a:pPr algn="ctr" rtl="0">
            <a:defRPr sz="1000"/>
          </a:pPr>
          <a:r>
            <a:rPr lang="en-US" sz="1100" b="1" i="0" u="none" strike="noStrike" baseline="0">
              <a:solidFill>
                <a:srgbClr val="000000"/>
              </a:solidFill>
              <a:latin typeface="Arial"/>
              <a:cs typeface="Arial"/>
            </a:rPr>
            <a:t>2017 Expenditures</a:t>
          </a:r>
        </a:p>
        <a:p>
          <a:pPr algn="ctr" rtl="0">
            <a:defRPr sz="1000"/>
          </a:pPr>
          <a:endParaRPr lang="en-US" sz="1100" b="1" i="0" u="none" strike="noStrike" baseline="0">
            <a:solidFill>
              <a:srgbClr val="000000"/>
            </a:solidFill>
            <a:latin typeface="Arial"/>
            <a:cs typeface="Arial"/>
          </a:endParaRPr>
        </a:p>
        <a:p>
          <a:pPr algn="ctr" rtl="0">
            <a:defRPr sz="1000"/>
          </a:pPr>
          <a:endParaRPr lang="en-US" sz="1100" b="1" i="0" u="none" strike="noStrike" baseline="0">
            <a:solidFill>
              <a:srgbClr val="000000"/>
            </a:solidFill>
            <a:latin typeface="Arial"/>
            <a:cs typeface="Arial"/>
          </a:endParaRPr>
        </a:p>
      </xdr:txBody>
    </xdr:sp>
    <xdr:clientData/>
  </xdr:twoCellAnchor>
  <xdr:twoCellAnchor>
    <xdr:from>
      <xdr:col>1</xdr:col>
      <xdr:colOff>57149</xdr:colOff>
      <xdr:row>8</xdr:row>
      <xdr:rowOff>0</xdr:rowOff>
    </xdr:from>
    <xdr:to>
      <xdr:col>12</xdr:col>
      <xdr:colOff>781049</xdr:colOff>
      <xdr:row>8</xdr:row>
      <xdr:rowOff>371475</xdr:rowOff>
    </xdr:to>
    <xdr:sp macro="" textlink="">
      <xdr:nvSpPr>
        <xdr:cNvPr id="3" name="Text Box 1">
          <a:extLst>
            <a:ext uri="{FF2B5EF4-FFF2-40B4-BE49-F238E27FC236}">
              <a16:creationId xmlns:a16="http://schemas.microsoft.com/office/drawing/2014/main" id="{00000000-0008-0000-0600-000003000000}"/>
            </a:ext>
          </a:extLst>
        </xdr:cNvPr>
        <xdr:cNvSpPr txBox="1">
          <a:spLocks noChangeArrowheads="1"/>
        </xdr:cNvSpPr>
      </xdr:nvSpPr>
      <xdr:spPr bwMode="auto">
        <a:xfrm>
          <a:off x="4057649" y="1238250"/>
          <a:ext cx="9286875" cy="371475"/>
        </a:xfrm>
        <a:prstGeom prst="rect">
          <a:avLst/>
        </a:prstGeom>
        <a:solidFill>
          <a:sysClr val="window" lastClr="FFFFFF"/>
        </a:solidFill>
        <a:ln w="9525">
          <a:solidFill>
            <a:srgbClr val="000000"/>
          </a:solidFill>
          <a:miter lim="800000"/>
          <a:headEnd/>
          <a:tailEnd/>
        </a:ln>
      </xdr:spPr>
      <xdr:txBody>
        <a:bodyPr vertOverflow="clip" wrap="square" lIns="27432" tIns="27432" rIns="27432" bIns="0" anchor="t" upright="1"/>
        <a:lstStyle/>
        <a:p>
          <a:pPr algn="ctr" rtl="0">
            <a:defRPr sz="1000"/>
          </a:pPr>
          <a:endParaRPr lang="en-US" sz="1100" b="1" i="0" u="none" strike="noStrike" baseline="0">
            <a:solidFill>
              <a:srgbClr val="000000"/>
            </a:solidFill>
            <a:latin typeface="Arial"/>
            <a:cs typeface="Arial"/>
          </a:endParaRPr>
        </a:p>
        <a:p>
          <a:pPr algn="ctr" rtl="0">
            <a:defRPr sz="1000"/>
          </a:pPr>
          <a:r>
            <a:rPr lang="en-US" sz="1100" b="1" i="0" u="none" strike="noStrike" baseline="0">
              <a:solidFill>
                <a:sysClr val="windowText" lastClr="000000"/>
              </a:solidFill>
              <a:latin typeface="Arial"/>
              <a:cs typeface="Arial"/>
            </a:rPr>
            <a:t>2017-2018 Carry Over</a:t>
          </a:r>
          <a:r>
            <a:rPr lang="en-US" sz="1100" b="1" i="0" u="none" strike="noStrike" baseline="0">
              <a:solidFill>
                <a:srgbClr val="000000"/>
              </a:solidFill>
              <a:latin typeface="Arial"/>
              <a:cs typeface="Arial"/>
            </a:rPr>
            <a:t> Expenditures </a:t>
          </a:r>
          <a:endParaRPr lang="en-US" sz="1100" b="0" i="0" u="none" strike="noStrike" baseline="30000">
            <a:solidFill>
              <a:srgbClr val="FF0000"/>
            </a:solidFill>
            <a:latin typeface="Arial"/>
            <a:cs typeface="Arial"/>
          </a:endParaRPr>
        </a:p>
        <a:p>
          <a:pPr algn="ctr" rtl="0">
            <a:defRPr sz="1000"/>
          </a:pPr>
          <a:endParaRPr lang="en-US" sz="1100" b="1" i="0" u="none" strike="noStrike" baseline="0">
            <a:solidFill>
              <a:srgbClr val="000000"/>
            </a:solidFill>
            <a:latin typeface="Arial"/>
            <a:cs typeface="Arial"/>
          </a:endParaRPr>
        </a:p>
        <a:p>
          <a:pPr algn="ctr" rtl="0">
            <a:defRPr sz="1000"/>
          </a:pPr>
          <a:endParaRPr lang="en-US" sz="1100" b="1" i="0" u="none" strike="noStrike" baseline="0">
            <a:solidFill>
              <a:srgbClr val="000000"/>
            </a:solidFill>
            <a:latin typeface="Arial"/>
            <a:cs typeface="Aria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866</xdr:colOff>
      <xdr:row>8</xdr:row>
      <xdr:rowOff>9525</xdr:rowOff>
    </xdr:from>
    <xdr:to>
      <xdr:col>12</xdr:col>
      <xdr:colOff>770659</xdr:colOff>
      <xdr:row>8</xdr:row>
      <xdr:rowOff>381000</xdr:rowOff>
    </xdr:to>
    <xdr:sp macro="" textlink="">
      <xdr:nvSpPr>
        <xdr:cNvPr id="2" name="Text Box 1">
          <a:extLst>
            <a:ext uri="{FF2B5EF4-FFF2-40B4-BE49-F238E27FC236}">
              <a16:creationId xmlns:a16="http://schemas.microsoft.com/office/drawing/2014/main" id="{00000000-0008-0000-0500-000002000000}"/>
            </a:ext>
          </a:extLst>
        </xdr:cNvPr>
        <xdr:cNvSpPr txBox="1">
          <a:spLocks noChangeArrowheads="1"/>
        </xdr:cNvSpPr>
      </xdr:nvSpPr>
      <xdr:spPr bwMode="auto">
        <a:xfrm>
          <a:off x="4001366" y="1265093"/>
          <a:ext cx="9697316" cy="371475"/>
        </a:xfrm>
        <a:prstGeom prst="rect">
          <a:avLst/>
        </a:prstGeom>
        <a:solidFill>
          <a:srgbClr val="FFFFFF"/>
        </a:solidFill>
        <a:ln w="9525">
          <a:solidFill>
            <a:srgbClr val="000000"/>
          </a:solidFill>
          <a:miter lim="800000"/>
          <a:headEnd/>
          <a:tailEnd/>
        </a:ln>
      </xdr:spPr>
      <xdr:txBody>
        <a:bodyPr vertOverflow="clip" wrap="square" lIns="27432" tIns="27432" rIns="27432" bIns="0" anchor="t" upright="1"/>
        <a:lstStyle/>
        <a:p>
          <a:pPr algn="ctr" rtl="0">
            <a:defRPr sz="1000"/>
          </a:pPr>
          <a:endParaRPr lang="en-US" sz="1100" b="1" i="0" u="none" strike="noStrike" baseline="0">
            <a:solidFill>
              <a:srgbClr val="000000"/>
            </a:solidFill>
            <a:latin typeface="Arial"/>
            <a:cs typeface="Arial"/>
          </a:endParaRPr>
        </a:p>
        <a:p>
          <a:pPr algn="ctr" rtl="0">
            <a:defRPr sz="1000"/>
          </a:pPr>
          <a:r>
            <a:rPr lang="en-US" sz="1100" b="1" i="0" u="none" strike="noStrike" baseline="0">
              <a:solidFill>
                <a:srgbClr val="000000"/>
              </a:solidFill>
              <a:latin typeface="Arial"/>
              <a:cs typeface="Arial"/>
            </a:rPr>
            <a:t>2019 Expenditures</a:t>
          </a:r>
        </a:p>
        <a:p>
          <a:pPr algn="ctr" rtl="0">
            <a:defRPr sz="1000"/>
          </a:pPr>
          <a:endParaRPr lang="en-US" sz="1100" b="1" i="0" u="none" strike="noStrike" baseline="0">
            <a:solidFill>
              <a:srgbClr val="000000"/>
            </a:solidFill>
            <a:latin typeface="Arial"/>
            <a:cs typeface="Arial"/>
          </a:endParaRPr>
        </a:p>
        <a:p>
          <a:pPr algn="ctr" rtl="0">
            <a:defRPr sz="1000"/>
          </a:pPr>
          <a:endParaRPr lang="en-US" sz="1100" b="1" i="0" u="none" strike="noStrike" baseline="0">
            <a:solidFill>
              <a:srgbClr val="000000"/>
            </a:solidFill>
            <a:latin typeface="Arial"/>
            <a:cs typeface="Aria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ssuo/cee/dr/Shared%20Documents/2007%20Budget/Budget%20Forecast%202006-08/DR_ACTMA%20Docs/DR%20ACTMA%20thru%2009%20Sept%20200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sempra-my.sharepoint.com/Users/TKinjo/AppData/Local/Microsoft/Windows/Temporary%20Internet%20Files/Content.Outlook/XGUO2WB4/BIP%20Study%20Appendix%20FF%20%20Ex-Ante%20Load%20Impact%20Table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TMA Pivot"/>
      <sheetName val="ACTMA Detail"/>
      <sheetName val="GL 1430010 2002"/>
    </sheetNames>
    <sheetDataSet>
      <sheetData sheetId="0"/>
      <sheetData sheetId="1">
        <row r="2">
          <cell r="N2" t="str">
            <v>ENERTOUCH INC</v>
          </cell>
          <cell r="P2">
            <v>232323.08</v>
          </cell>
        </row>
        <row r="3">
          <cell r="N3" t="str">
            <v>ENERTOUCH INC</v>
          </cell>
          <cell r="P3">
            <v>180623.66</v>
          </cell>
        </row>
        <row r="4">
          <cell r="N4" t="str">
            <v>CANNON TECHNOLOGIES INC</v>
          </cell>
          <cell r="P4">
            <v>0</v>
          </cell>
        </row>
        <row r="5">
          <cell r="N5" t="str">
            <v>CANNON TECHNOLOGIES INC</v>
          </cell>
          <cell r="P5">
            <v>4132.8</v>
          </cell>
        </row>
        <row r="6">
          <cell r="N6" t="str">
            <v>CANNON TECHNOLOGIES INC</v>
          </cell>
          <cell r="P6">
            <v>0</v>
          </cell>
        </row>
        <row r="7">
          <cell r="N7" t="str">
            <v>CANNON TECHNOLOGIES INC</v>
          </cell>
          <cell r="P7">
            <v>96768</v>
          </cell>
        </row>
        <row r="8">
          <cell r="N8" t="str">
            <v>CANNON TECHNOLOGIES INC</v>
          </cell>
          <cell r="P8">
            <v>72375</v>
          </cell>
        </row>
        <row r="9">
          <cell r="N9" t="str">
            <v>CANNON TECHNOLOGIES INC</v>
          </cell>
          <cell r="P9">
            <v>96768</v>
          </cell>
        </row>
        <row r="10">
          <cell r="N10" t="str">
            <v>CANNON TECHNOLOGIES INC</v>
          </cell>
          <cell r="P10">
            <v>96768</v>
          </cell>
        </row>
        <row r="11">
          <cell r="N11" t="str">
            <v>CANNON TECHNOLOGIES INC</v>
          </cell>
          <cell r="P11">
            <v>-423059.4</v>
          </cell>
        </row>
        <row r="12">
          <cell r="N12" t="str">
            <v>CANNON TECHNOLOGIES INC</v>
          </cell>
          <cell r="P12">
            <v>0</v>
          </cell>
        </row>
        <row r="13">
          <cell r="N13" t="str">
            <v>CANNON TECHNOLOGIES INC</v>
          </cell>
          <cell r="P13">
            <v>72375</v>
          </cell>
        </row>
        <row r="14">
          <cell r="N14" t="str">
            <v>CANNON TECHNOLOGIES INC</v>
          </cell>
          <cell r="P14">
            <v>423059.4</v>
          </cell>
        </row>
        <row r="15">
          <cell r="N15" t="str">
            <v>CANNON TECHNOLOGIES INC</v>
          </cell>
          <cell r="P15">
            <v>4132.8</v>
          </cell>
        </row>
        <row r="16">
          <cell r="N16" t="str">
            <v>CANNON TECHNOLOGIES INC</v>
          </cell>
          <cell r="P16">
            <v>4132.8</v>
          </cell>
        </row>
        <row r="17">
          <cell r="N17" t="str">
            <v>CANNON TECHNOLOGIES INC</v>
          </cell>
          <cell r="P17">
            <v>72375</v>
          </cell>
        </row>
        <row r="18">
          <cell r="N18" t="str">
            <v>CANNON TECHNOLOGIES INC</v>
          </cell>
          <cell r="P18">
            <v>96768</v>
          </cell>
        </row>
        <row r="19">
          <cell r="N19" t="str">
            <v>CANNON TECHNOLOGIES INC</v>
          </cell>
          <cell r="P19">
            <v>72375</v>
          </cell>
        </row>
        <row r="20">
          <cell r="N20" t="str">
            <v>CANNON TECHNOLOGIES INC</v>
          </cell>
          <cell r="P20">
            <v>1935.36</v>
          </cell>
        </row>
        <row r="21">
          <cell r="N21" t="str">
            <v>CANNON TECHNOLOGIES INC</v>
          </cell>
          <cell r="P21">
            <v>1935.36</v>
          </cell>
        </row>
        <row r="22">
          <cell r="N22" t="str">
            <v>CANNON TECHNOLOGIES INC</v>
          </cell>
          <cell r="P22">
            <v>82.66</v>
          </cell>
        </row>
        <row r="23">
          <cell r="N23" t="str">
            <v>CANNON TECHNOLOGIES INC</v>
          </cell>
          <cell r="P23">
            <v>1935.36</v>
          </cell>
        </row>
        <row r="24">
          <cell r="N24" t="str">
            <v>CANNON TECHNOLOGIES INC</v>
          </cell>
          <cell r="P24">
            <v>1447.5</v>
          </cell>
        </row>
        <row r="25">
          <cell r="N25" t="str">
            <v>CANNON TECHNOLOGIES INC</v>
          </cell>
          <cell r="P25">
            <v>-82.66</v>
          </cell>
        </row>
        <row r="26">
          <cell r="N26" t="str">
            <v>CANNON TECHNOLOGIES INC</v>
          </cell>
          <cell r="P26">
            <v>1447.5</v>
          </cell>
        </row>
        <row r="27">
          <cell r="N27" t="str">
            <v>CANNON TECHNOLOGIES INC</v>
          </cell>
          <cell r="P27">
            <v>82.66</v>
          </cell>
        </row>
        <row r="28">
          <cell r="N28" t="str">
            <v>CANNON TECHNOLOGIES INC</v>
          </cell>
          <cell r="P28">
            <v>1447.5</v>
          </cell>
        </row>
        <row r="29">
          <cell r="N29" t="str">
            <v>CANNON TECHNOLOGIES INC</v>
          </cell>
          <cell r="P29">
            <v>82.66</v>
          </cell>
        </row>
        <row r="30">
          <cell r="N30" t="str">
            <v>CANNON TECHNOLOGIES INC</v>
          </cell>
          <cell r="P30">
            <v>1935.36</v>
          </cell>
        </row>
        <row r="31">
          <cell r="N31" t="str">
            <v>CANNON TECHNOLOGIES INC</v>
          </cell>
          <cell r="P31">
            <v>82.66</v>
          </cell>
        </row>
        <row r="32">
          <cell r="N32" t="str">
            <v>CANNON TECHNOLOGIES INC</v>
          </cell>
          <cell r="P32">
            <v>1447.5</v>
          </cell>
        </row>
        <row r="33">
          <cell r="N33"/>
          <cell r="P33">
            <v>0</v>
          </cell>
        </row>
        <row r="34">
          <cell r="N34"/>
          <cell r="P34">
            <v>0</v>
          </cell>
        </row>
        <row r="35">
          <cell r="N35"/>
          <cell r="P35">
            <v>0</v>
          </cell>
        </row>
        <row r="36">
          <cell r="N36"/>
          <cell r="P36">
            <v>0</v>
          </cell>
        </row>
        <row r="37">
          <cell r="N37"/>
          <cell r="P37">
            <v>0</v>
          </cell>
        </row>
        <row r="38">
          <cell r="N38"/>
          <cell r="P38">
            <v>0</v>
          </cell>
        </row>
        <row r="39">
          <cell r="N39"/>
          <cell r="P39">
            <v>0</v>
          </cell>
        </row>
        <row r="40">
          <cell r="N40" t="str">
            <v>CORESTAFF SERVICES LP</v>
          </cell>
          <cell r="P40">
            <v>0</v>
          </cell>
        </row>
        <row r="41">
          <cell r="N41" t="str">
            <v>CORESTAFF SERVICES LP</v>
          </cell>
          <cell r="P41">
            <v>0</v>
          </cell>
        </row>
        <row r="42">
          <cell r="N42" t="str">
            <v>CORESTAFF SERVICES LP</v>
          </cell>
          <cell r="P42">
            <v>0</v>
          </cell>
        </row>
        <row r="43">
          <cell r="N43" t="str">
            <v>CORESTAFF SERVICES LP</v>
          </cell>
          <cell r="P43">
            <v>0</v>
          </cell>
        </row>
        <row r="44">
          <cell r="N44" t="str">
            <v>CORESTAFF SERVICES LP</v>
          </cell>
          <cell r="P44">
            <v>0</v>
          </cell>
        </row>
        <row r="45">
          <cell r="N45" t="str">
            <v>CORESTAFF SERVICES LP</v>
          </cell>
          <cell r="P45">
            <v>0</v>
          </cell>
        </row>
        <row r="46">
          <cell r="N46"/>
          <cell r="P46">
            <v>0</v>
          </cell>
        </row>
        <row r="47">
          <cell r="N47"/>
          <cell r="P47">
            <v>4</v>
          </cell>
        </row>
        <row r="48">
          <cell r="N48" t="str">
            <v>CANNON TECHNOLOGIES INC</v>
          </cell>
          <cell r="P48">
            <v>6500</v>
          </cell>
        </row>
        <row r="49">
          <cell r="N49" t="str">
            <v>CANNON TECHNOLOGIES INC</v>
          </cell>
          <cell r="P49">
            <v>1700</v>
          </cell>
        </row>
        <row r="50">
          <cell r="N50" t="str">
            <v>CANNON TECHNOLOGIES INC</v>
          </cell>
          <cell r="P50">
            <v>-1447.5</v>
          </cell>
        </row>
        <row r="51">
          <cell r="N51" t="str">
            <v>ENERTOUCH INC</v>
          </cell>
          <cell r="P51">
            <v>10678</v>
          </cell>
        </row>
        <row r="52">
          <cell r="N52" t="str">
            <v>CANNON TECHNOLOGIES INC</v>
          </cell>
          <cell r="P52">
            <v>1447.5</v>
          </cell>
        </row>
        <row r="53">
          <cell r="N53" t="str">
            <v>ENERTOUCH INC</v>
          </cell>
          <cell r="P53">
            <v>10272</v>
          </cell>
        </row>
        <row r="54">
          <cell r="N54" t="str">
            <v>ENERTOUCH INC</v>
          </cell>
          <cell r="P54">
            <v>27698.54</v>
          </cell>
        </row>
        <row r="55">
          <cell r="N55" t="str">
            <v>ENERTOUCH INC</v>
          </cell>
          <cell r="P55">
            <v>16523.47</v>
          </cell>
        </row>
        <row r="56">
          <cell r="N56" t="str">
            <v>CORESTAFF SERVICES LP</v>
          </cell>
          <cell r="P56">
            <v>0</v>
          </cell>
        </row>
        <row r="57">
          <cell r="N57" t="str">
            <v>CORESTAFF SERVICES LP</v>
          </cell>
          <cell r="P57">
            <v>0</v>
          </cell>
        </row>
        <row r="58">
          <cell r="N58" t="str">
            <v>CORESTAFF SERVICES LP</v>
          </cell>
          <cell r="P58">
            <v>0</v>
          </cell>
        </row>
        <row r="59">
          <cell r="N59" t="str">
            <v>CORESTAFF SERVICES LP</v>
          </cell>
          <cell r="P59">
            <v>0</v>
          </cell>
        </row>
        <row r="60">
          <cell r="N60" t="str">
            <v>CORESTAFF SERVICES LP</v>
          </cell>
          <cell r="P60">
            <v>0</v>
          </cell>
        </row>
        <row r="61">
          <cell r="N61" t="str">
            <v>YATES ADVERTISING</v>
          </cell>
          <cell r="P61">
            <v>25500</v>
          </cell>
        </row>
        <row r="62">
          <cell r="N62" t="str">
            <v>YATES ADVERTISING</v>
          </cell>
          <cell r="P62">
            <v>14250</v>
          </cell>
        </row>
        <row r="63">
          <cell r="N63" t="str">
            <v>YATES ADVERTISING</v>
          </cell>
          <cell r="P63">
            <v>28436.41</v>
          </cell>
        </row>
        <row r="64">
          <cell r="N64" t="str">
            <v>YATES ADVERTISING</v>
          </cell>
          <cell r="P64">
            <v>38400</v>
          </cell>
        </row>
        <row r="65">
          <cell r="N65" t="str">
            <v>YATES ADVERTISING</v>
          </cell>
          <cell r="P65">
            <v>12826.5</v>
          </cell>
        </row>
        <row r="66">
          <cell r="N66" t="str">
            <v>YATES ADVERTISING</v>
          </cell>
          <cell r="P66">
            <v>813.75</v>
          </cell>
        </row>
        <row r="67">
          <cell r="N67" t="str">
            <v>YATES ADVERTISING</v>
          </cell>
          <cell r="P67">
            <v>33766.75</v>
          </cell>
        </row>
        <row r="68">
          <cell r="N68" t="str">
            <v>YATES ADVERTISING</v>
          </cell>
          <cell r="P68">
            <v>61289.79</v>
          </cell>
        </row>
        <row r="69">
          <cell r="N69" t="str">
            <v>YATES ADVERTISING</v>
          </cell>
          <cell r="P69">
            <v>7950</v>
          </cell>
        </row>
        <row r="70">
          <cell r="N70" t="str">
            <v>YATES ADVERTISING</v>
          </cell>
          <cell r="P70">
            <v>10481.25</v>
          </cell>
        </row>
        <row r="71">
          <cell r="N71" t="str">
            <v>HUGHES UTILITIES LTD</v>
          </cell>
          <cell r="P71">
            <v>1000</v>
          </cell>
        </row>
        <row r="72">
          <cell r="N72" t="str">
            <v>TRANSCONTINENTAL DIRECT USA IN</v>
          </cell>
          <cell r="P72">
            <v>169882.63</v>
          </cell>
        </row>
        <row r="73">
          <cell r="N73" t="str">
            <v>CORESTAFF SERVICES LP</v>
          </cell>
          <cell r="P73">
            <v>0</v>
          </cell>
        </row>
        <row r="74">
          <cell r="N74" t="str">
            <v>CORESTAFF SERVICES LP</v>
          </cell>
          <cell r="P74">
            <v>0</v>
          </cell>
        </row>
        <row r="75">
          <cell r="N75" t="str">
            <v>CORESTAFF SERVICES LP</v>
          </cell>
          <cell r="P75">
            <v>0</v>
          </cell>
        </row>
        <row r="76">
          <cell r="N76" t="str">
            <v>CORESTAFF SERVICES LP</v>
          </cell>
          <cell r="P76">
            <v>0</v>
          </cell>
        </row>
        <row r="77">
          <cell r="N77" t="str">
            <v>CORESTAFF SERVICES LP</v>
          </cell>
          <cell r="P77">
            <v>0</v>
          </cell>
        </row>
        <row r="78">
          <cell r="N78" t="str">
            <v>CORESTAFF SERVICES LP</v>
          </cell>
          <cell r="P78">
            <v>0</v>
          </cell>
        </row>
        <row r="79">
          <cell r="N79"/>
          <cell r="P79">
            <v>0</v>
          </cell>
        </row>
        <row r="80">
          <cell r="N80" t="str">
            <v>TRANSCONTINENTAL DIRECT USA IN</v>
          </cell>
          <cell r="P80">
            <v>165430</v>
          </cell>
        </row>
        <row r="81">
          <cell r="N81" t="str">
            <v>US POSTMASTER</v>
          </cell>
          <cell r="P81">
            <v>0</v>
          </cell>
        </row>
        <row r="82">
          <cell r="N82"/>
          <cell r="P82">
            <v>0</v>
          </cell>
        </row>
        <row r="83">
          <cell r="N83"/>
          <cell r="P83">
            <v>0</v>
          </cell>
        </row>
        <row r="84">
          <cell r="N84"/>
          <cell r="P84">
            <v>8</v>
          </cell>
        </row>
        <row r="85">
          <cell r="N85"/>
          <cell r="P85">
            <v>0</v>
          </cell>
        </row>
        <row r="86">
          <cell r="N86"/>
          <cell r="P86">
            <v>0</v>
          </cell>
        </row>
        <row r="87">
          <cell r="N87"/>
          <cell r="P87">
            <v>0</v>
          </cell>
        </row>
        <row r="88">
          <cell r="N88"/>
          <cell r="P88">
            <v>0</v>
          </cell>
        </row>
        <row r="89">
          <cell r="N89"/>
          <cell r="P89">
            <v>1</v>
          </cell>
        </row>
        <row r="90">
          <cell r="N90"/>
          <cell r="P90">
            <v>1</v>
          </cell>
        </row>
        <row r="91">
          <cell r="N91"/>
          <cell r="P91">
            <v>1</v>
          </cell>
        </row>
        <row r="92">
          <cell r="N92"/>
          <cell r="P92">
            <v>1</v>
          </cell>
        </row>
        <row r="93">
          <cell r="N93"/>
          <cell r="P93">
            <v>1</v>
          </cell>
        </row>
        <row r="94">
          <cell r="N94"/>
          <cell r="P94">
            <v>1</v>
          </cell>
        </row>
        <row r="95">
          <cell r="N95"/>
          <cell r="P95">
            <v>1</v>
          </cell>
        </row>
        <row r="96">
          <cell r="N96"/>
          <cell r="P96">
            <v>1</v>
          </cell>
        </row>
        <row r="97">
          <cell r="N97"/>
          <cell r="P97">
            <v>2</v>
          </cell>
        </row>
        <row r="98">
          <cell r="N98"/>
          <cell r="P98">
            <v>1</v>
          </cell>
        </row>
        <row r="99">
          <cell r="N99"/>
          <cell r="P99">
            <v>1</v>
          </cell>
        </row>
        <row r="100">
          <cell r="N100"/>
          <cell r="P100">
            <v>1</v>
          </cell>
        </row>
        <row r="101">
          <cell r="N101"/>
          <cell r="P101">
            <v>1</v>
          </cell>
        </row>
        <row r="102">
          <cell r="N102"/>
          <cell r="P102">
            <v>2442.12</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S-OUTPUTS"/>
      <sheetName val="LOOKUP"/>
      <sheetName val="DATA"/>
      <sheetName val="ENROLLMENT"/>
    </sheetNames>
    <sheetDataSet>
      <sheetData sheetId="0" refreshError="1"/>
      <sheetData sheetId="1">
        <row r="2">
          <cell r="E2" t="str">
            <v>Typical Event Day</v>
          </cell>
        </row>
        <row r="3">
          <cell r="E3" t="str">
            <v>January Monthly Peak</v>
          </cell>
        </row>
        <row r="4">
          <cell r="E4" t="str">
            <v>February Monthly Peak</v>
          </cell>
        </row>
        <row r="5">
          <cell r="E5" t="str">
            <v>March Monthly Peak</v>
          </cell>
        </row>
        <row r="6">
          <cell r="E6" t="str">
            <v>April Monthly Peak</v>
          </cell>
        </row>
        <row r="7">
          <cell r="E7" t="str">
            <v>May Monthly Peak</v>
          </cell>
        </row>
        <row r="8">
          <cell r="E8" t="str">
            <v>June Monthly Peak</v>
          </cell>
        </row>
        <row r="9">
          <cell r="E9" t="str">
            <v>July Monthly Peak</v>
          </cell>
        </row>
        <row r="10">
          <cell r="E10" t="str">
            <v>August Monthly Peak</v>
          </cell>
        </row>
        <row r="11">
          <cell r="E11" t="str">
            <v>September Monthly Peak</v>
          </cell>
        </row>
        <row r="12">
          <cell r="E12" t="str">
            <v>October Monthly Peak</v>
          </cell>
        </row>
        <row r="13">
          <cell r="E13" t="str">
            <v>November Monthly Peak</v>
          </cell>
        </row>
        <row r="14">
          <cell r="E14" t="str">
            <v>December Monthly Peak</v>
          </cell>
        </row>
      </sheetData>
      <sheetData sheetId="2" refreshError="1"/>
      <sheetData sheetId="3"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3CD904F3-3D23-4B24-AC17-2F36151DB1F8}" name="BUReporting" displayName="BUReporting" ref="A1:H157" totalsRowShown="0" headerRowDxfId="9" dataDxfId="8">
  <autoFilter ref="A1:H157" xr:uid="{5F86BACF-8118-4026-BAE1-46A687E09A40}"/>
  <tableColumns count="8">
    <tableColumn id="5" xr3:uid="{F16FC42C-9734-4D04-972A-93B0B214BAA7}" name="Group" dataDxfId="7"/>
    <tableColumn id="1" xr3:uid="{4486039D-7D45-487D-837F-0E9E6909ED6A}" name="Program" dataDxfId="6"/>
    <tableColumn id="8" xr3:uid="{7C1C7853-7F74-459F-8356-17A012314260}" name="Desc" dataDxfId="5"/>
    <tableColumn id="2" xr3:uid="{7B19090B-D59B-4FB3-A33D-B4DD6B52CC54}" name="Type" dataDxfId="4"/>
    <tableColumn id="4" xr3:uid="{DDA25FFE-773D-44E8-8C46-E9297025BF13}" name="Period" dataDxfId="3"/>
    <tableColumn id="3" xr3:uid="{985231E6-3CF0-43D2-B801-753F59C1884A}" name="Month" dataDxfId="2"/>
    <tableColumn id="6" xr3:uid="{A99F8913-FB93-4814-8E01-DE4C2333965A}" name="Service Accounts" dataDxfId="1">
      <calculatedColumnFormula>IF(OR(BUReporting[[#This Row],[Period]]=1,OR(BUReporting[[#This Row],[Period]]=2,OR(BUReporting[[#This Row],[Period]]=2,OR(BUReporting[[#This Row],[Period]]=4,OR(BUReporting[[#This Row],[Period]]=5,BUReporting[[#This Row],[Period]]=6))))),VLOOKUP(BUReporting[[#This Row],[Program]],'Program MW '!$A$12:$S$23,2,FALSE),VLOOKUP(BUReporting[[#This Row],[Program]],'Program MW '!$A$35:$S$46,2,FALSE))</calculatedColumnFormula>
    </tableColumn>
    <tableColumn id="7" xr3:uid="{0E761944-9C96-4797-A35D-95A3A317468D}" name="Ex Ante Estimated MW" dataDxfId="0"/>
  </tableColumns>
  <tableStyleInfo name="TableStyleMedium16"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9.bin"/><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customProperty" Target="../customProperty10.bin"/><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customProperty" Target="../customProperty11.bin"/><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customProperty" Target="../customProperty12.bin"/><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customProperty" Target="../customProperty13.bin"/><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customProperty" Target="../customProperty7.bin"/><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customProperty" Target="../customProperty8.bin"/><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4B9AC6-32A5-43EC-87A5-082A733C26A0}">
  <dimension ref="A1:H157"/>
  <sheetViews>
    <sheetView topLeftCell="A131" zoomScaleNormal="100" workbookViewId="0">
      <selection activeCell="A2" sqref="A2:H157"/>
    </sheetView>
  </sheetViews>
  <sheetFormatPr defaultColWidth="9.1796875" defaultRowHeight="12.5"/>
  <cols>
    <col min="1" max="1" width="9.81640625" style="10" customWidth="1"/>
    <col min="2" max="2" width="28.54296875" style="10" customWidth="1"/>
    <col min="3" max="3" width="16.54296875" style="10" customWidth="1"/>
    <col min="4" max="4" width="17.453125" style="10" customWidth="1"/>
    <col min="5" max="5" width="15" style="10" customWidth="1"/>
    <col min="6" max="6" width="23.1796875" style="10" bestFit="1" customWidth="1"/>
    <col min="7" max="7" width="13.26953125" style="10" bestFit="1" customWidth="1"/>
    <col min="8" max="16384" width="9.1796875" style="10"/>
  </cols>
  <sheetData>
    <row r="1" spans="1:8" s="694" customFormat="1" ht="39.5" thickBot="1">
      <c r="A1" s="695" t="s">
        <v>0</v>
      </c>
      <c r="B1" s="695" t="s">
        <v>1</v>
      </c>
      <c r="C1" s="695" t="s">
        <v>2</v>
      </c>
      <c r="D1" s="695" t="s">
        <v>3</v>
      </c>
      <c r="E1" s="696" t="s">
        <v>4</v>
      </c>
      <c r="F1" s="697" t="s">
        <v>5</v>
      </c>
      <c r="G1" s="698" t="s">
        <v>6</v>
      </c>
      <c r="H1" s="699" t="s">
        <v>7</v>
      </c>
    </row>
    <row r="2" spans="1:8" ht="15.5" thickTop="1" thickBot="1">
      <c r="A2" s="704">
        <v>0</v>
      </c>
      <c r="B2" s="101" t="s">
        <v>8</v>
      </c>
      <c r="C2" s="705"/>
      <c r="D2" s="695" t="s">
        <v>9</v>
      </c>
      <c r="E2" s="700">
        <v>1</v>
      </c>
      <c r="F2" s="701" t="s">
        <v>10</v>
      </c>
      <c r="G2" s="691">
        <f>IF(OR(BUReporting[[#This Row],[Period]]=1,OR(BUReporting[[#This Row],[Period]]=2,OR(BUReporting[[#This Row],[Period]]=2,OR(BUReporting[[#This Row],[Period]]=4,OR(BUReporting[[#This Row],[Period]]=5,BUReporting[[#This Row],[Period]]=6))))),VLOOKUP(BUReporting[[#This Row],[Program]],'Program MW '!$A$9:$S$9,2,FALSE),VLOOKUP(BUReporting[[#This Row],[Program]],'Program MW '!$A$32:$S$32,2,FALSE))</f>
        <v>5</v>
      </c>
      <c r="H2" s="703">
        <f>IF(OR(BUReporting[[#This Row],[Period]]=1,OR(BUReporting[[#This Row],[Period]]=2,OR(BUReporting[[#This Row],[Period]]=3,OR(BUReporting[[#This Row],[Period]]=4,OR(BUReporting[[#This Row],[Period]]=5,BUReporting[[#This Row],[Period]]=6))))),VLOOKUP(BUReporting[[#This Row],[Program]],'Program MW '!$A$9:$S$9,3,FALSE),VLOOKUP(BUReporting[[#This Row],[Program]],'Program MW '!$A$32:$S$32,3,FALSE))</f>
        <v>8.6526428699493396E-2</v>
      </c>
    </row>
    <row r="3" spans="1:8" ht="15.5" thickTop="1" thickBot="1">
      <c r="A3" s="692">
        <v>1</v>
      </c>
      <c r="B3" s="689" t="s">
        <v>11</v>
      </c>
      <c r="C3" s="705"/>
      <c r="D3" s="690" t="s">
        <v>9</v>
      </c>
      <c r="E3" s="700">
        <v>1</v>
      </c>
      <c r="F3" s="701" t="s">
        <v>10</v>
      </c>
      <c r="G3" s="691">
        <f>IF(OR(BUReporting[[#This Row],[Period]]=1,OR(BUReporting[[#This Row],[Period]]=2,OR(BUReporting[[#This Row],[Period]]=2,OR(BUReporting[[#This Row],[Period]]=4,OR(BUReporting[[#This Row],[Period]]=5,BUReporting[[#This Row],[Period]]=6))))),VLOOKUP(BUReporting[[#This Row],[Program]],'Program MW '!$A$12:$S$23,2,FALSE),VLOOKUP(BUReporting[[#This Row],[Program]],'Program MW '!$A$35:$S$46,2,FALSE))</f>
        <v>10620</v>
      </c>
      <c r="H3" s="703">
        <f>IF(OR(BUReporting[[#This Row],[Period]]=1,OR(BUReporting[[#This Row],[Period]]=2,OR(BUReporting[[#This Row],[Period]]=3,OR(BUReporting[[#This Row],[Period]]=4,OR(BUReporting[[#This Row],[Period]]=5,BUReporting[[#This Row],[Period]]=6))))),VLOOKUP(BUReporting[[#This Row],[Program]],'Program MW '!$A$12:$S$23,3,FALSE),VLOOKUP(BUReporting[[#This Row],[Program]],'Program MW '!$A$35:$S$46,3,FALSE))</f>
        <v>7.6900502713322636</v>
      </c>
    </row>
    <row r="4" spans="1:8" ht="15.5" thickTop="1" thickBot="1">
      <c r="A4" s="692">
        <v>2</v>
      </c>
      <c r="B4" s="689" t="s">
        <v>12</v>
      </c>
      <c r="C4" s="705" t="s">
        <v>13</v>
      </c>
      <c r="D4" s="690" t="s">
        <v>9</v>
      </c>
      <c r="E4" s="700">
        <v>1</v>
      </c>
      <c r="F4" s="701" t="s">
        <v>10</v>
      </c>
      <c r="G4" s="691">
        <f>IF(OR(BUReporting[[#This Row],[Period]]=1,OR(BUReporting[[#This Row],[Period]]=2,OR(BUReporting[[#This Row],[Period]]=2,OR(BUReporting[[#This Row],[Period]]=4,OR(BUReporting[[#This Row],[Period]]=5,BUReporting[[#This Row],[Period]]=6))))),VLOOKUP(BUReporting[[#This Row],[Program]],'Program MW '!$A$12:$S$23,2,FALSE),VLOOKUP(BUReporting[[#This Row],[Program]],'Program MW '!$A$35:$S$46,2,FALSE))</f>
        <v>0</v>
      </c>
      <c r="H4" s="703">
        <f>IF(OR(BUReporting[[#This Row],[Period]]=1,OR(BUReporting[[#This Row],[Period]]=2,OR(BUReporting[[#This Row],[Period]]=3,OR(BUReporting[[#This Row],[Period]]=4,OR(BUReporting[[#This Row],[Period]]=5,BUReporting[[#This Row],[Period]]=6))))),VLOOKUP(BUReporting[[#This Row],[Program]],'Program MW '!$A$12:$S$23,3,FALSE),VLOOKUP(BUReporting[[#This Row],[Program]],'Program MW '!$A$35:$S$46,3,FALSE))</f>
        <v>0</v>
      </c>
    </row>
    <row r="5" spans="1:8" ht="15.5" thickTop="1" thickBot="1">
      <c r="A5" s="692">
        <v>3</v>
      </c>
      <c r="B5" s="689" t="s">
        <v>14</v>
      </c>
      <c r="C5" s="705"/>
      <c r="D5" s="690" t="s">
        <v>9</v>
      </c>
      <c r="E5" s="700">
        <v>1</v>
      </c>
      <c r="F5" s="701" t="s">
        <v>10</v>
      </c>
      <c r="G5" s="691">
        <f>IF(OR(BUReporting[[#This Row],[Period]]=1,OR(BUReporting[[#This Row],[Period]]=2,OR(BUReporting[[#This Row],[Period]]=2,OR(BUReporting[[#This Row],[Period]]=4,OR(BUReporting[[#This Row],[Period]]=5,BUReporting[[#This Row],[Period]]=6))))),VLOOKUP(BUReporting[[#This Row],[Program]],'Program MW '!$A$12:$S$23,2,FALSE),VLOOKUP(BUReporting[[#This Row],[Program]],'Program MW '!$A$35:$S$46,2,FALSE))</f>
        <v>0</v>
      </c>
      <c r="H5" s="703">
        <f>IF(OR(BUReporting[[#This Row],[Period]]=1,OR(BUReporting[[#This Row],[Period]]=2,OR(BUReporting[[#This Row],[Period]]=3,OR(BUReporting[[#This Row],[Period]]=4,OR(BUReporting[[#This Row],[Period]]=5,BUReporting[[#This Row],[Period]]=6))))),VLOOKUP(BUReporting[[#This Row],[Program]],'Program MW '!$A$12:$S$23,3,FALSE),VLOOKUP(BUReporting[[#This Row],[Program]],'Program MW '!$A$35:$S$46,3,FALSE))</f>
        <v>0</v>
      </c>
    </row>
    <row r="6" spans="1:8" ht="15.5" thickTop="1" thickBot="1">
      <c r="A6" s="692">
        <v>4</v>
      </c>
      <c r="B6" s="689" t="s">
        <v>15</v>
      </c>
      <c r="C6" s="705" t="s">
        <v>16</v>
      </c>
      <c r="D6" s="690" t="s">
        <v>9</v>
      </c>
      <c r="E6" s="700">
        <v>1</v>
      </c>
      <c r="F6" s="701" t="s">
        <v>10</v>
      </c>
      <c r="G6" s="691">
        <f>IF(OR(BUReporting[[#This Row],[Period]]=1,OR(BUReporting[[#This Row],[Period]]=2,OR(BUReporting[[#This Row],[Period]]=2,OR(BUReporting[[#This Row],[Period]]=4,OR(BUReporting[[#This Row],[Period]]=5,BUReporting[[#This Row],[Period]]=6))))),VLOOKUP(BUReporting[[#This Row],[Program]],'Program MW '!$A$12:$S$23,2,FALSE),VLOOKUP(BUReporting[[#This Row],[Program]],'Program MW '!$A$35:$S$46,2,FALSE))</f>
        <v>0</v>
      </c>
      <c r="H6" s="703">
        <f>IF(OR(BUReporting[[#This Row],[Period]]=1,OR(BUReporting[[#This Row],[Period]]=2,OR(BUReporting[[#This Row],[Period]]=3,OR(BUReporting[[#This Row],[Period]]=4,OR(BUReporting[[#This Row],[Period]]=5,BUReporting[[#This Row],[Period]]=6))))),VLOOKUP(BUReporting[[#This Row],[Program]],'Program MW '!$A$12:$S$23,3,FALSE),VLOOKUP(BUReporting[[#This Row],[Program]],'Program MW '!$A$35:$S$46,3,FALSE))</f>
        <v>0</v>
      </c>
    </row>
    <row r="7" spans="1:8" ht="15.5" thickTop="1" thickBot="1">
      <c r="A7" s="692">
        <v>5</v>
      </c>
      <c r="B7" s="690" t="s">
        <v>17</v>
      </c>
      <c r="C7" s="705" t="s">
        <v>18</v>
      </c>
      <c r="D7" s="690" t="s">
        <v>19</v>
      </c>
      <c r="E7" s="700">
        <v>1</v>
      </c>
      <c r="F7" s="701" t="s">
        <v>10</v>
      </c>
      <c r="G7" s="691">
        <f>IF(OR(BUReporting[[#This Row],[Period]]=1,OR(BUReporting[[#This Row],[Period]]=2,OR(BUReporting[[#This Row],[Period]]=2,OR(BUReporting[[#This Row],[Period]]=4,OR(BUReporting[[#This Row],[Period]]=5,BUReporting[[#This Row],[Period]]=6))))),VLOOKUP(BUReporting[[#This Row],[Program]],'Program MW '!$A$12:$S$23,2,FALSE),VLOOKUP(BUReporting[[#This Row],[Program]],'Program MW '!$A$35:$S$46,2,FALSE))</f>
        <v>16888</v>
      </c>
      <c r="H7" s="703">
        <f>IF(OR(BUReporting[[#This Row],[Period]]=1,OR(BUReporting[[#This Row],[Period]]=2,OR(BUReporting[[#This Row],[Period]]=3,OR(BUReporting[[#This Row],[Period]]=4,OR(BUReporting[[#This Row],[Period]]=5,BUReporting[[#This Row],[Period]]=6))))),VLOOKUP(BUReporting[[#This Row],[Program]],'Program MW '!$A$12:$S$23,3,FALSE),VLOOKUP(BUReporting[[#This Row],[Program]],'Program MW '!$A$35:$S$46,3,FALSE))</f>
        <v>0</v>
      </c>
    </row>
    <row r="8" spans="1:8" ht="15.5" thickTop="1" thickBot="1">
      <c r="A8" s="692">
        <v>6</v>
      </c>
      <c r="B8" s="690" t="s">
        <v>20</v>
      </c>
      <c r="C8" s="705" t="s">
        <v>18</v>
      </c>
      <c r="D8" s="690" t="s">
        <v>9</v>
      </c>
      <c r="E8" s="700">
        <v>1</v>
      </c>
      <c r="F8" s="701" t="s">
        <v>10</v>
      </c>
      <c r="G8" s="691">
        <f>IF(OR(BUReporting[[#This Row],[Period]]=1,OR(BUReporting[[#This Row],[Period]]=2,OR(BUReporting[[#This Row],[Period]]=2,OR(BUReporting[[#This Row],[Period]]=4,OR(BUReporting[[#This Row],[Period]]=5,BUReporting[[#This Row],[Period]]=6))))),VLOOKUP(BUReporting[[#This Row],[Program]],'Program MW '!$A$12:$S$23,2,FALSE),VLOOKUP(BUReporting[[#This Row],[Program]],'Program MW '!$A$35:$S$46,2,FALSE))</f>
        <v>1561</v>
      </c>
      <c r="H8" s="703">
        <f>IF(OR(BUReporting[[#This Row],[Period]]=1,OR(BUReporting[[#This Row],[Period]]=2,OR(BUReporting[[#This Row],[Period]]=3,OR(BUReporting[[#This Row],[Period]]=4,OR(BUReporting[[#This Row],[Period]]=5,BUReporting[[#This Row],[Period]]=6))))),VLOOKUP(BUReporting[[#This Row],[Program]],'Program MW '!$A$12:$S$23,3,FALSE),VLOOKUP(BUReporting[[#This Row],[Program]],'Program MW '!$A$35:$S$46,3,FALSE))</f>
        <v>0</v>
      </c>
    </row>
    <row r="9" spans="1:8" ht="15.5" thickTop="1" thickBot="1">
      <c r="A9" s="692">
        <v>7</v>
      </c>
      <c r="B9" s="690" t="s">
        <v>21</v>
      </c>
      <c r="C9" s="705" t="s">
        <v>22</v>
      </c>
      <c r="D9" s="690" t="s">
        <v>19</v>
      </c>
      <c r="E9" s="700">
        <v>1</v>
      </c>
      <c r="F9" s="701" t="s">
        <v>10</v>
      </c>
      <c r="G9" s="691">
        <f>IF(OR(BUReporting[[#This Row],[Period]]=1,OR(BUReporting[[#This Row],[Period]]=2,OR(BUReporting[[#This Row],[Period]]=2,OR(BUReporting[[#This Row],[Period]]=4,OR(BUReporting[[#This Row],[Period]]=5,BUReporting[[#This Row],[Period]]=6))))),VLOOKUP(BUReporting[[#This Row],[Program]],'Program MW '!$A$12:$S$23,2,FALSE),VLOOKUP(BUReporting[[#This Row],[Program]],'Program MW '!$A$35:$S$46,2,FALSE))</f>
        <v>10129</v>
      </c>
      <c r="H9" s="703">
        <f>IF(OR(BUReporting[[#This Row],[Period]]=1,OR(BUReporting[[#This Row],[Period]]=2,OR(BUReporting[[#This Row],[Period]]=3,OR(BUReporting[[#This Row],[Period]]=4,OR(BUReporting[[#This Row],[Period]]=5,BUReporting[[#This Row],[Period]]=6))))),VLOOKUP(BUReporting[[#This Row],[Program]],'Program MW '!$A$12:$S$23,3,FALSE),VLOOKUP(BUReporting[[#This Row],[Program]],'Program MW '!$A$35:$S$46,3,FALSE))</f>
        <v>0</v>
      </c>
    </row>
    <row r="10" spans="1:8" ht="15.5" thickTop="1" thickBot="1">
      <c r="A10" s="692">
        <v>8</v>
      </c>
      <c r="B10" s="690" t="s">
        <v>23</v>
      </c>
      <c r="C10" s="705" t="s">
        <v>22</v>
      </c>
      <c r="D10" s="690" t="s">
        <v>9</v>
      </c>
      <c r="E10" s="700">
        <v>1</v>
      </c>
      <c r="F10" s="701" t="s">
        <v>10</v>
      </c>
      <c r="G10" s="691">
        <f>IF(OR(BUReporting[[#This Row],[Period]]=1,OR(BUReporting[[#This Row],[Period]]=2,OR(BUReporting[[#This Row],[Period]]=2,OR(BUReporting[[#This Row],[Period]]=4,OR(BUReporting[[#This Row],[Period]]=5,BUReporting[[#This Row],[Period]]=6))))),VLOOKUP(BUReporting[[#This Row],[Program]],'Program MW '!$A$12:$S$23,2,FALSE),VLOOKUP(BUReporting[[#This Row],[Program]],'Program MW '!$A$35:$S$46,2,FALSE))</f>
        <v>3556</v>
      </c>
      <c r="H10" s="703">
        <f>IF(OR(BUReporting[[#This Row],[Period]]=1,OR(BUReporting[[#This Row],[Period]]=2,OR(BUReporting[[#This Row],[Period]]=3,OR(BUReporting[[#This Row],[Period]]=4,OR(BUReporting[[#This Row],[Period]]=5,BUReporting[[#This Row],[Period]]=6))))),VLOOKUP(BUReporting[[#This Row],[Program]],'Program MW '!$A$12:$S$23,3,FALSE),VLOOKUP(BUReporting[[#This Row],[Program]],'Program MW '!$A$35:$S$46,3,FALSE))</f>
        <v>0</v>
      </c>
    </row>
    <row r="11" spans="1:8" ht="15.5" thickTop="1" thickBot="1">
      <c r="A11" s="692">
        <v>9</v>
      </c>
      <c r="B11" s="690" t="s">
        <v>24</v>
      </c>
      <c r="C11" s="705"/>
      <c r="D11" s="690" t="s">
        <v>9</v>
      </c>
      <c r="E11" s="700">
        <v>1</v>
      </c>
      <c r="F11" s="701" t="s">
        <v>10</v>
      </c>
      <c r="G11" s="691">
        <f>IF(OR(BUReporting[[#This Row],[Period]]=1,OR(BUReporting[[#This Row],[Period]]=2,OR(BUReporting[[#This Row],[Period]]=2,OR(BUReporting[[#This Row],[Period]]=4,OR(BUReporting[[#This Row],[Period]]=5,BUReporting[[#This Row],[Period]]=6))))),VLOOKUP(BUReporting[[#This Row],[Program]],'Program MW '!$A$12:$S$23,2,FALSE),VLOOKUP(BUReporting[[#This Row],[Program]],'Program MW '!$A$35:$S$46,2,FALSE))</f>
        <v>0</v>
      </c>
      <c r="H11" s="703">
        <f>IF(OR(BUReporting[[#This Row],[Period]]=1,OR(BUReporting[[#This Row],[Period]]=2,OR(BUReporting[[#This Row],[Period]]=3,OR(BUReporting[[#This Row],[Period]]=4,OR(BUReporting[[#This Row],[Period]]=5,BUReporting[[#This Row],[Period]]=6))))),VLOOKUP(BUReporting[[#This Row],[Program]],'Program MW '!$A$12:$S$23,3,FALSE),VLOOKUP(BUReporting[[#This Row],[Program]],'Program MW '!$A$35:$S$46,3,FALSE))</f>
        <v>0</v>
      </c>
    </row>
    <row r="12" spans="1:8" ht="15.5" thickTop="1" thickBot="1">
      <c r="A12" s="692">
        <v>10</v>
      </c>
      <c r="B12" s="690" t="s">
        <v>25</v>
      </c>
      <c r="C12" s="705"/>
      <c r="D12" s="690" t="s">
        <v>9</v>
      </c>
      <c r="E12" s="700">
        <v>1</v>
      </c>
      <c r="F12" s="701" t="s">
        <v>10</v>
      </c>
      <c r="G12" s="691">
        <f>IF(OR(BUReporting[[#This Row],[Period]]=1,OR(BUReporting[[#This Row],[Period]]=2,OR(BUReporting[[#This Row],[Period]]=2,OR(BUReporting[[#This Row],[Period]]=4,OR(BUReporting[[#This Row],[Period]]=5,BUReporting[[#This Row],[Period]]=6))))),VLOOKUP(BUReporting[[#This Row],[Program]],'Program MW '!$A$12:$S$23,2,FALSE),VLOOKUP(BUReporting[[#This Row],[Program]],'Program MW '!$A$35:$S$46,2,FALSE))</f>
        <v>0</v>
      </c>
      <c r="H12" s="703">
        <f>IF(OR(BUReporting[[#This Row],[Period]]=1,OR(BUReporting[[#This Row],[Period]]=2,OR(BUReporting[[#This Row],[Period]]=3,OR(BUReporting[[#This Row],[Period]]=4,OR(BUReporting[[#This Row],[Period]]=5,BUReporting[[#This Row],[Period]]=6))))),VLOOKUP(BUReporting[[#This Row],[Program]],'Program MW '!$A$12:$S$23,3,FALSE),VLOOKUP(BUReporting[[#This Row],[Program]],'Program MW '!$A$35:$S$46,3,FALSE))</f>
        <v>0</v>
      </c>
    </row>
    <row r="13" spans="1:8" ht="18" customHeight="1" thickTop="1" thickBot="1">
      <c r="A13" s="692">
        <v>11</v>
      </c>
      <c r="B13" s="690" t="s">
        <v>26</v>
      </c>
      <c r="C13" s="705"/>
      <c r="D13" s="690" t="s">
        <v>9</v>
      </c>
      <c r="E13" s="700">
        <v>1</v>
      </c>
      <c r="F13" s="701" t="s">
        <v>10</v>
      </c>
      <c r="G13" s="691">
        <f>IF(OR(BUReporting[[#This Row],[Period]]=1,OR(BUReporting[[#This Row],[Period]]=2,OR(BUReporting[[#This Row],[Period]]=2,OR(BUReporting[[#This Row],[Period]]=4,OR(BUReporting[[#This Row],[Period]]=5,BUReporting[[#This Row],[Period]]=6))))),VLOOKUP(BUReporting[[#This Row],[Program]],'Program MW '!$A$12:$S$23,2,FALSE),VLOOKUP(BUReporting[[#This Row],[Program]],'Program MW '!$A$35:$S$46,2,FALSE))</f>
        <v>113095</v>
      </c>
      <c r="H13" s="703">
        <f>IF(OR(BUReporting[[#This Row],[Period]]=1,OR(BUReporting[[#This Row],[Period]]=2,OR(BUReporting[[#This Row],[Period]]=3,OR(BUReporting[[#This Row],[Period]]=4,OR(BUReporting[[#This Row],[Period]]=5,BUReporting[[#This Row],[Period]]=6))))),VLOOKUP(BUReporting[[#This Row],[Program]],'Program MW '!$A$12:$S$23,3,FALSE),VLOOKUP(BUReporting[[#This Row],[Program]],'Program MW '!$A$35:$S$46,3,FALSE))</f>
        <v>0.29095085273255605</v>
      </c>
    </row>
    <row r="14" spans="1:8" ht="13.5" thickTop="1" thickBot="1">
      <c r="A14" s="692">
        <v>12</v>
      </c>
      <c r="B14" s="689" t="s">
        <v>27</v>
      </c>
      <c r="C14" s="689"/>
      <c r="D14" s="690" t="s">
        <v>19</v>
      </c>
      <c r="E14" s="700">
        <v>1</v>
      </c>
      <c r="F14" s="701" t="s">
        <v>10</v>
      </c>
      <c r="G14" s="691">
        <f>IF(OR(BUReporting[[#This Row],[Period]]=1,OR(BUReporting[[#This Row],[Period]]=2,OR(BUReporting[[#This Row],[Period]]=2,OR(BUReporting[[#This Row],[Period]]=4,OR(BUReporting[[#This Row],[Period]]=5,BUReporting[[#This Row],[Period]]=6))))),VLOOKUP(BUReporting[[#This Row],[Program]],'Program MW '!$A$12:$S$23,2,FALSE),VLOOKUP(BUReporting[[#This Row],[Program]],'Program MW '!$A$35:$S$46,2,FALSE))</f>
        <v>9351</v>
      </c>
      <c r="H14" s="703">
        <f>IF(OR(BUReporting[[#This Row],[Period]]=1,OR(BUReporting[[#This Row],[Period]]=2,OR(BUReporting[[#This Row],[Period]]=3,OR(BUReporting[[#This Row],[Period]]=4,OR(BUReporting[[#This Row],[Period]]=5,BUReporting[[#This Row],[Period]]=6))))),VLOOKUP(BUReporting[[#This Row],[Program]],'Program MW '!$A$12:$S$23,3,FALSE),VLOOKUP(BUReporting[[#This Row],[Program]],'Program MW '!$A$35:$S$46,3,FALSE))</f>
        <v>0.48369170230409364</v>
      </c>
    </row>
    <row r="15" spans="1:8" ht="15.5" thickTop="1" thickBot="1">
      <c r="A15" s="704">
        <v>0</v>
      </c>
      <c r="B15" s="101" t="s">
        <v>8</v>
      </c>
      <c r="C15" s="705"/>
      <c r="D15" s="695" t="s">
        <v>9</v>
      </c>
      <c r="E15" s="700">
        <v>2</v>
      </c>
      <c r="F15" s="701" t="s">
        <v>28</v>
      </c>
      <c r="G15" s="691">
        <f>IF(OR(BUReporting[[#This Row],[Period]]=1,OR(BUReporting[[#This Row],[Period]]=2,OR(BUReporting[[#This Row],[Period]]=2,OR(BUReporting[[#This Row],[Period]]=4,OR(BUReporting[[#This Row],[Period]]=5,BUReporting[[#This Row],[Period]]=6))))),VLOOKUP(BUReporting[[#This Row],[Program]],'Program MW '!$A$9:$S$9,5,FALSE),VLOOKUP(BUReporting[[#This Row],[Program]],'Program MW '!$A$32:$S$32,5,FALSE))</f>
        <v>5</v>
      </c>
      <c r="H15" s="703">
        <f>IF(OR(BUReporting[[#This Row],[Period]]=1,OR(BUReporting[[#This Row],[Period]]=2,OR(BUReporting[[#This Row],[Period]]=3,OR(BUReporting[[#This Row],[Period]]=4,OR(BUReporting[[#This Row],[Period]]=5,BUReporting[[#This Row],[Period]]=6))))),VLOOKUP(BUReporting[[#This Row],[Program]],'Program MW '!$A$9:$S$9,6,FALSE),VLOOKUP(BUReporting[[#This Row],[Program]],'Program MW '!$A$32:$S$32,6,FALSE))</f>
        <v>0.18589048194885255</v>
      </c>
    </row>
    <row r="16" spans="1:8" ht="15.5" thickTop="1" thickBot="1">
      <c r="A16" s="692">
        <v>1</v>
      </c>
      <c r="B16" s="690" t="s">
        <v>11</v>
      </c>
      <c r="C16" s="705"/>
      <c r="D16" s="690" t="s">
        <v>9</v>
      </c>
      <c r="E16" s="693">
        <v>2</v>
      </c>
      <c r="F16" s="702" t="s">
        <v>28</v>
      </c>
      <c r="G16" s="691">
        <f>IF(OR(BUReporting[[#This Row],[Period]]=1,OR(BUReporting[[#This Row],[Period]]=2,OR(BUReporting[[#This Row],[Period]]=2,OR(BUReporting[[#This Row],[Period]]=4,OR(BUReporting[[#This Row],[Period]]=5,BUReporting[[#This Row],[Period]]=6))))),VLOOKUP(BUReporting[[#This Row],[Program]],'Program MW '!$A$12:$S$23,5,FALSE),VLOOKUP(BUReporting[[#This Row],[Program]],'Program MW '!$A$35:$S$46,5,FALSE))</f>
        <v>14755</v>
      </c>
      <c r="H16" s="703">
        <f>IF(OR(BUReporting[[#This Row],[Period]]=1,OR(BUReporting[[#This Row],[Period]]=2,OR(BUReporting[[#This Row],[Period]]=3,OR(BUReporting[[#This Row],[Period]]=4,OR(BUReporting[[#This Row],[Period]]=5,BUReporting[[#This Row],[Period]]=6))))),VLOOKUP(BUReporting[[#This Row],[Program]],'Program MW '!$A$12:$S$23,6,FALSE),VLOOKUP(BUReporting[[#This Row],[Program]],'Program MW '!$A$35:$S$46,6,FALSE))</f>
        <v>10.836173243835569</v>
      </c>
    </row>
    <row r="17" spans="1:8" ht="15.5" thickTop="1" thickBot="1">
      <c r="A17" s="692">
        <v>2</v>
      </c>
      <c r="B17" s="690" t="s">
        <v>12</v>
      </c>
      <c r="C17" s="705" t="s">
        <v>13</v>
      </c>
      <c r="D17" s="690" t="s">
        <v>9</v>
      </c>
      <c r="E17" s="693">
        <v>2</v>
      </c>
      <c r="F17" s="702" t="s">
        <v>28</v>
      </c>
      <c r="G17" s="691">
        <f>IF(OR(BUReporting[[#This Row],[Period]]=1,OR(BUReporting[[#This Row],[Period]]=2,OR(BUReporting[[#This Row],[Period]]=2,OR(BUReporting[[#This Row],[Period]]=4,OR(BUReporting[[#This Row],[Period]]=5,BUReporting[[#This Row],[Period]]=6))))),VLOOKUP(BUReporting[[#This Row],[Program]],'Program MW '!$A$12:$S$23,5,FALSE),VLOOKUP(BUReporting[[#This Row],[Program]],'Program MW '!$A$35:$S$46,5,FALSE))</f>
        <v>0</v>
      </c>
      <c r="H17" s="703">
        <f>IF(OR(BUReporting[[#This Row],[Period]]=1,OR(BUReporting[[#This Row],[Period]]=2,OR(BUReporting[[#This Row],[Period]]=3,OR(BUReporting[[#This Row],[Period]]=4,OR(BUReporting[[#This Row],[Period]]=5,BUReporting[[#This Row],[Period]]=6))))),VLOOKUP(BUReporting[[#This Row],[Program]],'Program MW '!$A$12:$S$23,6,FALSE),VLOOKUP(BUReporting[[#This Row],[Program]],'Program MW '!$A$35:$S$46,6,FALSE))</f>
        <v>0</v>
      </c>
    </row>
    <row r="18" spans="1:8" ht="15.5" thickTop="1" thickBot="1">
      <c r="A18" s="692">
        <v>3</v>
      </c>
      <c r="B18" s="690" t="s">
        <v>14</v>
      </c>
      <c r="C18" s="705"/>
      <c r="D18" s="690" t="s">
        <v>9</v>
      </c>
      <c r="E18" s="693">
        <v>2</v>
      </c>
      <c r="F18" s="702" t="s">
        <v>28</v>
      </c>
      <c r="G18" s="691">
        <f>IF(OR(BUReporting[[#This Row],[Period]]=1,OR(BUReporting[[#This Row],[Period]]=2,OR(BUReporting[[#This Row],[Period]]=2,OR(BUReporting[[#This Row],[Period]]=4,OR(BUReporting[[#This Row],[Period]]=5,BUReporting[[#This Row],[Period]]=6))))),VLOOKUP(BUReporting[[#This Row],[Program]],'Program MW '!$A$12:$S$23,5,FALSE),VLOOKUP(BUReporting[[#This Row],[Program]],'Program MW '!$A$35:$S$46,5,FALSE))</f>
        <v>0</v>
      </c>
      <c r="H18" s="703">
        <f>IF(OR(BUReporting[[#This Row],[Period]]=1,OR(BUReporting[[#This Row],[Period]]=2,OR(BUReporting[[#This Row],[Period]]=3,OR(BUReporting[[#This Row],[Period]]=4,OR(BUReporting[[#This Row],[Period]]=5,BUReporting[[#This Row],[Period]]=6))))),VLOOKUP(BUReporting[[#This Row],[Program]],'Program MW '!$A$12:$S$23,6,FALSE),VLOOKUP(BUReporting[[#This Row],[Program]],'Program MW '!$A$35:$S$46,6,FALSE))</f>
        <v>0</v>
      </c>
    </row>
    <row r="19" spans="1:8" ht="15.5" thickTop="1" thickBot="1">
      <c r="A19" s="692">
        <v>4</v>
      </c>
      <c r="B19" s="690" t="s">
        <v>15</v>
      </c>
      <c r="C19" s="705" t="s">
        <v>16</v>
      </c>
      <c r="D19" s="690" t="s">
        <v>9</v>
      </c>
      <c r="E19" s="693">
        <v>2</v>
      </c>
      <c r="F19" s="702" t="s">
        <v>28</v>
      </c>
      <c r="G19" s="691">
        <f>IF(OR(BUReporting[[#This Row],[Period]]=1,OR(BUReporting[[#This Row],[Period]]=2,OR(BUReporting[[#This Row],[Period]]=2,OR(BUReporting[[#This Row],[Period]]=4,OR(BUReporting[[#This Row],[Period]]=5,BUReporting[[#This Row],[Period]]=6))))),VLOOKUP(BUReporting[[#This Row],[Program]],'Program MW '!$A$12:$S$23,5,FALSE),VLOOKUP(BUReporting[[#This Row],[Program]],'Program MW '!$A$35:$S$46,5,FALSE))</f>
        <v>0</v>
      </c>
      <c r="H19" s="703">
        <f>IF(OR(BUReporting[[#This Row],[Period]]=1,OR(BUReporting[[#This Row],[Period]]=2,OR(BUReporting[[#This Row],[Period]]=3,OR(BUReporting[[#This Row],[Period]]=4,OR(BUReporting[[#This Row],[Period]]=5,BUReporting[[#This Row],[Period]]=6))))),VLOOKUP(BUReporting[[#This Row],[Program]],'Program MW '!$A$12:$S$23,6,FALSE),VLOOKUP(BUReporting[[#This Row],[Program]],'Program MW '!$A$35:$S$46,6,FALSE))</f>
        <v>0</v>
      </c>
    </row>
    <row r="20" spans="1:8" ht="15.5" thickTop="1" thickBot="1">
      <c r="A20" s="692">
        <v>5</v>
      </c>
      <c r="B20" s="690" t="s">
        <v>17</v>
      </c>
      <c r="C20" s="705" t="s">
        <v>18</v>
      </c>
      <c r="D20" s="690" t="s">
        <v>19</v>
      </c>
      <c r="E20" s="693">
        <v>2</v>
      </c>
      <c r="F20" s="702" t="s">
        <v>28</v>
      </c>
      <c r="G20" s="691">
        <f>IF(OR(BUReporting[[#This Row],[Period]]=1,OR(BUReporting[[#This Row],[Period]]=2,OR(BUReporting[[#This Row],[Period]]=2,OR(BUReporting[[#This Row],[Period]]=4,OR(BUReporting[[#This Row],[Period]]=5,BUReporting[[#This Row],[Period]]=6))))),VLOOKUP(BUReporting[[#This Row],[Program]],'Program MW '!$A$12:$S$23,5,FALSE),VLOOKUP(BUReporting[[#This Row],[Program]],'Program MW '!$A$35:$S$46,5,FALSE))</f>
        <v>17063</v>
      </c>
      <c r="H20" s="703">
        <f>IF(OR(BUReporting[[#This Row],[Period]]=1,OR(BUReporting[[#This Row],[Period]]=2,OR(BUReporting[[#This Row],[Period]]=3,OR(BUReporting[[#This Row],[Period]]=4,OR(BUReporting[[#This Row],[Period]]=5,BUReporting[[#This Row],[Period]]=6))))),VLOOKUP(BUReporting[[#This Row],[Program]],'Program MW '!$A$12:$S$23,6,FALSE),VLOOKUP(BUReporting[[#This Row],[Program]],'Program MW '!$A$35:$S$46,6,FALSE))</f>
        <v>0</v>
      </c>
    </row>
    <row r="21" spans="1:8" ht="15.5" thickTop="1" thickBot="1">
      <c r="A21" s="692">
        <v>6</v>
      </c>
      <c r="B21" s="690" t="s">
        <v>20</v>
      </c>
      <c r="C21" s="705" t="s">
        <v>18</v>
      </c>
      <c r="D21" s="690" t="s">
        <v>9</v>
      </c>
      <c r="E21" s="693">
        <v>2</v>
      </c>
      <c r="F21" s="702" t="s">
        <v>28</v>
      </c>
      <c r="G21" s="691">
        <f>IF(OR(BUReporting[[#This Row],[Period]]=1,OR(BUReporting[[#This Row],[Period]]=2,OR(BUReporting[[#This Row],[Period]]=2,OR(BUReporting[[#This Row],[Period]]=4,OR(BUReporting[[#This Row],[Period]]=5,BUReporting[[#This Row],[Period]]=6))))),VLOOKUP(BUReporting[[#This Row],[Program]],'Program MW '!$A$12:$S$23,5,FALSE),VLOOKUP(BUReporting[[#This Row],[Program]],'Program MW '!$A$35:$S$46,5,FALSE))</f>
        <v>1565</v>
      </c>
      <c r="H21" s="703">
        <f>IF(OR(BUReporting[[#This Row],[Period]]=1,OR(BUReporting[[#This Row],[Period]]=2,OR(BUReporting[[#This Row],[Period]]=3,OR(BUReporting[[#This Row],[Period]]=4,OR(BUReporting[[#This Row],[Period]]=5,BUReporting[[#This Row],[Period]]=6))))),VLOOKUP(BUReporting[[#This Row],[Program]],'Program MW '!$A$12:$S$23,6,FALSE),VLOOKUP(BUReporting[[#This Row],[Program]],'Program MW '!$A$35:$S$46,6,FALSE))</f>
        <v>0</v>
      </c>
    </row>
    <row r="22" spans="1:8" ht="15.5" thickTop="1" thickBot="1">
      <c r="A22" s="692">
        <v>7</v>
      </c>
      <c r="B22" s="690" t="s">
        <v>21</v>
      </c>
      <c r="C22" s="705" t="s">
        <v>22</v>
      </c>
      <c r="D22" s="690" t="s">
        <v>19</v>
      </c>
      <c r="E22" s="693">
        <v>2</v>
      </c>
      <c r="F22" s="702" t="s">
        <v>28</v>
      </c>
      <c r="G22" s="691">
        <f>IF(OR(BUReporting[[#This Row],[Period]]=1,OR(BUReporting[[#This Row],[Period]]=2,OR(BUReporting[[#This Row],[Period]]=2,OR(BUReporting[[#This Row],[Period]]=4,OR(BUReporting[[#This Row],[Period]]=5,BUReporting[[#This Row],[Period]]=6))))),VLOOKUP(BUReporting[[#This Row],[Program]],'Program MW '!$A$12:$S$23,5,FALSE),VLOOKUP(BUReporting[[#This Row],[Program]],'Program MW '!$A$35:$S$46,5,FALSE))</f>
        <v>10480</v>
      </c>
      <c r="H22" s="703">
        <f>IF(OR(BUReporting[[#This Row],[Period]]=1,OR(BUReporting[[#This Row],[Period]]=2,OR(BUReporting[[#This Row],[Period]]=3,OR(BUReporting[[#This Row],[Period]]=4,OR(BUReporting[[#This Row],[Period]]=5,BUReporting[[#This Row],[Period]]=6))))),VLOOKUP(BUReporting[[#This Row],[Program]],'Program MW '!$A$12:$S$23,6,FALSE),VLOOKUP(BUReporting[[#This Row],[Program]],'Program MW '!$A$35:$S$46,6,FALSE))</f>
        <v>0</v>
      </c>
    </row>
    <row r="23" spans="1:8" ht="15.5" thickTop="1" thickBot="1">
      <c r="A23" s="692">
        <v>8</v>
      </c>
      <c r="B23" s="690" t="s">
        <v>23</v>
      </c>
      <c r="C23" s="705" t="s">
        <v>22</v>
      </c>
      <c r="D23" s="690" t="s">
        <v>9</v>
      </c>
      <c r="E23" s="693">
        <v>2</v>
      </c>
      <c r="F23" s="702" t="s">
        <v>28</v>
      </c>
      <c r="G23" s="691">
        <f>IF(OR(BUReporting[[#This Row],[Period]]=1,OR(BUReporting[[#This Row],[Period]]=2,OR(BUReporting[[#This Row],[Period]]=2,OR(BUReporting[[#This Row],[Period]]=4,OR(BUReporting[[#This Row],[Period]]=5,BUReporting[[#This Row],[Period]]=6))))),VLOOKUP(BUReporting[[#This Row],[Program]],'Program MW '!$A$12:$S$23,5,FALSE),VLOOKUP(BUReporting[[#This Row],[Program]],'Program MW '!$A$35:$S$46,5,FALSE))</f>
        <v>3643</v>
      </c>
      <c r="H23" s="703">
        <f>IF(OR(BUReporting[[#This Row],[Period]]=1,OR(BUReporting[[#This Row],[Period]]=2,OR(BUReporting[[#This Row],[Period]]=3,OR(BUReporting[[#This Row],[Period]]=4,OR(BUReporting[[#This Row],[Period]]=5,BUReporting[[#This Row],[Period]]=6))))),VLOOKUP(BUReporting[[#This Row],[Program]],'Program MW '!$A$12:$S$23,6,FALSE),VLOOKUP(BUReporting[[#This Row],[Program]],'Program MW '!$A$35:$S$46,6,FALSE))</f>
        <v>0</v>
      </c>
    </row>
    <row r="24" spans="1:8" ht="15.5" thickTop="1" thickBot="1">
      <c r="A24" s="692">
        <v>9</v>
      </c>
      <c r="B24" s="690" t="s">
        <v>24</v>
      </c>
      <c r="C24" s="705"/>
      <c r="D24" s="690" t="s">
        <v>9</v>
      </c>
      <c r="E24" s="693">
        <v>2</v>
      </c>
      <c r="F24" s="702" t="s">
        <v>28</v>
      </c>
      <c r="G24" s="691">
        <f>IF(OR(BUReporting[[#This Row],[Period]]=1,OR(BUReporting[[#This Row],[Period]]=2,OR(BUReporting[[#This Row],[Period]]=2,OR(BUReporting[[#This Row],[Period]]=4,OR(BUReporting[[#This Row],[Period]]=5,BUReporting[[#This Row],[Period]]=6))))),VLOOKUP(BUReporting[[#This Row],[Program]],'Program MW '!$A$12:$S$23,5,FALSE),VLOOKUP(BUReporting[[#This Row],[Program]],'Program MW '!$A$35:$S$46,5,FALSE))</f>
        <v>0</v>
      </c>
      <c r="H24" s="703">
        <f>IF(OR(BUReporting[[#This Row],[Period]]=1,OR(BUReporting[[#This Row],[Period]]=2,OR(BUReporting[[#This Row],[Period]]=3,OR(BUReporting[[#This Row],[Period]]=4,OR(BUReporting[[#This Row],[Period]]=5,BUReporting[[#This Row],[Period]]=6))))),VLOOKUP(BUReporting[[#This Row],[Program]],'Program MW '!$A$12:$S$23,6,FALSE),VLOOKUP(BUReporting[[#This Row],[Program]],'Program MW '!$A$35:$S$46,6,FALSE))</f>
        <v>0</v>
      </c>
    </row>
    <row r="25" spans="1:8" ht="15.5" thickTop="1" thickBot="1">
      <c r="A25" s="692">
        <v>10</v>
      </c>
      <c r="B25" s="690" t="s">
        <v>25</v>
      </c>
      <c r="C25" s="705"/>
      <c r="D25" s="690" t="s">
        <v>9</v>
      </c>
      <c r="E25" s="693">
        <v>2</v>
      </c>
      <c r="F25" s="702" t="s">
        <v>28</v>
      </c>
      <c r="G25" s="691">
        <f>IF(OR(BUReporting[[#This Row],[Period]]=1,OR(BUReporting[[#This Row],[Period]]=2,OR(BUReporting[[#This Row],[Period]]=2,OR(BUReporting[[#This Row],[Period]]=4,OR(BUReporting[[#This Row],[Period]]=5,BUReporting[[#This Row],[Period]]=6))))),VLOOKUP(BUReporting[[#This Row],[Program]],'Program MW '!$A$12:$S$23,5,FALSE),VLOOKUP(BUReporting[[#This Row],[Program]],'Program MW '!$A$35:$S$46,5,FALSE))</f>
        <v>0</v>
      </c>
      <c r="H25" s="703">
        <f>IF(OR(BUReporting[[#This Row],[Period]]=1,OR(BUReporting[[#This Row],[Period]]=2,OR(BUReporting[[#This Row],[Period]]=3,OR(BUReporting[[#This Row],[Period]]=4,OR(BUReporting[[#This Row],[Period]]=5,BUReporting[[#This Row],[Period]]=6))))),VLOOKUP(BUReporting[[#This Row],[Program]],'Program MW '!$A$12:$S$23,6,FALSE),VLOOKUP(BUReporting[[#This Row],[Program]],'Program MW '!$A$35:$S$46,6,FALSE))</f>
        <v>0</v>
      </c>
    </row>
    <row r="26" spans="1:8" ht="15.5" thickTop="1" thickBot="1">
      <c r="A26" s="692">
        <v>11</v>
      </c>
      <c r="B26" s="690" t="s">
        <v>26</v>
      </c>
      <c r="C26" s="705"/>
      <c r="D26" s="690" t="s">
        <v>9</v>
      </c>
      <c r="E26" s="693">
        <v>2</v>
      </c>
      <c r="F26" s="702" t="s">
        <v>28</v>
      </c>
      <c r="G26" s="691">
        <f>IF(OR(BUReporting[[#This Row],[Period]]=1,OR(BUReporting[[#This Row],[Period]]=2,OR(BUReporting[[#This Row],[Period]]=2,OR(BUReporting[[#This Row],[Period]]=4,OR(BUReporting[[#This Row],[Period]]=5,BUReporting[[#This Row],[Period]]=6))))),VLOOKUP(BUReporting[[#This Row],[Program]],'Program MW '!$A$12:$S$23,5,FALSE),VLOOKUP(BUReporting[[#This Row],[Program]],'Program MW '!$A$35:$S$46,5,FALSE))</f>
        <v>113078</v>
      </c>
      <c r="H26" s="703">
        <f>IF(OR(BUReporting[[#This Row],[Period]]=1,OR(BUReporting[[#This Row],[Period]]=2,OR(BUReporting[[#This Row],[Period]]=3,OR(BUReporting[[#This Row],[Period]]=4,OR(BUReporting[[#This Row],[Period]]=5,BUReporting[[#This Row],[Period]]=6))))),VLOOKUP(BUReporting[[#This Row],[Program]],'Program MW '!$A$12:$S$23,6,FALSE),VLOOKUP(BUReporting[[#This Row],[Program]],'Program MW '!$A$35:$S$46,6,FALSE))</f>
        <v>0.28767567983909359</v>
      </c>
    </row>
    <row r="27" spans="1:8" ht="13.5" thickTop="1" thickBot="1">
      <c r="A27" s="692">
        <v>12</v>
      </c>
      <c r="B27" s="690" t="s">
        <v>27</v>
      </c>
      <c r="C27" s="689"/>
      <c r="D27" s="690" t="s">
        <v>19</v>
      </c>
      <c r="E27" s="693">
        <v>2</v>
      </c>
      <c r="F27" s="702" t="s">
        <v>28</v>
      </c>
      <c r="G27" s="691">
        <f>IF(OR(BUReporting[[#This Row],[Period]]=1,OR(BUReporting[[#This Row],[Period]]=2,OR(BUReporting[[#This Row],[Period]]=2,OR(BUReporting[[#This Row],[Period]]=4,OR(BUReporting[[#This Row],[Period]]=5,BUReporting[[#This Row],[Period]]=6))))),VLOOKUP(BUReporting[[#This Row],[Program]],'Program MW '!$A$12:$S$23,5,FALSE),VLOOKUP(BUReporting[[#This Row],[Program]],'Program MW '!$A$35:$S$46,5,FALSE))</f>
        <v>9697</v>
      </c>
      <c r="H27" s="703">
        <f>IF(OR(BUReporting[[#This Row],[Period]]=1,OR(BUReporting[[#This Row],[Period]]=2,OR(BUReporting[[#This Row],[Period]]=3,OR(BUReporting[[#This Row],[Period]]=4,OR(BUReporting[[#This Row],[Period]]=5,BUReporting[[#This Row],[Period]]=6))))),VLOOKUP(BUReporting[[#This Row],[Program]],'Program MW '!$A$12:$S$23,6,FALSE),VLOOKUP(BUReporting[[#This Row],[Program]],'Program MW '!$A$35:$S$46,6,FALSE))</f>
        <v>0.42081314309348233</v>
      </c>
    </row>
    <row r="28" spans="1:8" ht="15.5" thickTop="1" thickBot="1">
      <c r="A28" s="704">
        <v>0</v>
      </c>
      <c r="B28" s="101" t="s">
        <v>8</v>
      </c>
      <c r="C28" s="705"/>
      <c r="D28" s="695" t="s">
        <v>9</v>
      </c>
      <c r="E28" s="700">
        <v>3</v>
      </c>
      <c r="F28" s="701" t="s">
        <v>29</v>
      </c>
      <c r="G28" s="691">
        <f>IF(OR(BUReporting[[#This Row],[Period]]=1,OR(BUReporting[[#This Row],[Period]]=2,OR(BUReporting[[#This Row],[Period]]=2,OR(BUReporting[[#This Row],[Period]]=4,OR(BUReporting[[#This Row],[Period]]=5,BUReporting[[#This Row],[Period]]=6))))),VLOOKUP(BUReporting[[#This Row],[Program]],'Program MW '!$A$9:$S$9,8,FALSE),VLOOKUP(BUReporting[[#This Row],[Program]],'Program MW '!$A$32:$S$32,8,FALSE))</f>
        <v>5</v>
      </c>
      <c r="H28" s="703">
        <f>IF(OR(BUReporting[[#This Row],[Period]]=1,OR(BUReporting[[#This Row],[Period]]=2,OR(BUReporting[[#This Row],[Period]]=3,OR(BUReporting[[#This Row],[Period]]=4,OR(BUReporting[[#This Row],[Period]]=5,BUReporting[[#This Row],[Period]]=6))))),VLOOKUP(BUReporting[[#This Row],[Program]],'Program MW '!$A$9:$S$9,9,FALSE),VLOOKUP(BUReporting[[#This Row],[Program]],'Program MW '!$A$32:$S$32,9,FALSE))</f>
        <v>0.88712742614746087</v>
      </c>
    </row>
    <row r="29" spans="1:8" ht="15.5" thickTop="1" thickBot="1">
      <c r="A29" s="692">
        <v>1</v>
      </c>
      <c r="B29" s="690" t="s">
        <v>11</v>
      </c>
      <c r="C29" s="705"/>
      <c r="D29" s="690" t="s">
        <v>9</v>
      </c>
      <c r="E29" s="693">
        <v>3</v>
      </c>
      <c r="F29" s="702" t="s">
        <v>29</v>
      </c>
      <c r="G29" s="691">
        <f>IF(OR(BUReporting[[#This Row],[Period]]=1,OR(BUReporting[[#This Row],[Period]]=2,OR(BUReporting[[#This Row],[Period]]=3,OR(BUReporting[[#This Row],[Period]]=4,OR(BUReporting[[#This Row],[Period]]=5,BUReporting[[#This Row],[Period]]=6))))),VLOOKUP(BUReporting[[#This Row],[Program]],'Program MW '!$A$12:$S$23,8,FALSE),VLOOKUP(BUReporting[[#This Row],[Program]],'Program MW '!$A$35:$S$46,8,FALSE))</f>
        <v>14765</v>
      </c>
      <c r="H29" s="703">
        <f>IF(OR(BUReporting[[#This Row],[Period]]=1,OR(BUReporting[[#This Row],[Period]]=2,OR(BUReporting[[#This Row],[Period]]=3,OR(BUReporting[[#This Row],[Period]]=4,OR(BUReporting[[#This Row],[Period]]=5,BUReporting[[#This Row],[Period]]=6))))),VLOOKUP(BUReporting[[#This Row],[Program]],'Program MW '!$A$12:$S$23,9,FALSE),VLOOKUP(BUReporting[[#This Row],[Program]],'Program MW '!$A$35:$S$46,9,FALSE))</f>
        <v>0</v>
      </c>
    </row>
    <row r="30" spans="1:8" ht="15.5" thickTop="1" thickBot="1">
      <c r="A30" s="692">
        <v>2</v>
      </c>
      <c r="B30" s="690" t="s">
        <v>12</v>
      </c>
      <c r="C30" s="705" t="s">
        <v>13</v>
      </c>
      <c r="D30" s="690" t="s">
        <v>9</v>
      </c>
      <c r="E30" s="693">
        <v>3</v>
      </c>
      <c r="F30" s="702" t="s">
        <v>29</v>
      </c>
      <c r="G30" s="691">
        <f>IF(OR(BUReporting[[#This Row],[Period]]=1,OR(BUReporting[[#This Row],[Period]]=2,OR(BUReporting[[#This Row],[Period]]=3,OR(BUReporting[[#This Row],[Period]]=4,OR(BUReporting[[#This Row],[Period]]=5,BUReporting[[#This Row],[Period]]=6))))),VLOOKUP(BUReporting[[#This Row],[Program]],'Program MW '!$A$12:$S$23,8,FALSE),VLOOKUP(BUReporting[[#This Row],[Program]],'Program MW '!$A$35:$S$46,8,FALSE))</f>
        <v>0</v>
      </c>
      <c r="H30" s="703">
        <f>IF(OR(BUReporting[[#This Row],[Period]]=1,OR(BUReporting[[#This Row],[Period]]=2,OR(BUReporting[[#This Row],[Period]]=3,OR(BUReporting[[#This Row],[Period]]=4,OR(BUReporting[[#This Row],[Period]]=5,BUReporting[[#This Row],[Period]]=6))))),VLOOKUP(BUReporting[[#This Row],[Program]],'Program MW '!$A$12:$S$23,9,FALSE),VLOOKUP(BUReporting[[#This Row],[Program]],'Program MW '!$A$35:$S$46,9,FALSE))</f>
        <v>0</v>
      </c>
    </row>
    <row r="31" spans="1:8" ht="15.5" thickTop="1" thickBot="1">
      <c r="A31" s="692">
        <v>3</v>
      </c>
      <c r="B31" s="690" t="s">
        <v>14</v>
      </c>
      <c r="C31" s="705"/>
      <c r="D31" s="690" t="s">
        <v>9</v>
      </c>
      <c r="E31" s="693">
        <v>3</v>
      </c>
      <c r="F31" s="702" t="s">
        <v>29</v>
      </c>
      <c r="G31" s="691">
        <f>IF(OR(BUReporting[[#This Row],[Period]]=1,OR(BUReporting[[#This Row],[Period]]=2,OR(BUReporting[[#This Row],[Period]]=3,OR(BUReporting[[#This Row],[Period]]=4,OR(BUReporting[[#This Row],[Period]]=5,BUReporting[[#This Row],[Period]]=6))))),VLOOKUP(BUReporting[[#This Row],[Program]],'Program MW '!$A$12:$S$23,8,FALSE),VLOOKUP(BUReporting[[#This Row],[Program]],'Program MW '!$A$35:$S$46,8,FALSE))</f>
        <v>0</v>
      </c>
      <c r="H31" s="703">
        <f>IF(OR(BUReporting[[#This Row],[Period]]=1,OR(BUReporting[[#This Row],[Period]]=2,OR(BUReporting[[#This Row],[Period]]=3,OR(BUReporting[[#This Row],[Period]]=4,OR(BUReporting[[#This Row],[Period]]=5,BUReporting[[#This Row],[Period]]=6))))),VLOOKUP(BUReporting[[#This Row],[Program]],'Program MW '!$A$12:$S$23,9,FALSE),VLOOKUP(BUReporting[[#This Row],[Program]],'Program MW '!$A$35:$S$46,9,FALSE))</f>
        <v>0</v>
      </c>
    </row>
    <row r="32" spans="1:8" ht="15.5" thickTop="1" thickBot="1">
      <c r="A32" s="692">
        <v>4</v>
      </c>
      <c r="B32" s="690" t="s">
        <v>15</v>
      </c>
      <c r="C32" s="705" t="s">
        <v>16</v>
      </c>
      <c r="D32" s="690" t="s">
        <v>9</v>
      </c>
      <c r="E32" s="693">
        <v>3</v>
      </c>
      <c r="F32" s="702" t="s">
        <v>29</v>
      </c>
      <c r="G32" s="691">
        <f>IF(OR(BUReporting[[#This Row],[Period]]=1,OR(BUReporting[[#This Row],[Period]]=2,OR(BUReporting[[#This Row],[Period]]=3,OR(BUReporting[[#This Row],[Period]]=4,OR(BUReporting[[#This Row],[Period]]=5,BUReporting[[#This Row],[Period]]=6))))),VLOOKUP(BUReporting[[#This Row],[Program]],'Program MW '!$A$12:$S$23,8,FALSE),VLOOKUP(BUReporting[[#This Row],[Program]],'Program MW '!$A$35:$S$46,8,FALSE))</f>
        <v>0</v>
      </c>
      <c r="H32" s="703">
        <f>IF(OR(BUReporting[[#This Row],[Period]]=1,OR(BUReporting[[#This Row],[Period]]=2,OR(BUReporting[[#This Row],[Period]]=3,OR(BUReporting[[#This Row],[Period]]=4,OR(BUReporting[[#This Row],[Period]]=5,BUReporting[[#This Row],[Period]]=6))))),VLOOKUP(BUReporting[[#This Row],[Program]],'Program MW '!$A$12:$S$23,9,FALSE),VLOOKUP(BUReporting[[#This Row],[Program]],'Program MW '!$A$35:$S$46,9,FALSE))</f>
        <v>0</v>
      </c>
    </row>
    <row r="33" spans="1:8" ht="15.5" thickTop="1" thickBot="1">
      <c r="A33" s="692">
        <v>5</v>
      </c>
      <c r="B33" s="690" t="s">
        <v>17</v>
      </c>
      <c r="C33" s="705" t="s">
        <v>18</v>
      </c>
      <c r="D33" s="690" t="s">
        <v>19</v>
      </c>
      <c r="E33" s="693">
        <v>3</v>
      </c>
      <c r="F33" s="702" t="s">
        <v>29</v>
      </c>
      <c r="G33" s="691">
        <f>IF(OR(BUReporting[[#This Row],[Period]]=1,OR(BUReporting[[#This Row],[Period]]=2,OR(BUReporting[[#This Row],[Period]]=3,OR(BUReporting[[#This Row],[Period]]=4,OR(BUReporting[[#This Row],[Period]]=5,BUReporting[[#This Row],[Period]]=6))))),VLOOKUP(BUReporting[[#This Row],[Program]],'Program MW '!$A$12:$S$23,8,FALSE),VLOOKUP(BUReporting[[#This Row],[Program]],'Program MW '!$A$35:$S$46,8,FALSE))</f>
        <v>17168</v>
      </c>
      <c r="H33" s="703">
        <f>IF(OR(BUReporting[[#This Row],[Period]]=1,OR(BUReporting[[#This Row],[Period]]=2,OR(BUReporting[[#This Row],[Period]]=3,OR(BUReporting[[#This Row],[Period]]=4,OR(BUReporting[[#This Row],[Period]]=5,BUReporting[[#This Row],[Period]]=6))))),VLOOKUP(BUReporting[[#This Row],[Program]],'Program MW '!$A$12:$S$23,9,FALSE),VLOOKUP(BUReporting[[#This Row],[Program]],'Program MW '!$A$35:$S$46,9,FALSE))</f>
        <v>2.4588118769020852E-4</v>
      </c>
    </row>
    <row r="34" spans="1:8" ht="15.5" thickTop="1" thickBot="1">
      <c r="A34" s="692">
        <v>6</v>
      </c>
      <c r="B34" s="690" t="s">
        <v>20</v>
      </c>
      <c r="C34" s="705" t="s">
        <v>18</v>
      </c>
      <c r="D34" s="690" t="s">
        <v>9</v>
      </c>
      <c r="E34" s="693">
        <v>3</v>
      </c>
      <c r="F34" s="702" t="s">
        <v>29</v>
      </c>
      <c r="G34" s="691">
        <f>IF(OR(BUReporting[[#This Row],[Period]]=1,OR(BUReporting[[#This Row],[Period]]=2,OR(BUReporting[[#This Row],[Period]]=3,OR(BUReporting[[#This Row],[Period]]=4,OR(BUReporting[[#This Row],[Period]]=5,BUReporting[[#This Row],[Period]]=6))))),VLOOKUP(BUReporting[[#This Row],[Program]],'Program MW '!$A$12:$S$23,8,FALSE),VLOOKUP(BUReporting[[#This Row],[Program]],'Program MW '!$A$35:$S$46,8,FALSE))</f>
        <v>1567</v>
      </c>
      <c r="H34" s="703">
        <f>IF(OR(BUReporting[[#This Row],[Period]]=1,OR(BUReporting[[#This Row],[Period]]=2,OR(BUReporting[[#This Row],[Period]]=3,OR(BUReporting[[#This Row],[Period]]=4,OR(BUReporting[[#This Row],[Period]]=5,BUReporting[[#This Row],[Period]]=6))))),VLOOKUP(BUReporting[[#This Row],[Program]],'Program MW '!$A$12:$S$23,9,FALSE),VLOOKUP(BUReporting[[#This Row],[Program]],'Program MW '!$A$35:$S$46,9,FALSE))</f>
        <v>2.2442673643438767E-5</v>
      </c>
    </row>
    <row r="35" spans="1:8" ht="15.5" thickTop="1" thickBot="1">
      <c r="A35" s="692">
        <v>7</v>
      </c>
      <c r="B35" s="690" t="s">
        <v>21</v>
      </c>
      <c r="C35" s="705" t="s">
        <v>22</v>
      </c>
      <c r="D35" s="690" t="s">
        <v>19</v>
      </c>
      <c r="E35" s="693">
        <v>3</v>
      </c>
      <c r="F35" s="702" t="s">
        <v>29</v>
      </c>
      <c r="G35" s="691">
        <f>IF(OR(BUReporting[[#This Row],[Period]]=1,OR(BUReporting[[#This Row],[Period]]=2,OR(BUReporting[[#This Row],[Period]]=3,OR(BUReporting[[#This Row],[Period]]=4,OR(BUReporting[[#This Row],[Period]]=5,BUReporting[[#This Row],[Period]]=6))))),VLOOKUP(BUReporting[[#This Row],[Program]],'Program MW '!$A$12:$S$23,8,FALSE),VLOOKUP(BUReporting[[#This Row],[Program]],'Program MW '!$A$35:$S$46,8,FALSE))</f>
        <v>10206</v>
      </c>
      <c r="H35" s="703">
        <f>IF(OR(BUReporting[[#This Row],[Period]]=1,OR(BUReporting[[#This Row],[Period]]=2,OR(BUReporting[[#This Row],[Period]]=3,OR(BUReporting[[#This Row],[Period]]=4,OR(BUReporting[[#This Row],[Period]]=5,BUReporting[[#This Row],[Period]]=6))))),VLOOKUP(BUReporting[[#This Row],[Program]],'Program MW '!$A$12:$S$23,9,FALSE),VLOOKUP(BUReporting[[#This Row],[Program]],'Program MW '!$A$35:$S$46,9,FALSE))</f>
        <v>1.4617098098591963E-4</v>
      </c>
    </row>
    <row r="36" spans="1:8" ht="15.5" thickTop="1" thickBot="1">
      <c r="A36" s="692">
        <v>8</v>
      </c>
      <c r="B36" s="690" t="s">
        <v>23</v>
      </c>
      <c r="C36" s="705" t="s">
        <v>22</v>
      </c>
      <c r="D36" s="690" t="s">
        <v>9</v>
      </c>
      <c r="E36" s="693">
        <v>3</v>
      </c>
      <c r="F36" s="702" t="s">
        <v>29</v>
      </c>
      <c r="G36" s="691">
        <f>IF(OR(BUReporting[[#This Row],[Period]]=1,OR(BUReporting[[#This Row],[Period]]=2,OR(BUReporting[[#This Row],[Period]]=3,OR(BUReporting[[#This Row],[Period]]=4,OR(BUReporting[[#This Row],[Period]]=5,BUReporting[[#This Row],[Period]]=6))))),VLOOKUP(BUReporting[[#This Row],[Program]],'Program MW '!$A$12:$S$23,8,FALSE),VLOOKUP(BUReporting[[#This Row],[Program]],'Program MW '!$A$35:$S$46,8,FALSE))</f>
        <v>3545</v>
      </c>
      <c r="H36" s="703">
        <f>IF(OR(BUReporting[[#This Row],[Period]]=1,OR(BUReporting[[#This Row],[Period]]=2,OR(BUReporting[[#This Row],[Period]]=3,OR(BUReporting[[#This Row],[Period]]=4,OR(BUReporting[[#This Row],[Period]]=5,BUReporting[[#This Row],[Period]]=6))))),VLOOKUP(BUReporting[[#This Row],[Program]],'Program MW '!$A$12:$S$23,9,FALSE),VLOOKUP(BUReporting[[#This Row],[Program]],'Program MW '!$A$35:$S$46,9,FALSE))</f>
        <v>5.0771715421819035E-5</v>
      </c>
    </row>
    <row r="37" spans="1:8" ht="15.5" thickTop="1" thickBot="1">
      <c r="A37" s="692">
        <v>9</v>
      </c>
      <c r="B37" s="690" t="s">
        <v>24</v>
      </c>
      <c r="C37" s="705"/>
      <c r="D37" s="690" t="s">
        <v>9</v>
      </c>
      <c r="E37" s="693">
        <v>3</v>
      </c>
      <c r="F37" s="702" t="s">
        <v>29</v>
      </c>
      <c r="G37" s="691">
        <f>IF(OR(BUReporting[[#This Row],[Period]]=1,OR(BUReporting[[#This Row],[Period]]=2,OR(BUReporting[[#This Row],[Period]]=3,OR(BUReporting[[#This Row],[Period]]=4,OR(BUReporting[[#This Row],[Period]]=5,BUReporting[[#This Row],[Period]]=6))))),VLOOKUP(BUReporting[[#This Row],[Program]],'Program MW '!$A$12:$S$23,8,FALSE),VLOOKUP(BUReporting[[#This Row],[Program]],'Program MW '!$A$35:$S$46,8,FALSE))</f>
        <v>0</v>
      </c>
      <c r="H37" s="703">
        <f>IF(OR(BUReporting[[#This Row],[Period]]=1,OR(BUReporting[[#This Row],[Period]]=2,OR(BUReporting[[#This Row],[Period]]=3,OR(BUReporting[[#This Row],[Period]]=4,OR(BUReporting[[#This Row],[Period]]=5,BUReporting[[#This Row],[Period]]=6))))),VLOOKUP(BUReporting[[#This Row],[Program]],'Program MW '!$A$12:$S$23,9,FALSE),VLOOKUP(BUReporting[[#This Row],[Program]],'Program MW '!$A$35:$S$46,9,FALSE))</f>
        <v>0</v>
      </c>
    </row>
    <row r="38" spans="1:8" ht="15.5" thickTop="1" thickBot="1">
      <c r="A38" s="692">
        <v>10</v>
      </c>
      <c r="B38" s="690" t="s">
        <v>25</v>
      </c>
      <c r="C38" s="705"/>
      <c r="D38" s="690" t="s">
        <v>9</v>
      </c>
      <c r="E38" s="693">
        <v>3</v>
      </c>
      <c r="F38" s="702" t="s">
        <v>29</v>
      </c>
      <c r="G38" s="691">
        <f>IF(OR(BUReporting[[#This Row],[Period]]=1,OR(BUReporting[[#This Row],[Period]]=2,OR(BUReporting[[#This Row],[Period]]=3,OR(BUReporting[[#This Row],[Period]]=4,OR(BUReporting[[#This Row],[Period]]=5,BUReporting[[#This Row],[Period]]=6))))),VLOOKUP(BUReporting[[#This Row],[Program]],'Program MW '!$A$12:$S$23,8,FALSE),VLOOKUP(BUReporting[[#This Row],[Program]],'Program MW '!$A$35:$S$46,8,FALSE))</f>
        <v>0</v>
      </c>
      <c r="H38" s="703">
        <f>IF(OR(BUReporting[[#This Row],[Period]]=1,OR(BUReporting[[#This Row],[Period]]=2,OR(BUReporting[[#This Row],[Period]]=3,OR(BUReporting[[#This Row],[Period]]=4,OR(BUReporting[[#This Row],[Period]]=5,BUReporting[[#This Row],[Period]]=6))))),VLOOKUP(BUReporting[[#This Row],[Program]],'Program MW '!$A$12:$S$23,9,FALSE),VLOOKUP(BUReporting[[#This Row],[Program]],'Program MW '!$A$35:$S$46,9,FALSE))</f>
        <v>0</v>
      </c>
    </row>
    <row r="39" spans="1:8" ht="15.5" thickTop="1" thickBot="1">
      <c r="A39" s="692">
        <v>11</v>
      </c>
      <c r="B39" s="690" t="s">
        <v>26</v>
      </c>
      <c r="C39" s="705"/>
      <c r="D39" s="690" t="s">
        <v>9</v>
      </c>
      <c r="E39" s="693">
        <v>3</v>
      </c>
      <c r="F39" s="702" t="s">
        <v>29</v>
      </c>
      <c r="G39" s="691">
        <f>IF(OR(BUReporting[[#This Row],[Period]]=1,OR(BUReporting[[#This Row],[Period]]=2,OR(BUReporting[[#This Row],[Period]]=3,OR(BUReporting[[#This Row],[Period]]=4,OR(BUReporting[[#This Row],[Period]]=5,BUReporting[[#This Row],[Period]]=6))))),VLOOKUP(BUReporting[[#This Row],[Program]],'Program MW '!$A$12:$S$23,8,FALSE),VLOOKUP(BUReporting[[#This Row],[Program]],'Program MW '!$A$35:$S$46,8,FALSE))</f>
        <v>112959</v>
      </c>
      <c r="H39" s="703">
        <f>IF(OR(BUReporting[[#This Row],[Period]]=1,OR(BUReporting[[#This Row],[Period]]=2,OR(BUReporting[[#This Row],[Period]]=3,OR(BUReporting[[#This Row],[Period]]=4,OR(BUReporting[[#This Row],[Period]]=5,BUReporting[[#This Row],[Period]]=6))))),VLOOKUP(BUReporting[[#This Row],[Program]],'Program MW '!$A$12:$S$23,9,FALSE),VLOOKUP(BUReporting[[#This Row],[Program]],'Program MW '!$A$35:$S$46,9,FALSE))</f>
        <v>1.1138916288328069</v>
      </c>
    </row>
    <row r="40" spans="1:8" ht="13.5" thickTop="1" thickBot="1">
      <c r="A40" s="692">
        <v>12</v>
      </c>
      <c r="B40" s="690" t="s">
        <v>27</v>
      </c>
      <c r="C40" s="689"/>
      <c r="D40" s="690" t="s">
        <v>19</v>
      </c>
      <c r="E40" s="693">
        <v>3</v>
      </c>
      <c r="F40" s="702" t="s">
        <v>29</v>
      </c>
      <c r="G40" s="691">
        <f>IF(OR(BUReporting[[#This Row],[Period]]=1,OR(BUReporting[[#This Row],[Period]]=2,OR(BUReporting[[#This Row],[Period]]=3,OR(BUReporting[[#This Row],[Period]]=4,OR(BUReporting[[#This Row],[Period]]=5,BUReporting[[#This Row],[Period]]=6))))),VLOOKUP(BUReporting[[#This Row],[Program]],'Program MW '!$A$12:$S$23,8,FALSE),VLOOKUP(BUReporting[[#This Row],[Program]],'Program MW '!$A$35:$S$46,8,FALSE))</f>
        <v>10255</v>
      </c>
      <c r="H40" s="703">
        <f>IF(OR(BUReporting[[#This Row],[Period]]=1,OR(BUReporting[[#This Row],[Period]]=2,OR(BUReporting[[#This Row],[Period]]=3,OR(BUReporting[[#This Row],[Period]]=4,OR(BUReporting[[#This Row],[Period]]=5,BUReporting[[#This Row],[Period]]=6))))),VLOOKUP(BUReporting[[#This Row],[Program]],'Program MW '!$A$12:$S$23,9,FALSE),VLOOKUP(BUReporting[[#This Row],[Program]],'Program MW '!$A$35:$S$46,9,FALSE))</f>
        <v>0.3491134318113327</v>
      </c>
    </row>
    <row r="41" spans="1:8" ht="15.5" thickTop="1" thickBot="1">
      <c r="A41" s="704">
        <v>0</v>
      </c>
      <c r="B41" s="101" t="s">
        <v>8</v>
      </c>
      <c r="C41" s="705"/>
      <c r="D41" s="695" t="s">
        <v>9</v>
      </c>
      <c r="E41" s="700">
        <v>4</v>
      </c>
      <c r="F41" s="701" t="s">
        <v>30</v>
      </c>
      <c r="G41" s="691">
        <f>IF(OR(BUReporting[[#This Row],[Period]]=1,OR(BUReporting[[#This Row],[Period]]=2,OR(BUReporting[[#This Row],[Period]]=2,OR(BUReporting[[#This Row],[Period]]=4,OR(BUReporting[[#This Row],[Period]]=5,BUReporting[[#This Row],[Period]]=6))))),VLOOKUP(BUReporting[[#This Row],[Program]],'Program MW '!$A$9:$S$9,11,FALSE),VLOOKUP(BUReporting[[#This Row],[Program]],'Program MW '!$A$32:$S$32,11,FALSE))</f>
        <v>5</v>
      </c>
      <c r="H41" s="703">
        <f>IF(OR(BUReporting[[#This Row],[Period]]=1,OR(BUReporting[[#This Row],[Period]]=2,OR(BUReporting[[#This Row],[Period]]=3,OR(BUReporting[[#This Row],[Period]]=4,OR(BUReporting[[#This Row],[Period]]=5,BUReporting[[#This Row],[Period]]=6))))),VLOOKUP(BUReporting[[#This Row],[Program]],'Program MW '!$A$9:$S$9,12,FALSE),VLOOKUP(BUReporting[[#This Row],[Program]],'Program MW '!$A$32:$S$32,12,FALSE))</f>
        <v>0.73273989105224624</v>
      </c>
    </row>
    <row r="42" spans="1:8" ht="15.5" thickTop="1" thickBot="1">
      <c r="A42" s="692">
        <v>1</v>
      </c>
      <c r="B42" s="690" t="s">
        <v>11</v>
      </c>
      <c r="C42" s="705"/>
      <c r="D42" s="690" t="s">
        <v>9</v>
      </c>
      <c r="E42" s="693">
        <v>4</v>
      </c>
      <c r="F42" s="702" t="s">
        <v>30</v>
      </c>
      <c r="G42" s="691">
        <f>IF(OR(BUReporting[[#This Row],[Period]]=1,OR(BUReporting[[#This Row],[Period]]=2,OR(BUReporting[[#This Row],[Period]]=3,OR(BUReporting[[#This Row],[Period]]=4,OR(BUReporting[[#This Row],[Period]]=5,BUReporting[[#This Row],[Period]]=6))))),VLOOKUP(BUReporting[[#This Row],[Program]],'Program MW '!$A$12:$S$23,11,FALSE),VLOOKUP(BUReporting[[#This Row],[Program]],'Program MW '!$A$35:$S$46,11,FALSE))</f>
        <v>14667</v>
      </c>
      <c r="H42" s="703">
        <f>IF(OR(BUReporting[[#This Row],[Period]]=1,OR(BUReporting[[#This Row],[Period]]=2,OR(BUReporting[[#This Row],[Period]]=3,OR(BUReporting[[#This Row],[Period]]=4,OR(BUReporting[[#This Row],[Period]]=5,BUReporting[[#This Row],[Period]]=6))))),VLOOKUP(BUReporting[[#This Row],[Program]],'Program MW '!$A$12:$S$23,12,FALSE),VLOOKUP(BUReporting[[#This Row],[Program]],'Program MW '!$A$35:$S$46,12,FALSE))</f>
        <v>0</v>
      </c>
    </row>
    <row r="43" spans="1:8" ht="15.5" thickTop="1" thickBot="1">
      <c r="A43" s="692">
        <v>2</v>
      </c>
      <c r="B43" s="690" t="s">
        <v>12</v>
      </c>
      <c r="C43" s="705" t="s">
        <v>13</v>
      </c>
      <c r="D43" s="690" t="s">
        <v>9</v>
      </c>
      <c r="E43" s="693">
        <v>4</v>
      </c>
      <c r="F43" s="702" t="s">
        <v>30</v>
      </c>
      <c r="G43" s="691">
        <f>IF(OR(BUReporting[[#This Row],[Period]]=1,OR(BUReporting[[#This Row],[Period]]=2,OR(BUReporting[[#This Row],[Period]]=3,OR(BUReporting[[#This Row],[Period]]=4,OR(BUReporting[[#This Row],[Period]]=5,BUReporting[[#This Row],[Period]]=6))))),VLOOKUP(BUReporting[[#This Row],[Program]],'Program MW '!$A$12:$S$23,11,FALSE),VLOOKUP(BUReporting[[#This Row],[Program]],'Program MW '!$A$35:$S$46,11,FALSE))</f>
        <v>0</v>
      </c>
      <c r="H43" s="703">
        <f>IF(OR(BUReporting[[#This Row],[Period]]=1,OR(BUReporting[[#This Row],[Period]]=2,OR(BUReporting[[#This Row],[Period]]=3,OR(BUReporting[[#This Row],[Period]]=4,OR(BUReporting[[#This Row],[Period]]=5,BUReporting[[#This Row],[Period]]=6))))),VLOOKUP(BUReporting[[#This Row],[Program]],'Program MW '!$A$12:$S$23,12,FALSE),VLOOKUP(BUReporting[[#This Row],[Program]],'Program MW '!$A$35:$S$46,12,FALSE))</f>
        <v>0</v>
      </c>
    </row>
    <row r="44" spans="1:8" ht="15.5" thickTop="1" thickBot="1">
      <c r="A44" s="692">
        <v>3</v>
      </c>
      <c r="B44" s="690" t="s">
        <v>14</v>
      </c>
      <c r="C44" s="705"/>
      <c r="D44" s="690" t="s">
        <v>9</v>
      </c>
      <c r="E44" s="693">
        <v>4</v>
      </c>
      <c r="F44" s="702" t="s">
        <v>30</v>
      </c>
      <c r="G44" s="691">
        <f>IF(OR(BUReporting[[#This Row],[Period]]=1,OR(BUReporting[[#This Row],[Period]]=2,OR(BUReporting[[#This Row],[Period]]=3,OR(BUReporting[[#This Row],[Period]]=4,OR(BUReporting[[#This Row],[Period]]=5,BUReporting[[#This Row],[Period]]=6))))),VLOOKUP(BUReporting[[#This Row],[Program]],'Program MW '!$A$12:$S$23,11,FALSE),VLOOKUP(BUReporting[[#This Row],[Program]],'Program MW '!$A$35:$S$46,11,FALSE))</f>
        <v>0</v>
      </c>
      <c r="H44" s="703">
        <f>IF(OR(BUReporting[[#This Row],[Period]]=1,OR(BUReporting[[#This Row],[Period]]=2,OR(BUReporting[[#This Row],[Period]]=3,OR(BUReporting[[#This Row],[Period]]=4,OR(BUReporting[[#This Row],[Period]]=5,BUReporting[[#This Row],[Period]]=6))))),VLOOKUP(BUReporting[[#This Row],[Program]],'Program MW '!$A$12:$S$23,12,FALSE),VLOOKUP(BUReporting[[#This Row],[Program]],'Program MW '!$A$35:$S$46,12,FALSE))</f>
        <v>0</v>
      </c>
    </row>
    <row r="45" spans="1:8" ht="15.5" thickTop="1" thickBot="1">
      <c r="A45" s="692">
        <v>4</v>
      </c>
      <c r="B45" s="690" t="s">
        <v>15</v>
      </c>
      <c r="C45" s="705" t="s">
        <v>16</v>
      </c>
      <c r="D45" s="690" t="s">
        <v>9</v>
      </c>
      <c r="E45" s="693">
        <v>4</v>
      </c>
      <c r="F45" s="702" t="s">
        <v>30</v>
      </c>
      <c r="G45" s="691">
        <f>IF(OR(BUReporting[[#This Row],[Period]]=1,OR(BUReporting[[#This Row],[Period]]=2,OR(BUReporting[[#This Row],[Period]]=3,OR(BUReporting[[#This Row],[Period]]=4,OR(BUReporting[[#This Row],[Period]]=5,BUReporting[[#This Row],[Period]]=6))))),VLOOKUP(BUReporting[[#This Row],[Program]],'Program MW '!$A$12:$S$23,11,FALSE),VLOOKUP(BUReporting[[#This Row],[Program]],'Program MW '!$A$35:$S$46,11,FALSE))</f>
        <v>0</v>
      </c>
      <c r="H45" s="703">
        <f>IF(OR(BUReporting[[#This Row],[Period]]=1,OR(BUReporting[[#This Row],[Period]]=2,OR(BUReporting[[#This Row],[Period]]=3,OR(BUReporting[[#This Row],[Period]]=4,OR(BUReporting[[#This Row],[Period]]=5,BUReporting[[#This Row],[Period]]=6))))),VLOOKUP(BUReporting[[#This Row],[Program]],'Program MW '!$A$12:$S$23,12,FALSE),VLOOKUP(BUReporting[[#This Row],[Program]],'Program MW '!$A$35:$S$46,12,FALSE))</f>
        <v>0</v>
      </c>
    </row>
    <row r="46" spans="1:8" ht="15.5" thickTop="1" thickBot="1">
      <c r="A46" s="692">
        <v>5</v>
      </c>
      <c r="B46" s="690" t="s">
        <v>17</v>
      </c>
      <c r="C46" s="705" t="s">
        <v>18</v>
      </c>
      <c r="D46" s="690" t="s">
        <v>19</v>
      </c>
      <c r="E46" s="693">
        <v>4</v>
      </c>
      <c r="F46" s="702" t="s">
        <v>30</v>
      </c>
      <c r="G46" s="691">
        <f>IF(OR(BUReporting[[#This Row],[Period]]=1,OR(BUReporting[[#This Row],[Period]]=2,OR(BUReporting[[#This Row],[Period]]=3,OR(BUReporting[[#This Row],[Period]]=4,OR(BUReporting[[#This Row],[Period]]=5,BUReporting[[#This Row],[Period]]=6))))),VLOOKUP(BUReporting[[#This Row],[Program]],'Program MW '!$A$12:$S$23,11,FALSE),VLOOKUP(BUReporting[[#This Row],[Program]],'Program MW '!$A$35:$S$46,11,FALSE))</f>
        <v>17291</v>
      </c>
      <c r="H46" s="703">
        <f>IF(OR(BUReporting[[#This Row],[Period]]=1,OR(BUReporting[[#This Row],[Period]]=2,OR(BUReporting[[#This Row],[Period]]=3,OR(BUReporting[[#This Row],[Period]]=4,OR(BUReporting[[#This Row],[Period]]=5,BUReporting[[#This Row],[Period]]=6))))),VLOOKUP(BUReporting[[#This Row],[Program]],'Program MW '!$A$12:$S$23,12,FALSE),VLOOKUP(BUReporting[[#This Row],[Program]],'Program MW '!$A$35:$S$46,12,FALSE))</f>
        <v>2.5672644788432204</v>
      </c>
    </row>
    <row r="47" spans="1:8" ht="15.5" thickTop="1" thickBot="1">
      <c r="A47" s="692">
        <v>6</v>
      </c>
      <c r="B47" s="690" t="s">
        <v>20</v>
      </c>
      <c r="C47" s="705" t="s">
        <v>18</v>
      </c>
      <c r="D47" s="690" t="s">
        <v>9</v>
      </c>
      <c r="E47" s="693">
        <v>4</v>
      </c>
      <c r="F47" s="702" t="s">
        <v>30</v>
      </c>
      <c r="G47" s="691">
        <f>IF(OR(BUReporting[[#This Row],[Period]]=1,OR(BUReporting[[#This Row],[Period]]=2,OR(BUReporting[[#This Row],[Period]]=3,OR(BUReporting[[#This Row],[Period]]=4,OR(BUReporting[[#This Row],[Period]]=5,BUReporting[[#This Row],[Period]]=6))))),VLOOKUP(BUReporting[[#This Row],[Program]],'Program MW '!$A$12:$S$23,11,FALSE),VLOOKUP(BUReporting[[#This Row],[Program]],'Program MW '!$A$35:$S$46,11,FALSE))</f>
        <v>1569</v>
      </c>
      <c r="H47" s="703">
        <f>IF(OR(BUReporting[[#This Row],[Period]]=1,OR(BUReporting[[#This Row],[Period]]=2,OR(BUReporting[[#This Row],[Period]]=3,OR(BUReporting[[#This Row],[Period]]=4,OR(BUReporting[[#This Row],[Period]]=5,BUReporting[[#This Row],[Period]]=6))))),VLOOKUP(BUReporting[[#This Row],[Program]],'Program MW '!$A$12:$S$23,12,FALSE),VLOOKUP(BUReporting[[#This Row],[Program]],'Program MW '!$A$35:$S$46,12,FALSE))</f>
        <v>0.28391220845971138</v>
      </c>
    </row>
    <row r="48" spans="1:8" ht="15.5" thickTop="1" thickBot="1">
      <c r="A48" s="692">
        <v>7</v>
      </c>
      <c r="B48" s="690" t="s">
        <v>21</v>
      </c>
      <c r="C48" s="705" t="s">
        <v>22</v>
      </c>
      <c r="D48" s="690" t="s">
        <v>19</v>
      </c>
      <c r="E48" s="693">
        <v>4</v>
      </c>
      <c r="F48" s="702" t="s">
        <v>30</v>
      </c>
      <c r="G48" s="691">
        <f>IF(OR(BUReporting[[#This Row],[Period]]=1,OR(BUReporting[[#This Row],[Period]]=2,OR(BUReporting[[#This Row],[Period]]=3,OR(BUReporting[[#This Row],[Period]]=4,OR(BUReporting[[#This Row],[Period]]=5,BUReporting[[#This Row],[Period]]=6))))),VLOOKUP(BUReporting[[#This Row],[Program]],'Program MW '!$A$12:$S$23,11,FALSE),VLOOKUP(BUReporting[[#This Row],[Program]],'Program MW '!$A$35:$S$46,11,FALSE))</f>
        <v>10107</v>
      </c>
      <c r="H48" s="703">
        <f>IF(OR(BUReporting[[#This Row],[Period]]=1,OR(BUReporting[[#This Row],[Period]]=2,OR(BUReporting[[#This Row],[Period]]=3,OR(BUReporting[[#This Row],[Period]]=4,OR(BUReporting[[#This Row],[Period]]=5,BUReporting[[#This Row],[Period]]=6))))),VLOOKUP(BUReporting[[#This Row],[Program]],'Program MW '!$A$12:$S$23,12,FALSE),VLOOKUP(BUReporting[[#This Row],[Program]],'Program MW '!$A$35:$S$46,12,FALSE))</f>
        <v>0</v>
      </c>
    </row>
    <row r="49" spans="1:8" ht="15.5" thickTop="1" thickBot="1">
      <c r="A49" s="692">
        <v>8</v>
      </c>
      <c r="B49" s="690" t="s">
        <v>23</v>
      </c>
      <c r="C49" s="705" t="s">
        <v>22</v>
      </c>
      <c r="D49" s="690" t="s">
        <v>9</v>
      </c>
      <c r="E49" s="693">
        <v>4</v>
      </c>
      <c r="F49" s="702" t="s">
        <v>30</v>
      </c>
      <c r="G49" s="691">
        <f>IF(OR(BUReporting[[#This Row],[Period]]=1,OR(BUReporting[[#This Row],[Period]]=2,OR(BUReporting[[#This Row],[Period]]=3,OR(BUReporting[[#This Row],[Period]]=4,OR(BUReporting[[#This Row],[Period]]=5,BUReporting[[#This Row],[Period]]=6))))),VLOOKUP(BUReporting[[#This Row],[Program]],'Program MW '!$A$12:$S$23,11,FALSE),VLOOKUP(BUReporting[[#This Row],[Program]],'Program MW '!$A$35:$S$46,11,FALSE))</f>
        <v>3505</v>
      </c>
      <c r="H49" s="703">
        <f>IF(OR(BUReporting[[#This Row],[Period]]=1,OR(BUReporting[[#This Row],[Period]]=2,OR(BUReporting[[#This Row],[Period]]=3,OR(BUReporting[[#This Row],[Period]]=4,OR(BUReporting[[#This Row],[Period]]=5,BUReporting[[#This Row],[Period]]=6))))),VLOOKUP(BUReporting[[#This Row],[Program]],'Program MW '!$A$12:$S$23,12,FALSE),VLOOKUP(BUReporting[[#This Row],[Program]],'Program MW '!$A$35:$S$46,12,FALSE))</f>
        <v>0.34996024401999998</v>
      </c>
    </row>
    <row r="50" spans="1:8" ht="15.5" thickTop="1" thickBot="1">
      <c r="A50" s="692">
        <v>9</v>
      </c>
      <c r="B50" s="690" t="s">
        <v>24</v>
      </c>
      <c r="C50" s="705"/>
      <c r="D50" s="690" t="s">
        <v>9</v>
      </c>
      <c r="E50" s="693">
        <v>4</v>
      </c>
      <c r="F50" s="702" t="s">
        <v>30</v>
      </c>
      <c r="G50" s="691">
        <f>IF(OR(BUReporting[[#This Row],[Period]]=1,OR(BUReporting[[#This Row],[Period]]=2,OR(BUReporting[[#This Row],[Period]]=3,OR(BUReporting[[#This Row],[Period]]=4,OR(BUReporting[[#This Row],[Period]]=5,BUReporting[[#This Row],[Period]]=6))))),VLOOKUP(BUReporting[[#This Row],[Program]],'Program MW '!$A$12:$S$23,11,FALSE),VLOOKUP(BUReporting[[#This Row],[Program]],'Program MW '!$A$35:$S$46,11,FALSE))</f>
        <v>0</v>
      </c>
      <c r="H50" s="703">
        <f>IF(OR(BUReporting[[#This Row],[Period]]=1,OR(BUReporting[[#This Row],[Period]]=2,OR(BUReporting[[#This Row],[Period]]=3,OR(BUReporting[[#This Row],[Period]]=4,OR(BUReporting[[#This Row],[Period]]=5,BUReporting[[#This Row],[Period]]=6))))),VLOOKUP(BUReporting[[#This Row],[Program]],'Program MW '!$A$12:$S$23,12,FALSE),VLOOKUP(BUReporting[[#This Row],[Program]],'Program MW '!$A$35:$S$46,12,FALSE))</f>
        <v>0</v>
      </c>
    </row>
    <row r="51" spans="1:8" ht="15.5" thickTop="1" thickBot="1">
      <c r="A51" s="692">
        <v>10</v>
      </c>
      <c r="B51" s="690" t="s">
        <v>25</v>
      </c>
      <c r="C51" s="705"/>
      <c r="D51" s="690" t="s">
        <v>9</v>
      </c>
      <c r="E51" s="693">
        <v>4</v>
      </c>
      <c r="F51" s="702" t="s">
        <v>30</v>
      </c>
      <c r="G51" s="691">
        <f>IF(OR(BUReporting[[#This Row],[Period]]=1,OR(BUReporting[[#This Row],[Period]]=2,OR(BUReporting[[#This Row],[Period]]=3,OR(BUReporting[[#This Row],[Period]]=4,OR(BUReporting[[#This Row],[Period]]=5,BUReporting[[#This Row],[Period]]=6))))),VLOOKUP(BUReporting[[#This Row],[Program]],'Program MW '!$A$12:$S$23,11,FALSE),VLOOKUP(BUReporting[[#This Row],[Program]],'Program MW '!$A$35:$S$46,11,FALSE))</f>
        <v>0</v>
      </c>
      <c r="H51" s="703">
        <f>IF(OR(BUReporting[[#This Row],[Period]]=1,OR(BUReporting[[#This Row],[Period]]=2,OR(BUReporting[[#This Row],[Period]]=3,OR(BUReporting[[#This Row],[Period]]=4,OR(BUReporting[[#This Row],[Period]]=5,BUReporting[[#This Row],[Period]]=6))))),VLOOKUP(BUReporting[[#This Row],[Program]],'Program MW '!$A$12:$S$23,12,FALSE),VLOOKUP(BUReporting[[#This Row],[Program]],'Program MW '!$A$35:$S$46,12,FALSE))</f>
        <v>0</v>
      </c>
    </row>
    <row r="52" spans="1:8" ht="15.5" thickTop="1" thickBot="1">
      <c r="A52" s="692">
        <v>11</v>
      </c>
      <c r="B52" s="690" t="s">
        <v>26</v>
      </c>
      <c r="C52" s="705"/>
      <c r="D52" s="690" t="s">
        <v>9</v>
      </c>
      <c r="E52" s="693">
        <v>4</v>
      </c>
      <c r="F52" s="702" t="s">
        <v>30</v>
      </c>
      <c r="G52" s="691">
        <f>IF(OR(BUReporting[[#This Row],[Period]]=1,OR(BUReporting[[#This Row],[Period]]=2,OR(BUReporting[[#This Row],[Period]]=3,OR(BUReporting[[#This Row],[Period]]=4,OR(BUReporting[[#This Row],[Period]]=5,BUReporting[[#This Row],[Period]]=6))))),VLOOKUP(BUReporting[[#This Row],[Program]],'Program MW '!$A$12:$S$23,11,FALSE),VLOOKUP(BUReporting[[#This Row],[Program]],'Program MW '!$A$35:$S$46,11,FALSE))</f>
        <v>112813</v>
      </c>
      <c r="H52" s="703">
        <f>IF(OR(BUReporting[[#This Row],[Period]]=1,OR(BUReporting[[#This Row],[Period]]=2,OR(BUReporting[[#This Row],[Period]]=3,OR(BUReporting[[#This Row],[Period]]=4,OR(BUReporting[[#This Row],[Period]]=5,BUReporting[[#This Row],[Period]]=6))))),VLOOKUP(BUReporting[[#This Row],[Program]],'Program MW '!$A$12:$S$23,12,FALSE),VLOOKUP(BUReporting[[#This Row],[Program]],'Program MW '!$A$35:$S$46,12,FALSE))</f>
        <v>1.5241332127338307</v>
      </c>
    </row>
    <row r="53" spans="1:8" ht="13.5" thickTop="1" thickBot="1">
      <c r="A53" s="692">
        <v>12</v>
      </c>
      <c r="B53" s="690" t="s">
        <v>27</v>
      </c>
      <c r="C53" s="689"/>
      <c r="D53" s="690" t="s">
        <v>19</v>
      </c>
      <c r="E53" s="693">
        <v>4</v>
      </c>
      <c r="F53" s="702" t="s">
        <v>30</v>
      </c>
      <c r="G53" s="691">
        <f>IF(OR(BUReporting[[#This Row],[Period]]=1,OR(BUReporting[[#This Row],[Period]]=2,OR(BUReporting[[#This Row],[Period]]=3,OR(BUReporting[[#This Row],[Period]]=4,OR(BUReporting[[#This Row],[Period]]=5,BUReporting[[#This Row],[Period]]=6))))),VLOOKUP(BUReporting[[#This Row],[Program]],'Program MW '!$A$12:$S$23,11,FALSE),VLOOKUP(BUReporting[[#This Row],[Program]],'Program MW '!$A$35:$S$46,11,FALSE))</f>
        <v>11373</v>
      </c>
      <c r="H53" s="703">
        <f>IF(OR(BUReporting[[#This Row],[Period]]=1,OR(BUReporting[[#This Row],[Period]]=2,OR(BUReporting[[#This Row],[Period]]=3,OR(BUReporting[[#This Row],[Period]]=4,OR(BUReporting[[#This Row],[Period]]=5,BUReporting[[#This Row],[Period]]=6))))),VLOOKUP(BUReporting[[#This Row],[Program]],'Program MW '!$A$12:$S$23,12,FALSE),VLOOKUP(BUReporting[[#This Row],[Program]],'Program MW '!$A$35:$S$46,12,FALSE))</f>
        <v>0.41708317386545246</v>
      </c>
    </row>
    <row r="54" spans="1:8" ht="15.5" thickTop="1" thickBot="1">
      <c r="A54" s="704">
        <v>0</v>
      </c>
      <c r="B54" s="101" t="s">
        <v>8</v>
      </c>
      <c r="C54" s="705"/>
      <c r="D54" s="695" t="s">
        <v>9</v>
      </c>
      <c r="E54" s="700">
        <v>5</v>
      </c>
      <c r="F54" s="701" t="s">
        <v>31</v>
      </c>
      <c r="G54" s="691">
        <f>IF(OR(BUReporting[[#This Row],[Period]]=1,OR(BUReporting[[#This Row],[Period]]=2,OR(BUReporting[[#This Row],[Period]]=2,OR(BUReporting[[#This Row],[Period]]=4,OR(BUReporting[[#This Row],[Period]]=5,BUReporting[[#This Row],[Period]]=6))))),VLOOKUP(BUReporting[[#This Row],[Program]],'Program MW '!$A$9:$S$9,14,FALSE),VLOOKUP(BUReporting[[#This Row],[Program]],'Program MW '!$A$32:$S$32,14,FALSE))</f>
        <v>5</v>
      </c>
      <c r="H54" s="703">
        <f>IF(OR(BUReporting[[#This Row],[Period]]=1,OR(BUReporting[[#This Row],[Period]]=2,OR(BUReporting[[#This Row],[Period]]=3,OR(BUReporting[[#This Row],[Period]]=4,OR(BUReporting[[#This Row],[Period]]=5,BUReporting[[#This Row],[Period]]=6))))),VLOOKUP(BUReporting[[#This Row],[Program]],'Program MW '!$A$9:$S$9,15,FALSE),VLOOKUP(BUReporting[[#This Row],[Program]],'Program MW '!$A$32:$S$32,15,FALSE))</f>
        <v>0.80196355438232425</v>
      </c>
    </row>
    <row r="55" spans="1:8" ht="15.5" thickTop="1" thickBot="1">
      <c r="A55" s="692">
        <v>1</v>
      </c>
      <c r="B55" s="690" t="s">
        <v>11</v>
      </c>
      <c r="C55" s="705"/>
      <c r="D55" s="690" t="s">
        <v>9</v>
      </c>
      <c r="E55" s="693">
        <v>5</v>
      </c>
      <c r="F55" s="702" t="s">
        <v>31</v>
      </c>
      <c r="G55" s="691">
        <f>IF(OR(BUReporting[[#This Row],[Period]]=1,OR(BUReporting[[#This Row],[Period]]=2,OR(BUReporting[[#This Row],[Period]]=3,OR(BUReporting[[#This Row],[Period]]=4,OR(BUReporting[[#This Row],[Period]]=5,BUReporting[[#This Row],[Period]]=6))))),VLOOKUP(BUReporting[[#This Row],[Program]],'Program MW '!$A$12:$S$23,14,FALSE),VLOOKUP(BUReporting[[#This Row],[Program]],'Program MW '!$A$35:$S$46,14,FALSE))</f>
        <v>14662</v>
      </c>
      <c r="H55" s="703">
        <f>IF(OR(BUReporting[[#This Row],[Period]]=1,OR(BUReporting[[#This Row],[Period]]=2,OR(BUReporting[[#This Row],[Period]]=3,OR(BUReporting[[#This Row],[Period]]=4,OR(BUReporting[[#This Row],[Period]]=5,BUReporting[[#This Row],[Period]]=6))))),VLOOKUP(BUReporting[[#This Row],[Program]],'Program MW '!$A$12:$S$23,15,FALSE),VLOOKUP(BUReporting[[#This Row],[Program]],'Program MW '!$A$35:$S$46,15,FALSE))</f>
        <v>0.74176284156121441</v>
      </c>
    </row>
    <row r="56" spans="1:8" ht="15.5" thickTop="1" thickBot="1">
      <c r="A56" s="692">
        <v>2</v>
      </c>
      <c r="B56" s="690" t="s">
        <v>12</v>
      </c>
      <c r="C56" s="705" t="s">
        <v>13</v>
      </c>
      <c r="D56" s="690" t="s">
        <v>9</v>
      </c>
      <c r="E56" s="693">
        <v>5</v>
      </c>
      <c r="F56" s="702" t="s">
        <v>31</v>
      </c>
      <c r="G56" s="691">
        <f>IF(OR(BUReporting[[#This Row],[Period]]=1,OR(BUReporting[[#This Row],[Period]]=2,OR(BUReporting[[#This Row],[Period]]=3,OR(BUReporting[[#This Row],[Period]]=4,OR(BUReporting[[#This Row],[Period]]=5,BUReporting[[#This Row],[Period]]=6))))),VLOOKUP(BUReporting[[#This Row],[Program]],'Program MW '!$A$12:$S$23,14,FALSE),VLOOKUP(BUReporting[[#This Row],[Program]],'Program MW '!$A$35:$S$46,14,FALSE))</f>
        <v>0</v>
      </c>
      <c r="H56" s="703">
        <f>IF(OR(BUReporting[[#This Row],[Period]]=1,OR(BUReporting[[#This Row],[Period]]=2,OR(BUReporting[[#This Row],[Period]]=3,OR(BUReporting[[#This Row],[Period]]=4,OR(BUReporting[[#This Row],[Period]]=5,BUReporting[[#This Row],[Period]]=6))))),VLOOKUP(BUReporting[[#This Row],[Program]],'Program MW '!$A$12:$S$23,15,FALSE),VLOOKUP(BUReporting[[#This Row],[Program]],'Program MW '!$A$35:$S$46,15,FALSE))</f>
        <v>0</v>
      </c>
    </row>
    <row r="57" spans="1:8" ht="15.5" thickTop="1" thickBot="1">
      <c r="A57" s="692">
        <v>3</v>
      </c>
      <c r="B57" s="690" t="s">
        <v>14</v>
      </c>
      <c r="C57" s="705"/>
      <c r="D57" s="690" t="s">
        <v>9</v>
      </c>
      <c r="E57" s="693">
        <v>5</v>
      </c>
      <c r="F57" s="702" t="s">
        <v>31</v>
      </c>
      <c r="G57" s="691">
        <f>IF(OR(BUReporting[[#This Row],[Period]]=1,OR(BUReporting[[#This Row],[Period]]=2,OR(BUReporting[[#This Row],[Period]]=3,OR(BUReporting[[#This Row],[Period]]=4,OR(BUReporting[[#This Row],[Period]]=5,BUReporting[[#This Row],[Period]]=6))))),VLOOKUP(BUReporting[[#This Row],[Program]],'Program MW '!$A$12:$S$23,14,FALSE),VLOOKUP(BUReporting[[#This Row],[Program]],'Program MW '!$A$35:$S$46,14,FALSE))</f>
        <v>0</v>
      </c>
      <c r="H57" s="703">
        <f>IF(OR(BUReporting[[#This Row],[Period]]=1,OR(BUReporting[[#This Row],[Period]]=2,OR(BUReporting[[#This Row],[Period]]=3,OR(BUReporting[[#This Row],[Period]]=4,OR(BUReporting[[#This Row],[Period]]=5,BUReporting[[#This Row],[Period]]=6))))),VLOOKUP(BUReporting[[#This Row],[Program]],'Program MW '!$A$12:$S$23,15,FALSE),VLOOKUP(BUReporting[[#This Row],[Program]],'Program MW '!$A$35:$S$46,15,FALSE))</f>
        <v>0</v>
      </c>
    </row>
    <row r="58" spans="1:8" ht="15.5" thickTop="1" thickBot="1">
      <c r="A58" s="692">
        <v>4</v>
      </c>
      <c r="B58" s="690" t="s">
        <v>15</v>
      </c>
      <c r="C58" s="705" t="s">
        <v>16</v>
      </c>
      <c r="D58" s="690" t="s">
        <v>9</v>
      </c>
      <c r="E58" s="693">
        <v>5</v>
      </c>
      <c r="F58" s="702" t="s">
        <v>31</v>
      </c>
      <c r="G58" s="691">
        <f>IF(OR(BUReporting[[#This Row],[Period]]=1,OR(BUReporting[[#This Row],[Period]]=2,OR(BUReporting[[#This Row],[Period]]=3,OR(BUReporting[[#This Row],[Period]]=4,OR(BUReporting[[#This Row],[Period]]=5,BUReporting[[#This Row],[Period]]=6))))),VLOOKUP(BUReporting[[#This Row],[Program]],'Program MW '!$A$12:$S$23,14,FALSE),VLOOKUP(BUReporting[[#This Row],[Program]],'Program MW '!$A$35:$S$46,14,FALSE))</f>
        <v>0</v>
      </c>
      <c r="H58" s="703">
        <f>IF(OR(BUReporting[[#This Row],[Period]]=1,OR(BUReporting[[#This Row],[Period]]=2,OR(BUReporting[[#This Row],[Period]]=3,OR(BUReporting[[#This Row],[Period]]=4,OR(BUReporting[[#This Row],[Period]]=5,BUReporting[[#This Row],[Period]]=6))))),VLOOKUP(BUReporting[[#This Row],[Program]],'Program MW '!$A$12:$S$23,15,FALSE),VLOOKUP(BUReporting[[#This Row],[Program]],'Program MW '!$A$35:$S$46,15,FALSE))</f>
        <v>0</v>
      </c>
    </row>
    <row r="59" spans="1:8" ht="15.5" thickTop="1" thickBot="1">
      <c r="A59" s="692">
        <v>5</v>
      </c>
      <c r="B59" s="690" t="s">
        <v>17</v>
      </c>
      <c r="C59" s="705" t="s">
        <v>18</v>
      </c>
      <c r="D59" s="690" t="s">
        <v>19</v>
      </c>
      <c r="E59" s="693">
        <v>5</v>
      </c>
      <c r="F59" s="702" t="s">
        <v>31</v>
      </c>
      <c r="G59" s="691">
        <f>IF(OR(BUReporting[[#This Row],[Period]]=1,OR(BUReporting[[#This Row],[Period]]=2,OR(BUReporting[[#This Row],[Period]]=3,OR(BUReporting[[#This Row],[Period]]=4,OR(BUReporting[[#This Row],[Period]]=5,BUReporting[[#This Row],[Period]]=6))))),VLOOKUP(BUReporting[[#This Row],[Program]],'Program MW '!$A$12:$S$23,14,FALSE),VLOOKUP(BUReporting[[#This Row],[Program]],'Program MW '!$A$35:$S$46,14,FALSE))</f>
        <v>17408</v>
      </c>
      <c r="H59" s="703">
        <f>IF(OR(BUReporting[[#This Row],[Period]]=1,OR(BUReporting[[#This Row],[Period]]=2,OR(BUReporting[[#This Row],[Period]]=3,OR(BUReporting[[#This Row],[Period]]=4,OR(BUReporting[[#This Row],[Period]]=5,BUReporting[[#This Row],[Period]]=6))))),VLOOKUP(BUReporting[[#This Row],[Program]],'Program MW '!$A$12:$S$23,15,FALSE),VLOOKUP(BUReporting[[#This Row],[Program]],'Program MW '!$A$35:$S$46,15,FALSE))</f>
        <v>2.7675933089497158</v>
      </c>
    </row>
    <row r="60" spans="1:8" ht="15.5" thickTop="1" thickBot="1">
      <c r="A60" s="692">
        <v>6</v>
      </c>
      <c r="B60" s="690" t="s">
        <v>20</v>
      </c>
      <c r="C60" s="705" t="s">
        <v>18</v>
      </c>
      <c r="D60" s="690" t="s">
        <v>9</v>
      </c>
      <c r="E60" s="693">
        <v>5</v>
      </c>
      <c r="F60" s="702" t="s">
        <v>31</v>
      </c>
      <c r="G60" s="691">
        <f>IF(OR(BUReporting[[#This Row],[Period]]=1,OR(BUReporting[[#This Row],[Period]]=2,OR(BUReporting[[#This Row],[Period]]=3,OR(BUReporting[[#This Row],[Period]]=4,OR(BUReporting[[#This Row],[Period]]=5,BUReporting[[#This Row],[Period]]=6))))),VLOOKUP(BUReporting[[#This Row],[Program]],'Program MW '!$A$12:$S$23,14,FALSE),VLOOKUP(BUReporting[[#This Row],[Program]],'Program MW '!$A$35:$S$46,14,FALSE))</f>
        <v>1570</v>
      </c>
      <c r="H60" s="703">
        <f>IF(OR(BUReporting[[#This Row],[Period]]=1,OR(BUReporting[[#This Row],[Period]]=2,OR(BUReporting[[#This Row],[Period]]=3,OR(BUReporting[[#This Row],[Period]]=4,OR(BUReporting[[#This Row],[Period]]=5,BUReporting[[#This Row],[Period]]=6))))),VLOOKUP(BUReporting[[#This Row],[Program]],'Program MW '!$A$12:$S$23,15,FALSE),VLOOKUP(BUReporting[[#This Row],[Program]],'Program MW '!$A$35:$S$46,15,FALSE))</f>
        <v>0.50066376281603642</v>
      </c>
    </row>
    <row r="61" spans="1:8" ht="15.5" thickTop="1" thickBot="1">
      <c r="A61" s="692">
        <v>7</v>
      </c>
      <c r="B61" s="690" t="s">
        <v>21</v>
      </c>
      <c r="C61" s="705" t="s">
        <v>22</v>
      </c>
      <c r="D61" s="690" t="s">
        <v>19</v>
      </c>
      <c r="E61" s="693">
        <v>5</v>
      </c>
      <c r="F61" s="702" t="s">
        <v>31</v>
      </c>
      <c r="G61" s="691">
        <f>IF(OR(BUReporting[[#This Row],[Period]]=1,OR(BUReporting[[#This Row],[Period]]=2,OR(BUReporting[[#This Row],[Period]]=3,OR(BUReporting[[#This Row],[Period]]=4,OR(BUReporting[[#This Row],[Period]]=5,BUReporting[[#This Row],[Period]]=6))))),VLOOKUP(BUReporting[[#This Row],[Program]],'Program MW '!$A$12:$S$23,14,FALSE),VLOOKUP(BUReporting[[#This Row],[Program]],'Program MW '!$A$35:$S$46,14,FALSE))</f>
        <v>9479</v>
      </c>
      <c r="H61" s="703">
        <f>IF(OR(BUReporting[[#This Row],[Period]]=1,OR(BUReporting[[#This Row],[Period]]=2,OR(BUReporting[[#This Row],[Period]]=3,OR(BUReporting[[#This Row],[Period]]=4,OR(BUReporting[[#This Row],[Period]]=5,BUReporting[[#This Row],[Period]]=6))))),VLOOKUP(BUReporting[[#This Row],[Program]],'Program MW '!$A$12:$S$23,15,FALSE),VLOOKUP(BUReporting[[#This Row],[Program]],'Program MW '!$A$35:$S$46,15,FALSE))</f>
        <v>0.64240917657000007</v>
      </c>
    </row>
    <row r="62" spans="1:8" ht="15.5" thickTop="1" thickBot="1">
      <c r="A62" s="692">
        <v>8</v>
      </c>
      <c r="B62" s="690" t="s">
        <v>23</v>
      </c>
      <c r="C62" s="705" t="s">
        <v>22</v>
      </c>
      <c r="D62" s="690" t="s">
        <v>9</v>
      </c>
      <c r="E62" s="693">
        <v>5</v>
      </c>
      <c r="F62" s="702" t="s">
        <v>31</v>
      </c>
      <c r="G62" s="691">
        <f>IF(OR(BUReporting[[#This Row],[Period]]=1,OR(BUReporting[[#This Row],[Period]]=2,OR(BUReporting[[#This Row],[Period]]=3,OR(BUReporting[[#This Row],[Period]]=4,OR(BUReporting[[#This Row],[Period]]=5,BUReporting[[#This Row],[Period]]=6))))),VLOOKUP(BUReporting[[#This Row],[Program]],'Program MW '!$A$12:$S$23,14,FALSE),VLOOKUP(BUReporting[[#This Row],[Program]],'Program MW '!$A$35:$S$46,14,FALSE))</f>
        <v>3457</v>
      </c>
      <c r="H62" s="703">
        <f>IF(OR(BUReporting[[#This Row],[Period]]=1,OR(BUReporting[[#This Row],[Period]]=2,OR(BUReporting[[#This Row],[Period]]=3,OR(BUReporting[[#This Row],[Period]]=4,OR(BUReporting[[#This Row],[Period]]=5,BUReporting[[#This Row],[Period]]=6))))),VLOOKUP(BUReporting[[#This Row],[Program]],'Program MW '!$A$12:$S$23,15,FALSE),VLOOKUP(BUReporting[[#This Row],[Program]],'Program MW '!$A$35:$S$46,15,FALSE))</f>
        <v>0.45185911856399991</v>
      </c>
    </row>
    <row r="63" spans="1:8" ht="15.5" thickTop="1" thickBot="1">
      <c r="A63" s="692">
        <v>9</v>
      </c>
      <c r="B63" s="690" t="s">
        <v>24</v>
      </c>
      <c r="C63" s="705"/>
      <c r="D63" s="690" t="s">
        <v>9</v>
      </c>
      <c r="E63" s="693">
        <v>5</v>
      </c>
      <c r="F63" s="702" t="s">
        <v>31</v>
      </c>
      <c r="G63" s="691">
        <f>IF(OR(BUReporting[[#This Row],[Period]]=1,OR(BUReporting[[#This Row],[Period]]=2,OR(BUReporting[[#This Row],[Period]]=3,OR(BUReporting[[#This Row],[Period]]=4,OR(BUReporting[[#This Row],[Period]]=5,BUReporting[[#This Row],[Period]]=6))))),VLOOKUP(BUReporting[[#This Row],[Program]],'Program MW '!$A$12:$S$23,14,FALSE),VLOOKUP(BUReporting[[#This Row],[Program]],'Program MW '!$A$35:$S$46,14,FALSE))</f>
        <v>11</v>
      </c>
      <c r="H63" s="703">
        <f>IF(OR(BUReporting[[#This Row],[Period]]=1,OR(BUReporting[[#This Row],[Period]]=2,OR(BUReporting[[#This Row],[Period]]=3,OR(BUReporting[[#This Row],[Period]]=4,OR(BUReporting[[#This Row],[Period]]=5,BUReporting[[#This Row],[Period]]=6))))),VLOOKUP(BUReporting[[#This Row],[Program]],'Program MW '!$A$12:$S$23,15,FALSE),VLOOKUP(BUReporting[[#This Row],[Program]],'Program MW '!$A$35:$S$46,15,FALSE))</f>
        <v>3.0750665000000003E-2</v>
      </c>
    </row>
    <row r="64" spans="1:8" ht="15.5" thickTop="1" thickBot="1">
      <c r="A64" s="692">
        <v>10</v>
      </c>
      <c r="B64" s="690" t="s">
        <v>25</v>
      </c>
      <c r="C64" s="705"/>
      <c r="D64" s="690" t="s">
        <v>9</v>
      </c>
      <c r="E64" s="693">
        <v>5</v>
      </c>
      <c r="F64" s="702" t="s">
        <v>31</v>
      </c>
      <c r="G64" s="691">
        <f>IF(OR(BUReporting[[#This Row],[Period]]=1,OR(BUReporting[[#This Row],[Period]]=2,OR(BUReporting[[#This Row],[Period]]=3,OR(BUReporting[[#This Row],[Period]]=4,OR(BUReporting[[#This Row],[Period]]=5,BUReporting[[#This Row],[Period]]=6))))),VLOOKUP(BUReporting[[#This Row],[Program]],'Program MW '!$A$12:$S$23,14,FALSE),VLOOKUP(BUReporting[[#This Row],[Program]],'Program MW '!$A$35:$S$46,14,FALSE))</f>
        <v>185</v>
      </c>
      <c r="H64" s="703">
        <f>IF(OR(BUReporting[[#This Row],[Period]]=1,OR(BUReporting[[#This Row],[Period]]=2,OR(BUReporting[[#This Row],[Period]]=3,OR(BUReporting[[#This Row],[Period]]=4,OR(BUReporting[[#This Row],[Period]]=5,BUReporting[[#This Row],[Period]]=6))))),VLOOKUP(BUReporting[[#This Row],[Program]],'Program MW '!$A$12:$S$23,15,FALSE),VLOOKUP(BUReporting[[#This Row],[Program]],'Program MW '!$A$35:$S$46,15,FALSE))</f>
        <v>2.5718449139999997</v>
      </c>
    </row>
    <row r="65" spans="1:8" ht="15.5" thickTop="1" thickBot="1">
      <c r="A65" s="692">
        <v>11</v>
      </c>
      <c r="B65" s="690" t="s">
        <v>26</v>
      </c>
      <c r="C65" s="705"/>
      <c r="D65" s="690" t="s">
        <v>9</v>
      </c>
      <c r="E65" s="693">
        <v>5</v>
      </c>
      <c r="F65" s="702" t="s">
        <v>31</v>
      </c>
      <c r="G65" s="691">
        <f>IF(OR(BUReporting[[#This Row],[Period]]=1,OR(BUReporting[[#This Row],[Period]]=2,OR(BUReporting[[#This Row],[Period]]=3,OR(BUReporting[[#This Row],[Period]]=4,OR(BUReporting[[#This Row],[Period]]=5,BUReporting[[#This Row],[Period]]=6))))),VLOOKUP(BUReporting[[#This Row],[Program]],'Program MW '!$A$12:$S$23,14,FALSE),VLOOKUP(BUReporting[[#This Row],[Program]],'Program MW '!$A$35:$S$46,14,FALSE))</f>
        <v>112626</v>
      </c>
      <c r="H65" s="703">
        <f>IF(OR(BUReporting[[#This Row],[Period]]=1,OR(BUReporting[[#This Row],[Period]]=2,OR(BUReporting[[#This Row],[Period]]=3,OR(BUReporting[[#This Row],[Period]]=4,OR(BUReporting[[#This Row],[Period]]=5,BUReporting[[#This Row],[Period]]=6))))),VLOOKUP(BUReporting[[#This Row],[Program]],'Program MW '!$A$12:$S$23,15,FALSE),VLOOKUP(BUReporting[[#This Row],[Program]],'Program MW '!$A$35:$S$46,15,FALSE))</f>
        <v>1.6670473909731174</v>
      </c>
    </row>
    <row r="66" spans="1:8" ht="13.5" thickTop="1" thickBot="1">
      <c r="A66" s="692">
        <v>12</v>
      </c>
      <c r="B66" s="690" t="s">
        <v>27</v>
      </c>
      <c r="C66" s="689"/>
      <c r="D66" s="690" t="s">
        <v>19</v>
      </c>
      <c r="E66" s="693">
        <v>5</v>
      </c>
      <c r="F66" s="702" t="s">
        <v>31</v>
      </c>
      <c r="G66" s="691">
        <f>IF(OR(BUReporting[[#This Row],[Period]]=1,OR(BUReporting[[#This Row],[Period]]=2,OR(BUReporting[[#This Row],[Period]]=3,OR(BUReporting[[#This Row],[Period]]=4,OR(BUReporting[[#This Row],[Period]]=5,BUReporting[[#This Row],[Period]]=6))))),VLOOKUP(BUReporting[[#This Row],[Program]],'Program MW '!$A$12:$S$23,14,FALSE),VLOOKUP(BUReporting[[#This Row],[Program]],'Program MW '!$A$35:$S$46,14,FALSE))</f>
        <v>12300</v>
      </c>
      <c r="H66" s="703">
        <f>IF(OR(BUReporting[[#This Row],[Period]]=1,OR(BUReporting[[#This Row],[Period]]=2,OR(BUReporting[[#This Row],[Period]]=3,OR(BUReporting[[#This Row],[Period]]=4,OR(BUReporting[[#This Row],[Period]]=5,BUReporting[[#This Row],[Period]]=6))))),VLOOKUP(BUReporting[[#This Row],[Program]],'Program MW '!$A$12:$S$23,15,FALSE),VLOOKUP(BUReporting[[#This Row],[Program]],'Program MW '!$A$35:$S$46,15,FALSE))</f>
        <v>0.51349497858434912</v>
      </c>
    </row>
    <row r="67" spans="1:8" ht="15.5" thickTop="1" thickBot="1">
      <c r="A67" s="704">
        <v>0</v>
      </c>
      <c r="B67" s="101" t="s">
        <v>8</v>
      </c>
      <c r="C67" s="705"/>
      <c r="D67" s="695" t="s">
        <v>9</v>
      </c>
      <c r="E67" s="700">
        <v>6</v>
      </c>
      <c r="F67" s="701" t="s">
        <v>32</v>
      </c>
      <c r="G67" s="691">
        <f>IF(OR(BUReporting[[#This Row],[Period]]=1,OR(BUReporting[[#This Row],[Period]]=2,OR(BUReporting[[#This Row],[Period]]=2,OR(BUReporting[[#This Row],[Period]]=4,OR(BUReporting[[#This Row],[Period]]=5,BUReporting[[#This Row],[Period]]=6))))),VLOOKUP(BUReporting[[#This Row],[Program]],'Program MW '!$A$9:$S$9,17,FALSE),VLOOKUP(BUReporting[[#This Row],[Program]],'Program MW '!$A$32:$S$32,17,FALSE))</f>
        <v>5</v>
      </c>
      <c r="H67" s="703">
        <f>IF(OR(BUReporting[[#This Row],[Period]]=1,OR(BUReporting[[#This Row],[Period]]=2,OR(BUReporting[[#This Row],[Period]]=3,OR(BUReporting[[#This Row],[Period]]=4,OR(BUReporting[[#This Row],[Period]]=5,BUReporting[[#This Row],[Period]]=6))))),VLOOKUP(BUReporting[[#This Row],[Program]],'Program MW '!$A$9:$S$9,18,FALSE),VLOOKUP(BUReporting[[#This Row],[Program]],'Program MW '!$A$32:$S$32,18,FALSE))</f>
        <v>0.72158874511718751</v>
      </c>
    </row>
    <row r="68" spans="1:8" ht="15.5" thickTop="1" thickBot="1">
      <c r="A68" s="692">
        <v>1</v>
      </c>
      <c r="B68" s="690" t="s">
        <v>11</v>
      </c>
      <c r="C68" s="705"/>
      <c r="D68" s="690" t="s">
        <v>9</v>
      </c>
      <c r="E68" s="693">
        <v>6</v>
      </c>
      <c r="F68" s="702" t="s">
        <v>32</v>
      </c>
      <c r="G68" s="691">
        <f>IF(OR(BUReporting[[#This Row],[Period]]=1,OR(BUReporting[[#This Row],[Period]]=2,OR(BUReporting[[#This Row],[Period]]=3,OR(BUReporting[[#This Row],[Period]]=4,OR(BUReporting[[#This Row],[Period]]=5,BUReporting[[#This Row],[Period]]=6))))),VLOOKUP(BUReporting[[#This Row],[Program]],'Program MW '!$A$12:$S$23,17,FALSE),VLOOKUP(BUReporting[[#This Row],[Program]],'Program MW '!$A$35:$S$46,17,FALSE))</f>
        <v>14663</v>
      </c>
      <c r="H68" s="703">
        <f>IF(OR(BUReporting[[#This Row],[Period]]=1,OR(BUReporting[[#This Row],[Period]]=2,OR(BUReporting[[#This Row],[Period]]=3,OR(BUReporting[[#This Row],[Period]]=4,OR(BUReporting[[#This Row],[Period]]=5,BUReporting[[#This Row],[Period]]=6))))),VLOOKUP(BUReporting[[#This Row],[Program]],'Program MW '!$A$12:$S$23,18,FALSE),VLOOKUP(BUReporting[[#This Row],[Program]],'Program MW '!$A$35:$S$46,18,FALSE))</f>
        <v>0</v>
      </c>
    </row>
    <row r="69" spans="1:8" ht="15.5" thickTop="1" thickBot="1">
      <c r="A69" s="692">
        <v>2</v>
      </c>
      <c r="B69" s="690" t="s">
        <v>12</v>
      </c>
      <c r="C69" s="705" t="s">
        <v>13</v>
      </c>
      <c r="D69" s="690" t="s">
        <v>9</v>
      </c>
      <c r="E69" s="693">
        <v>6</v>
      </c>
      <c r="F69" s="702" t="s">
        <v>32</v>
      </c>
      <c r="G69" s="691">
        <f>IF(OR(BUReporting[[#This Row],[Period]]=1,OR(BUReporting[[#This Row],[Period]]=2,OR(BUReporting[[#This Row],[Period]]=3,OR(BUReporting[[#This Row],[Period]]=4,OR(BUReporting[[#This Row],[Period]]=5,BUReporting[[#This Row],[Period]]=6))))),VLOOKUP(BUReporting[[#This Row],[Program]],'Program MW '!$A$12:$S$23,17,FALSE),VLOOKUP(BUReporting[[#This Row],[Program]],'Program MW '!$A$35:$S$46,17,FALSE))</f>
        <v>0</v>
      </c>
      <c r="H69" s="703">
        <f>IF(OR(BUReporting[[#This Row],[Period]]=1,OR(BUReporting[[#This Row],[Period]]=2,OR(BUReporting[[#This Row],[Period]]=3,OR(BUReporting[[#This Row],[Period]]=4,OR(BUReporting[[#This Row],[Period]]=5,BUReporting[[#This Row],[Period]]=6))))),VLOOKUP(BUReporting[[#This Row],[Program]],'Program MW '!$A$12:$S$23,18,FALSE),VLOOKUP(BUReporting[[#This Row],[Program]],'Program MW '!$A$35:$S$46,18,FALSE))</f>
        <v>0</v>
      </c>
    </row>
    <row r="70" spans="1:8" ht="15.5" thickTop="1" thickBot="1">
      <c r="A70" s="692">
        <v>3</v>
      </c>
      <c r="B70" s="690" t="s">
        <v>14</v>
      </c>
      <c r="C70" s="705"/>
      <c r="D70" s="690" t="s">
        <v>9</v>
      </c>
      <c r="E70" s="693">
        <v>6</v>
      </c>
      <c r="F70" s="702" t="s">
        <v>32</v>
      </c>
      <c r="G70" s="691">
        <f>IF(OR(BUReporting[[#This Row],[Period]]=1,OR(BUReporting[[#This Row],[Period]]=2,OR(BUReporting[[#This Row],[Period]]=3,OR(BUReporting[[#This Row],[Period]]=4,OR(BUReporting[[#This Row],[Period]]=5,BUReporting[[#This Row],[Period]]=6))))),VLOOKUP(BUReporting[[#This Row],[Program]],'Program MW '!$A$12:$S$23,17,FALSE),VLOOKUP(BUReporting[[#This Row],[Program]],'Program MW '!$A$35:$S$46,17,FALSE))</f>
        <v>1</v>
      </c>
      <c r="H70" s="703">
        <f>IF(OR(BUReporting[[#This Row],[Period]]=1,OR(BUReporting[[#This Row],[Period]]=2,OR(BUReporting[[#This Row],[Period]]=3,OR(BUReporting[[#This Row],[Period]]=4,OR(BUReporting[[#This Row],[Period]]=5,BUReporting[[#This Row],[Period]]=6))))),VLOOKUP(BUReporting[[#This Row],[Program]],'Program MW '!$A$12:$S$23,18,FALSE),VLOOKUP(BUReporting[[#This Row],[Program]],'Program MW '!$A$35:$S$46,18,FALSE))</f>
        <v>0</v>
      </c>
    </row>
    <row r="71" spans="1:8" ht="15.5" thickTop="1" thickBot="1">
      <c r="A71" s="692">
        <v>4</v>
      </c>
      <c r="B71" s="690" t="s">
        <v>15</v>
      </c>
      <c r="C71" s="705" t="s">
        <v>16</v>
      </c>
      <c r="D71" s="690" t="s">
        <v>9</v>
      </c>
      <c r="E71" s="693">
        <v>6</v>
      </c>
      <c r="F71" s="702" t="s">
        <v>32</v>
      </c>
      <c r="G71" s="691">
        <f>IF(OR(BUReporting[[#This Row],[Period]]=1,OR(BUReporting[[#This Row],[Period]]=2,OR(BUReporting[[#This Row],[Period]]=3,OR(BUReporting[[#This Row],[Period]]=4,OR(BUReporting[[#This Row],[Period]]=5,BUReporting[[#This Row],[Period]]=6))))),VLOOKUP(BUReporting[[#This Row],[Program]],'Program MW '!$A$12:$S$23,17,FALSE),VLOOKUP(BUReporting[[#This Row],[Program]],'Program MW '!$A$35:$S$46,17,FALSE))</f>
        <v>0</v>
      </c>
      <c r="H71" s="703">
        <f>IF(OR(BUReporting[[#This Row],[Period]]=1,OR(BUReporting[[#This Row],[Period]]=2,OR(BUReporting[[#This Row],[Period]]=3,OR(BUReporting[[#This Row],[Period]]=4,OR(BUReporting[[#This Row],[Period]]=5,BUReporting[[#This Row],[Period]]=6))))),VLOOKUP(BUReporting[[#This Row],[Program]],'Program MW '!$A$12:$S$23,18,FALSE),VLOOKUP(BUReporting[[#This Row],[Program]],'Program MW '!$A$35:$S$46,18,FALSE))</f>
        <v>0</v>
      </c>
    </row>
    <row r="72" spans="1:8" ht="15.5" thickTop="1" thickBot="1">
      <c r="A72" s="692">
        <v>5</v>
      </c>
      <c r="B72" s="690" t="s">
        <v>17</v>
      </c>
      <c r="C72" s="705" t="s">
        <v>18</v>
      </c>
      <c r="D72" s="690" t="s">
        <v>19</v>
      </c>
      <c r="E72" s="693">
        <v>6</v>
      </c>
      <c r="F72" s="702" t="s">
        <v>32</v>
      </c>
      <c r="G72" s="691">
        <f>IF(OR(BUReporting[[#This Row],[Period]]=1,OR(BUReporting[[#This Row],[Period]]=2,OR(BUReporting[[#This Row],[Period]]=3,OR(BUReporting[[#This Row],[Period]]=4,OR(BUReporting[[#This Row],[Period]]=5,BUReporting[[#This Row],[Period]]=6))))),VLOOKUP(BUReporting[[#This Row],[Program]],'Program MW '!$A$12:$S$23,17,FALSE),VLOOKUP(BUReporting[[#This Row],[Program]],'Program MW '!$A$35:$S$46,17,FALSE))</f>
        <v>17804</v>
      </c>
      <c r="H72" s="703">
        <f>IF(OR(BUReporting[[#This Row],[Period]]=1,OR(BUReporting[[#This Row],[Period]]=2,OR(BUReporting[[#This Row],[Period]]=3,OR(BUReporting[[#This Row],[Period]]=4,OR(BUReporting[[#This Row],[Period]]=5,BUReporting[[#This Row],[Period]]=6))))),VLOOKUP(BUReporting[[#This Row],[Program]],'Program MW '!$A$12:$S$23,18,FALSE),VLOOKUP(BUReporting[[#This Row],[Program]],'Program MW '!$A$35:$S$46,18,FALSE))</f>
        <v>2.7454775762541388</v>
      </c>
    </row>
    <row r="73" spans="1:8" ht="15.5" thickTop="1" thickBot="1">
      <c r="A73" s="692">
        <v>6</v>
      </c>
      <c r="B73" s="690" t="s">
        <v>20</v>
      </c>
      <c r="C73" s="705" t="s">
        <v>18</v>
      </c>
      <c r="D73" s="690" t="s">
        <v>9</v>
      </c>
      <c r="E73" s="693">
        <v>6</v>
      </c>
      <c r="F73" s="702" t="s">
        <v>32</v>
      </c>
      <c r="G73" s="691">
        <f>IF(OR(BUReporting[[#This Row],[Period]]=1,OR(BUReporting[[#This Row],[Period]]=2,OR(BUReporting[[#This Row],[Period]]=3,OR(BUReporting[[#This Row],[Period]]=4,OR(BUReporting[[#This Row],[Period]]=5,BUReporting[[#This Row],[Period]]=6))))),VLOOKUP(BUReporting[[#This Row],[Program]],'Program MW '!$A$12:$S$23,17,FALSE),VLOOKUP(BUReporting[[#This Row],[Program]],'Program MW '!$A$35:$S$46,17,FALSE))</f>
        <v>1582</v>
      </c>
      <c r="H73" s="703">
        <f>IF(OR(BUReporting[[#This Row],[Period]]=1,OR(BUReporting[[#This Row],[Period]]=2,OR(BUReporting[[#This Row],[Period]]=3,OR(BUReporting[[#This Row],[Period]]=4,OR(BUReporting[[#This Row],[Period]]=5,BUReporting[[#This Row],[Period]]=6))))),VLOOKUP(BUReporting[[#This Row],[Program]],'Program MW '!$A$12:$S$23,18,FALSE),VLOOKUP(BUReporting[[#This Row],[Program]],'Program MW '!$A$35:$S$46,18,FALSE))</f>
        <v>0.43335979005094349</v>
      </c>
    </row>
    <row r="74" spans="1:8" ht="15.5" thickTop="1" thickBot="1">
      <c r="A74" s="692">
        <v>7</v>
      </c>
      <c r="B74" s="690" t="s">
        <v>21</v>
      </c>
      <c r="C74" s="705" t="s">
        <v>22</v>
      </c>
      <c r="D74" s="690" t="s">
        <v>19</v>
      </c>
      <c r="E74" s="693">
        <v>6</v>
      </c>
      <c r="F74" s="702" t="s">
        <v>32</v>
      </c>
      <c r="G74" s="691">
        <f>IF(OR(BUReporting[[#This Row],[Period]]=1,OR(BUReporting[[#This Row],[Period]]=2,OR(BUReporting[[#This Row],[Period]]=3,OR(BUReporting[[#This Row],[Period]]=4,OR(BUReporting[[#This Row],[Period]]=5,BUReporting[[#This Row],[Period]]=6))))),VLOOKUP(BUReporting[[#This Row],[Program]],'Program MW '!$A$12:$S$23,17,FALSE),VLOOKUP(BUReporting[[#This Row],[Program]],'Program MW '!$A$35:$S$46,17,FALSE))</f>
        <v>9386</v>
      </c>
      <c r="H74" s="703">
        <f>IF(OR(BUReporting[[#This Row],[Period]]=1,OR(BUReporting[[#This Row],[Period]]=2,OR(BUReporting[[#This Row],[Period]]=3,OR(BUReporting[[#This Row],[Period]]=4,OR(BUReporting[[#This Row],[Period]]=5,BUReporting[[#This Row],[Period]]=6))))),VLOOKUP(BUReporting[[#This Row],[Program]],'Program MW '!$A$12:$S$23,18,FALSE),VLOOKUP(BUReporting[[#This Row],[Program]],'Program MW '!$A$35:$S$46,18,FALSE))</f>
        <v>0.13590591981200001</v>
      </c>
    </row>
    <row r="75" spans="1:8" ht="15.5" thickTop="1" thickBot="1">
      <c r="A75" s="692">
        <v>8</v>
      </c>
      <c r="B75" s="690" t="s">
        <v>23</v>
      </c>
      <c r="C75" s="705" t="s">
        <v>22</v>
      </c>
      <c r="D75" s="690" t="s">
        <v>9</v>
      </c>
      <c r="E75" s="693">
        <v>6</v>
      </c>
      <c r="F75" s="702" t="s">
        <v>32</v>
      </c>
      <c r="G75" s="691">
        <f>IF(OR(BUReporting[[#This Row],[Period]]=1,OR(BUReporting[[#This Row],[Period]]=2,OR(BUReporting[[#This Row],[Period]]=3,OR(BUReporting[[#This Row],[Period]]=4,OR(BUReporting[[#This Row],[Period]]=5,BUReporting[[#This Row],[Period]]=6))))),VLOOKUP(BUReporting[[#This Row],[Program]],'Program MW '!$A$12:$S$23,17,FALSE),VLOOKUP(BUReporting[[#This Row],[Program]],'Program MW '!$A$35:$S$46,17,FALSE))</f>
        <v>3460</v>
      </c>
      <c r="H75" s="703">
        <f>IF(OR(BUReporting[[#This Row],[Period]]=1,OR(BUReporting[[#This Row],[Period]]=2,OR(BUReporting[[#This Row],[Period]]=3,OR(BUReporting[[#This Row],[Period]]=4,OR(BUReporting[[#This Row],[Period]]=5,BUReporting[[#This Row],[Period]]=6))))),VLOOKUP(BUReporting[[#This Row],[Program]],'Program MW '!$A$12:$S$23,18,FALSE),VLOOKUP(BUReporting[[#This Row],[Program]],'Program MW '!$A$35:$S$46,18,FALSE))</f>
        <v>0.36572365388</v>
      </c>
    </row>
    <row r="76" spans="1:8" ht="15.5" thickTop="1" thickBot="1">
      <c r="A76" s="692">
        <v>9</v>
      </c>
      <c r="B76" s="690" t="s">
        <v>24</v>
      </c>
      <c r="C76" s="705"/>
      <c r="D76" s="690" t="s">
        <v>9</v>
      </c>
      <c r="E76" s="693">
        <v>6</v>
      </c>
      <c r="F76" s="702" t="s">
        <v>32</v>
      </c>
      <c r="G76" s="691">
        <f>IF(OR(BUReporting[[#This Row],[Period]]=1,OR(BUReporting[[#This Row],[Period]]=2,OR(BUReporting[[#This Row],[Period]]=3,OR(BUReporting[[#This Row],[Period]]=4,OR(BUReporting[[#This Row],[Period]]=5,BUReporting[[#This Row],[Period]]=6))))),VLOOKUP(BUReporting[[#This Row],[Program]],'Program MW '!$A$12:$S$23,17,FALSE),VLOOKUP(BUReporting[[#This Row],[Program]],'Program MW '!$A$35:$S$46,17,FALSE))</f>
        <v>11</v>
      </c>
      <c r="H76" s="703">
        <f>IF(OR(BUReporting[[#This Row],[Period]]=1,OR(BUReporting[[#This Row],[Period]]=2,OR(BUReporting[[#This Row],[Period]]=3,OR(BUReporting[[#This Row],[Period]]=4,OR(BUReporting[[#This Row],[Period]]=5,BUReporting[[#This Row],[Period]]=6))))),VLOOKUP(BUReporting[[#This Row],[Program]],'Program MW '!$A$12:$S$23,18,FALSE),VLOOKUP(BUReporting[[#This Row],[Program]],'Program MW '!$A$35:$S$46,18,FALSE))</f>
        <v>3.0750665000000003E-2</v>
      </c>
    </row>
    <row r="77" spans="1:8" ht="15.5" thickTop="1" thickBot="1">
      <c r="A77" s="692">
        <v>10</v>
      </c>
      <c r="B77" s="690" t="s">
        <v>25</v>
      </c>
      <c r="C77" s="705"/>
      <c r="D77" s="690" t="s">
        <v>9</v>
      </c>
      <c r="E77" s="693">
        <v>6</v>
      </c>
      <c r="F77" s="702" t="s">
        <v>32</v>
      </c>
      <c r="G77" s="691">
        <f>IF(OR(BUReporting[[#This Row],[Period]]=1,OR(BUReporting[[#This Row],[Period]]=2,OR(BUReporting[[#This Row],[Period]]=3,OR(BUReporting[[#This Row],[Period]]=4,OR(BUReporting[[#This Row],[Period]]=5,BUReporting[[#This Row],[Period]]=6))))),VLOOKUP(BUReporting[[#This Row],[Program]],'Program MW '!$A$12:$S$23,17,FALSE),VLOOKUP(BUReporting[[#This Row],[Program]],'Program MW '!$A$35:$S$46,17,FALSE))</f>
        <v>184</v>
      </c>
      <c r="H77" s="703">
        <f>IF(OR(BUReporting[[#This Row],[Period]]=1,OR(BUReporting[[#This Row],[Period]]=2,OR(BUReporting[[#This Row],[Period]]=3,OR(BUReporting[[#This Row],[Period]]=4,OR(BUReporting[[#This Row],[Period]]=5,BUReporting[[#This Row],[Period]]=6))))),VLOOKUP(BUReporting[[#This Row],[Program]],'Program MW '!$A$12:$S$23,18,FALSE),VLOOKUP(BUReporting[[#This Row],[Program]],'Program MW '!$A$35:$S$46,18,FALSE))</f>
        <v>2.5579430495999995</v>
      </c>
    </row>
    <row r="78" spans="1:8" ht="15.5" thickTop="1" thickBot="1">
      <c r="A78" s="692">
        <v>11</v>
      </c>
      <c r="B78" s="690" t="s">
        <v>26</v>
      </c>
      <c r="C78" s="705"/>
      <c r="D78" s="690" t="s">
        <v>9</v>
      </c>
      <c r="E78" s="693">
        <v>6</v>
      </c>
      <c r="F78" s="702" t="s">
        <v>32</v>
      </c>
      <c r="G78" s="691">
        <f>IF(OR(BUReporting[[#This Row],[Period]]=1,OR(BUReporting[[#This Row],[Period]]=2,OR(BUReporting[[#This Row],[Period]]=3,OR(BUReporting[[#This Row],[Period]]=4,OR(BUReporting[[#This Row],[Period]]=5,BUReporting[[#This Row],[Period]]=6))))),VLOOKUP(BUReporting[[#This Row],[Program]],'Program MW '!$A$12:$S$23,17,FALSE),VLOOKUP(BUReporting[[#This Row],[Program]],'Program MW '!$A$35:$S$46,17,FALSE))</f>
        <v>112506</v>
      </c>
      <c r="H78" s="703">
        <f>IF(OR(BUReporting[[#This Row],[Period]]=1,OR(BUReporting[[#This Row],[Period]]=2,OR(BUReporting[[#This Row],[Period]]=3,OR(BUReporting[[#This Row],[Period]]=4,OR(BUReporting[[#This Row],[Period]]=5,BUReporting[[#This Row],[Period]]=6))))),VLOOKUP(BUReporting[[#This Row],[Program]],'Program MW '!$A$12:$S$23,18,FALSE),VLOOKUP(BUReporting[[#This Row],[Program]],'Program MW '!$A$35:$S$46,18,FALSE))</f>
        <v>1.5330505649675896</v>
      </c>
    </row>
    <row r="79" spans="1:8" ht="13.5" thickTop="1" thickBot="1">
      <c r="A79" s="692">
        <v>12</v>
      </c>
      <c r="B79" s="690" t="s">
        <v>27</v>
      </c>
      <c r="C79" s="689"/>
      <c r="D79" s="690" t="s">
        <v>19</v>
      </c>
      <c r="E79" s="693">
        <v>6</v>
      </c>
      <c r="F79" s="702" t="s">
        <v>32</v>
      </c>
      <c r="G79" s="691">
        <f>IF(OR(BUReporting[[#This Row],[Period]]=1,OR(BUReporting[[#This Row],[Period]]=2,OR(BUReporting[[#This Row],[Period]]=3,OR(BUReporting[[#This Row],[Period]]=4,OR(BUReporting[[#This Row],[Period]]=5,BUReporting[[#This Row],[Period]]=6))))),VLOOKUP(BUReporting[[#This Row],[Program]],'Program MW '!$A$12:$S$23,17,FALSE),VLOOKUP(BUReporting[[#This Row],[Program]],'Program MW '!$A$35:$S$46,17,FALSE))</f>
        <v>12961</v>
      </c>
      <c r="H79" s="703">
        <f>IF(OR(BUReporting[[#This Row],[Period]]=1,OR(BUReporting[[#This Row],[Period]]=2,OR(BUReporting[[#This Row],[Period]]=3,OR(BUReporting[[#This Row],[Period]]=4,OR(BUReporting[[#This Row],[Period]]=5,BUReporting[[#This Row],[Period]]=6))))),VLOOKUP(BUReporting[[#This Row],[Program]],'Program MW '!$A$12:$S$23,18,FALSE),VLOOKUP(BUReporting[[#This Row],[Program]],'Program MW '!$A$35:$S$46,18,FALSE))</f>
        <v>0.59470202846154574</v>
      </c>
    </row>
    <row r="80" spans="1:8" ht="15.5" thickTop="1" thickBot="1">
      <c r="A80" s="704">
        <v>0</v>
      </c>
      <c r="B80" s="101" t="s">
        <v>8</v>
      </c>
      <c r="C80" s="705"/>
      <c r="D80" s="695" t="s">
        <v>9</v>
      </c>
      <c r="E80" s="700">
        <v>7</v>
      </c>
      <c r="F80" s="701" t="s">
        <v>33</v>
      </c>
      <c r="G80" s="691">
        <f>IF(OR(BUReporting[[#This Row],[Period]]=1,OR(BUReporting[[#This Row],[Period]]=2,OR(BUReporting[[#This Row],[Period]]=2,OR(BUReporting[[#This Row],[Period]]=4,OR(BUReporting[[#This Row],[Period]]=5,BUReporting[[#This Row],[Period]]=6))))),VLOOKUP(BUReporting[[#This Row],[Program]],'Program MW '!$A$9:$S$9,2,FALSE),VLOOKUP(BUReporting[[#This Row],[Program]],'Program MW '!$A$32:$S$32,2,FALSE))</f>
        <v>5</v>
      </c>
      <c r="H80" s="703">
        <f>IF(OR(BUReporting[[#This Row],[Period]]=1,OR(BUReporting[[#This Row],[Period]]=2,OR(BUReporting[[#This Row],[Period]]=3,OR(BUReporting[[#This Row],[Period]]=4,OR(BUReporting[[#This Row],[Period]]=5,BUReporting[[#This Row],[Period]]=6))))),VLOOKUP(BUReporting[[#This Row],[Program]],'Program MW '!$A$9:$S$9,3,FALSE),VLOOKUP(BUReporting[[#This Row],[Program]],'Program MW '!$A$32:$S$32,3,FALSE))</f>
        <v>0.72086717987060556</v>
      </c>
    </row>
    <row r="81" spans="1:8" ht="15.5" thickTop="1" thickBot="1">
      <c r="A81" s="692">
        <v>1</v>
      </c>
      <c r="B81" s="690" t="s">
        <v>11</v>
      </c>
      <c r="C81" s="705"/>
      <c r="D81" s="690" t="s">
        <v>9</v>
      </c>
      <c r="E81" s="693">
        <v>7</v>
      </c>
      <c r="F81" s="702" t="s">
        <v>33</v>
      </c>
      <c r="G81" s="691">
        <f>IF(OR(BUReporting[[#This Row],[Period]]=1,OR(BUReporting[[#This Row],[Period]]=2,OR(BUReporting[[#This Row],[Period]]=3,OR(BUReporting[[#This Row],[Period]]=4,OR(BUReporting[[#This Row],[Period]]=5,BUReporting[[#This Row],[Period]]=6))))),VLOOKUP(BUReporting[[#This Row],[Program]],'Program MW '!$A$12:$S$23,2,FALSE),VLOOKUP(BUReporting[[#This Row],[Program]],'Program MW '!$A$35:$S$46,2,FALSE))</f>
        <v>14663</v>
      </c>
      <c r="H81" s="703">
        <f>VLOOKUP(BUReporting[[#This Row],[Program]],'Program MW '!$A$35:$S$46,3,FALSE)</f>
        <v>3.8460097489190295</v>
      </c>
    </row>
    <row r="82" spans="1:8" ht="15.5" thickTop="1" thickBot="1">
      <c r="A82" s="692">
        <v>2</v>
      </c>
      <c r="B82" s="690" t="s">
        <v>12</v>
      </c>
      <c r="C82" s="705" t="s">
        <v>13</v>
      </c>
      <c r="D82" s="690" t="s">
        <v>9</v>
      </c>
      <c r="E82" s="693">
        <v>7</v>
      </c>
      <c r="F82" s="702" t="s">
        <v>33</v>
      </c>
      <c r="G82" s="691">
        <f>IF(OR(BUReporting[[#This Row],[Period]]=1,OR(BUReporting[[#This Row],[Period]]=2,OR(BUReporting[[#This Row],[Period]]=3,OR(BUReporting[[#This Row],[Period]]=4,OR(BUReporting[[#This Row],[Period]]=5,BUReporting[[#This Row],[Period]]=6))))),VLOOKUP(BUReporting[[#This Row],[Program]],'Program MW '!$A$12:$S$23,2,FALSE),VLOOKUP(BUReporting[[#This Row],[Program]],'Program MW '!$A$35:$S$46,2,FALSE))</f>
        <v>0</v>
      </c>
      <c r="H82" s="703">
        <f>VLOOKUP(BUReporting[[#This Row],[Program]],'Program MW '!$A$35:$S$46,3,FALSE)</f>
        <v>0</v>
      </c>
    </row>
    <row r="83" spans="1:8" ht="15.5" thickTop="1" thickBot="1">
      <c r="A83" s="692">
        <v>3</v>
      </c>
      <c r="B83" s="690" t="s">
        <v>14</v>
      </c>
      <c r="C83" s="705"/>
      <c r="D83" s="690" t="s">
        <v>9</v>
      </c>
      <c r="E83" s="693">
        <v>7</v>
      </c>
      <c r="F83" s="702" t="s">
        <v>33</v>
      </c>
      <c r="G83" s="691">
        <f>IF(OR(BUReporting[[#This Row],[Period]]=1,OR(BUReporting[[#This Row],[Period]]=2,OR(BUReporting[[#This Row],[Period]]=3,OR(BUReporting[[#This Row],[Period]]=4,OR(BUReporting[[#This Row],[Period]]=5,BUReporting[[#This Row],[Period]]=6))))),VLOOKUP(BUReporting[[#This Row],[Program]],'Program MW '!$A$12:$S$23,2,FALSE),VLOOKUP(BUReporting[[#This Row],[Program]],'Program MW '!$A$35:$S$46,2,FALSE))</f>
        <v>1</v>
      </c>
      <c r="H83" s="703">
        <f>VLOOKUP(BUReporting[[#This Row],[Program]],'Program MW '!$A$35:$S$46,3,FALSE)</f>
        <v>0</v>
      </c>
    </row>
    <row r="84" spans="1:8" ht="15.5" thickTop="1" thickBot="1">
      <c r="A84" s="692">
        <v>4</v>
      </c>
      <c r="B84" s="690" t="s">
        <v>15</v>
      </c>
      <c r="C84" s="705" t="s">
        <v>16</v>
      </c>
      <c r="D84" s="690" t="s">
        <v>9</v>
      </c>
      <c r="E84" s="693">
        <v>7</v>
      </c>
      <c r="F84" s="702" t="s">
        <v>33</v>
      </c>
      <c r="G84" s="691">
        <f>IF(OR(BUReporting[[#This Row],[Period]]=1,OR(BUReporting[[#This Row],[Period]]=2,OR(BUReporting[[#This Row],[Period]]=3,OR(BUReporting[[#This Row],[Period]]=4,OR(BUReporting[[#This Row],[Period]]=5,BUReporting[[#This Row],[Period]]=6))))),VLOOKUP(BUReporting[[#This Row],[Program]],'Program MW '!$A$12:$S$23,2,FALSE),VLOOKUP(BUReporting[[#This Row],[Program]],'Program MW '!$A$35:$S$46,2,FALSE))</f>
        <v>0</v>
      </c>
      <c r="H84" s="703">
        <f>VLOOKUP(BUReporting[[#This Row],[Program]],'Program MW '!$A$35:$S$46,3,FALSE)</f>
        <v>0</v>
      </c>
    </row>
    <row r="85" spans="1:8" ht="15.5" thickTop="1" thickBot="1">
      <c r="A85" s="692">
        <v>5</v>
      </c>
      <c r="B85" s="690" t="s">
        <v>17</v>
      </c>
      <c r="C85" s="705" t="s">
        <v>18</v>
      </c>
      <c r="D85" s="690" t="s">
        <v>19</v>
      </c>
      <c r="E85" s="693">
        <v>7</v>
      </c>
      <c r="F85" s="702" t="s">
        <v>33</v>
      </c>
      <c r="G85" s="691">
        <f>IF(OR(BUReporting[[#This Row],[Period]]=1,OR(BUReporting[[#This Row],[Period]]=2,OR(BUReporting[[#This Row],[Period]]=3,OR(BUReporting[[#This Row],[Period]]=4,OR(BUReporting[[#This Row],[Period]]=5,BUReporting[[#This Row],[Period]]=6))))),VLOOKUP(BUReporting[[#This Row],[Program]],'Program MW '!$A$12:$S$23,2,FALSE),VLOOKUP(BUReporting[[#This Row],[Program]],'Program MW '!$A$35:$S$46,2,FALSE))</f>
        <v>18496</v>
      </c>
      <c r="H85" s="703">
        <f>VLOOKUP(BUReporting[[#This Row],[Program]],'Program MW '!$A$35:$S$46,3,FALSE)</f>
        <v>3.1148819710599231</v>
      </c>
    </row>
    <row r="86" spans="1:8" ht="15.5" thickTop="1" thickBot="1">
      <c r="A86" s="692">
        <v>6</v>
      </c>
      <c r="B86" s="690" t="s">
        <v>20</v>
      </c>
      <c r="C86" s="705" t="s">
        <v>18</v>
      </c>
      <c r="D86" s="690" t="s">
        <v>9</v>
      </c>
      <c r="E86" s="693">
        <v>7</v>
      </c>
      <c r="F86" s="702" t="s">
        <v>33</v>
      </c>
      <c r="G86" s="691">
        <f>IF(OR(BUReporting[[#This Row],[Period]]=1,OR(BUReporting[[#This Row],[Period]]=2,OR(BUReporting[[#This Row],[Period]]=3,OR(BUReporting[[#This Row],[Period]]=4,OR(BUReporting[[#This Row],[Period]]=5,BUReporting[[#This Row],[Period]]=6))))),VLOOKUP(BUReporting[[#This Row],[Program]],'Program MW '!$A$12:$S$23,2,FALSE),VLOOKUP(BUReporting[[#This Row],[Program]],'Program MW '!$A$35:$S$46,2,FALSE))</f>
        <v>1589</v>
      </c>
      <c r="H86" s="703">
        <f>VLOOKUP(BUReporting[[#This Row],[Program]],'Program MW '!$A$35:$S$46,3,FALSE)</f>
        <v>0.80974281091409617</v>
      </c>
    </row>
    <row r="87" spans="1:8" ht="15.5" thickTop="1" thickBot="1">
      <c r="A87" s="692">
        <v>7</v>
      </c>
      <c r="B87" s="690" t="s">
        <v>21</v>
      </c>
      <c r="C87" s="705" t="s">
        <v>22</v>
      </c>
      <c r="D87" s="690" t="s">
        <v>19</v>
      </c>
      <c r="E87" s="693">
        <v>7</v>
      </c>
      <c r="F87" s="702" t="s">
        <v>33</v>
      </c>
      <c r="G87" s="691">
        <f>IF(OR(BUReporting[[#This Row],[Period]]=1,OR(BUReporting[[#This Row],[Period]]=2,OR(BUReporting[[#This Row],[Period]]=3,OR(BUReporting[[#This Row],[Period]]=4,OR(BUReporting[[#This Row],[Period]]=5,BUReporting[[#This Row],[Period]]=6))))),VLOOKUP(BUReporting[[#This Row],[Program]],'Program MW '!$A$12:$S$23,2,FALSE),VLOOKUP(BUReporting[[#This Row],[Program]],'Program MW '!$A$35:$S$46,2,FALSE))</f>
        <v>9410</v>
      </c>
      <c r="H87" s="703">
        <f>VLOOKUP(BUReporting[[#This Row],[Program]],'Program MW '!$A$35:$S$46,3,FALSE)</f>
        <v>2.456235388320001</v>
      </c>
    </row>
    <row r="88" spans="1:8" ht="15.5" thickTop="1" thickBot="1">
      <c r="A88" s="692">
        <v>8</v>
      </c>
      <c r="B88" s="690" t="s">
        <v>23</v>
      </c>
      <c r="C88" s="705" t="s">
        <v>22</v>
      </c>
      <c r="D88" s="690" t="s">
        <v>9</v>
      </c>
      <c r="E88" s="693">
        <v>7</v>
      </c>
      <c r="F88" s="702" t="s">
        <v>33</v>
      </c>
      <c r="G88" s="691">
        <f>IF(OR(BUReporting[[#This Row],[Period]]=1,OR(BUReporting[[#This Row],[Period]]=2,OR(BUReporting[[#This Row],[Period]]=3,OR(BUReporting[[#This Row],[Period]]=4,OR(BUReporting[[#This Row],[Period]]=5,BUReporting[[#This Row],[Period]]=6))))),VLOOKUP(BUReporting[[#This Row],[Program]],'Program MW '!$A$12:$S$23,2,FALSE),VLOOKUP(BUReporting[[#This Row],[Program]],'Program MW '!$A$35:$S$46,2,FALSE))</f>
        <v>3467</v>
      </c>
      <c r="H88" s="703">
        <f>VLOOKUP(BUReporting[[#This Row],[Program]],'Program MW '!$A$35:$S$46,3,FALSE)</f>
        <v>0.70711409293599981</v>
      </c>
    </row>
    <row r="89" spans="1:8" ht="15.5" thickTop="1" thickBot="1">
      <c r="A89" s="692">
        <v>9</v>
      </c>
      <c r="B89" s="690" t="s">
        <v>24</v>
      </c>
      <c r="C89" s="705"/>
      <c r="D89" s="690" t="s">
        <v>9</v>
      </c>
      <c r="E89" s="693">
        <v>7</v>
      </c>
      <c r="F89" s="702" t="s">
        <v>33</v>
      </c>
      <c r="G89" s="691">
        <f>IF(OR(BUReporting[[#This Row],[Period]]=1,OR(BUReporting[[#This Row],[Period]]=2,OR(BUReporting[[#This Row],[Period]]=3,OR(BUReporting[[#This Row],[Period]]=4,OR(BUReporting[[#This Row],[Period]]=5,BUReporting[[#This Row],[Period]]=6))))),VLOOKUP(BUReporting[[#This Row],[Program]],'Program MW '!$A$12:$S$23,2,FALSE),VLOOKUP(BUReporting[[#This Row],[Program]],'Program MW '!$A$35:$S$46,2,FALSE))</f>
        <v>5</v>
      </c>
      <c r="H89" s="703">
        <f>VLOOKUP(BUReporting[[#This Row],[Program]],'Program MW '!$A$35:$S$46,3,FALSE)</f>
        <v>1.3977575000000001E-2</v>
      </c>
    </row>
    <row r="90" spans="1:8" ht="15.5" thickTop="1" thickBot="1">
      <c r="A90" s="692">
        <v>10</v>
      </c>
      <c r="B90" s="690" t="s">
        <v>25</v>
      </c>
      <c r="C90" s="705"/>
      <c r="D90" s="690" t="s">
        <v>9</v>
      </c>
      <c r="E90" s="693">
        <v>7</v>
      </c>
      <c r="F90" s="702" t="s">
        <v>33</v>
      </c>
      <c r="G90" s="691">
        <f>IF(OR(BUReporting[[#This Row],[Period]]=1,OR(BUReporting[[#This Row],[Period]]=2,OR(BUReporting[[#This Row],[Period]]=3,OR(BUReporting[[#This Row],[Period]]=4,OR(BUReporting[[#This Row],[Period]]=5,BUReporting[[#This Row],[Period]]=6))))),VLOOKUP(BUReporting[[#This Row],[Program]],'Program MW '!$A$12:$S$23,2,FALSE),VLOOKUP(BUReporting[[#This Row],[Program]],'Program MW '!$A$35:$S$46,2,FALSE))</f>
        <v>156</v>
      </c>
      <c r="H90" s="703">
        <f>VLOOKUP(BUReporting[[#This Row],[Program]],'Program MW '!$A$35:$S$46,3,FALSE)</f>
        <v>2.1686908463999996</v>
      </c>
    </row>
    <row r="91" spans="1:8" ht="15.5" thickTop="1" thickBot="1">
      <c r="A91" s="692">
        <v>11</v>
      </c>
      <c r="B91" s="690" t="s">
        <v>26</v>
      </c>
      <c r="C91" s="705"/>
      <c r="D91" s="690" t="s">
        <v>9</v>
      </c>
      <c r="E91" s="693">
        <v>7</v>
      </c>
      <c r="F91" s="702" t="s">
        <v>33</v>
      </c>
      <c r="G91" s="691">
        <f>IF(OR(BUReporting[[#This Row],[Period]]=1,OR(BUReporting[[#This Row],[Period]]=2,OR(BUReporting[[#This Row],[Period]]=3,OR(BUReporting[[#This Row],[Period]]=4,OR(BUReporting[[#This Row],[Period]]=5,BUReporting[[#This Row],[Period]]=6))))),VLOOKUP(BUReporting[[#This Row],[Program]],'Program MW '!$A$12:$S$23,2,FALSE),VLOOKUP(BUReporting[[#This Row],[Program]],'Program MW '!$A$35:$S$46,2,FALSE))</f>
        <v>112393</v>
      </c>
      <c r="H91" s="703">
        <f>VLOOKUP(BUReporting[[#This Row],[Program]],'Program MW '!$A$35:$S$46,3,FALSE)</f>
        <v>1.9515478598555185</v>
      </c>
    </row>
    <row r="92" spans="1:8" ht="13.5" thickTop="1" thickBot="1">
      <c r="A92" s="692">
        <v>12</v>
      </c>
      <c r="B92" s="690" t="s">
        <v>27</v>
      </c>
      <c r="C92" s="689"/>
      <c r="D92" s="690" t="s">
        <v>19</v>
      </c>
      <c r="E92" s="693">
        <v>7</v>
      </c>
      <c r="F92" s="702" t="s">
        <v>33</v>
      </c>
      <c r="G92" s="691">
        <f>IF(OR(BUReporting[[#This Row],[Period]]=1,OR(BUReporting[[#This Row],[Period]]=2,OR(BUReporting[[#This Row],[Period]]=3,OR(BUReporting[[#This Row],[Period]]=4,OR(BUReporting[[#This Row],[Period]]=5,BUReporting[[#This Row],[Period]]=6))))),VLOOKUP(BUReporting[[#This Row],[Program]],'Program MW '!$A$12:$S$23,2,FALSE),VLOOKUP(BUReporting[[#This Row],[Program]],'Program MW '!$A$35:$S$46,2,FALSE))</f>
        <v>13516</v>
      </c>
      <c r="H92" s="703">
        <f>VLOOKUP(BUReporting[[#This Row],[Program]],'Program MW '!$A$35:$S$46,3,FALSE)</f>
        <v>0.93607841378003354</v>
      </c>
    </row>
    <row r="93" spans="1:8" ht="15.5" thickTop="1" thickBot="1">
      <c r="A93" s="704">
        <v>0</v>
      </c>
      <c r="B93" s="101" t="s">
        <v>8</v>
      </c>
      <c r="C93" s="705"/>
      <c r="D93" s="695" t="s">
        <v>9</v>
      </c>
      <c r="E93" s="700">
        <v>8</v>
      </c>
      <c r="F93" s="701" t="s">
        <v>34</v>
      </c>
      <c r="G93" s="691">
        <f>IF(OR(BUReporting[[#This Row],[Period]]=1,OR(BUReporting[[#This Row],[Period]]=2,OR(BUReporting[[#This Row],[Period]]=2,OR(BUReporting[[#This Row],[Period]]=4,OR(BUReporting[[#This Row],[Period]]=5,BUReporting[[#This Row],[Period]]=6))))),VLOOKUP(BUReporting[[#This Row],[Program]],'Program MW '!$A$9:$S$9,5,FALSE),VLOOKUP(BUReporting[[#This Row],[Program]],'Program MW '!$A$32:$S$32,5,FALSE))</f>
        <v>5</v>
      </c>
      <c r="H93" s="703">
        <f>IF(OR(BUReporting[[#This Row],[Period]]=1,OR(BUReporting[[#This Row],[Period]]=2,OR(BUReporting[[#This Row],[Period]]=3,OR(BUReporting[[#This Row],[Period]]=4,OR(BUReporting[[#This Row],[Period]]=5,BUReporting[[#This Row],[Period]]=6))))),VLOOKUP(BUReporting[[#This Row],[Program]],'Program MW '!$A$9:$S$9,6,FALSE),VLOOKUP(BUReporting[[#This Row],[Program]],'Program MW '!$A$32:$S$32,6,FALSE))</f>
        <v>0.71795072937011717</v>
      </c>
    </row>
    <row r="94" spans="1:8" ht="15.5" thickTop="1" thickBot="1">
      <c r="A94" s="692">
        <v>1</v>
      </c>
      <c r="B94" s="690" t="s">
        <v>11</v>
      </c>
      <c r="C94" s="705"/>
      <c r="D94" s="690" t="s">
        <v>9</v>
      </c>
      <c r="E94" s="693">
        <v>8</v>
      </c>
      <c r="F94" s="702" t="s">
        <v>34</v>
      </c>
      <c r="G94" s="691">
        <f>IF(OR(BUReporting[[#This Row],[Period]]=1,OR(BUReporting[[#This Row],[Period]]=2,OR(BUReporting[[#This Row],[Period]]=3,OR(BUReporting[[#This Row],[Period]]=4,OR(BUReporting[[#This Row],[Period]]=5,BUReporting[[#This Row],[Period]]=6))))),VLOOKUP(BUReporting[[#This Row],[Program]],'Program MW '!$A$12:$S$23,5,FALSE),VLOOKUP(BUReporting[[#This Row],[Program]],'Program MW '!$A$35:$S$46,5,FALSE))</f>
        <v>14663</v>
      </c>
      <c r="H94" s="703">
        <f>VLOOKUP(BUReporting[[#This Row],[Program]],'Program MW '!$A$35:$S$46,6,FALSE)</f>
        <v>3.8002462313992016</v>
      </c>
    </row>
    <row r="95" spans="1:8" ht="15.5" thickTop="1" thickBot="1">
      <c r="A95" s="692">
        <v>2</v>
      </c>
      <c r="B95" s="690" t="s">
        <v>12</v>
      </c>
      <c r="C95" s="705" t="s">
        <v>13</v>
      </c>
      <c r="D95" s="690" t="s">
        <v>9</v>
      </c>
      <c r="E95" s="693">
        <v>8</v>
      </c>
      <c r="F95" s="702" t="s">
        <v>34</v>
      </c>
      <c r="G95" s="691">
        <f>IF(OR(BUReporting[[#This Row],[Period]]=1,OR(BUReporting[[#This Row],[Period]]=2,OR(BUReporting[[#This Row],[Period]]=3,OR(BUReporting[[#This Row],[Period]]=4,OR(BUReporting[[#This Row],[Period]]=5,BUReporting[[#This Row],[Period]]=6))))),VLOOKUP(BUReporting[[#This Row],[Program]],'Program MW '!$A$12:$S$23,5,FALSE),VLOOKUP(BUReporting[[#This Row],[Program]],'Program MW '!$A$35:$S$46,5,FALSE))</f>
        <v>0</v>
      </c>
      <c r="H95" s="703">
        <f>VLOOKUP(BUReporting[[#This Row],[Program]],'Program MW '!$A$35:$S$46,6,FALSE)</f>
        <v>0</v>
      </c>
    </row>
    <row r="96" spans="1:8" ht="15.5" thickTop="1" thickBot="1">
      <c r="A96" s="692">
        <v>3</v>
      </c>
      <c r="B96" s="690" t="s">
        <v>14</v>
      </c>
      <c r="C96" s="705"/>
      <c r="D96" s="690" t="s">
        <v>9</v>
      </c>
      <c r="E96" s="693">
        <v>8</v>
      </c>
      <c r="F96" s="702" t="s">
        <v>34</v>
      </c>
      <c r="G96" s="691">
        <f>IF(OR(BUReporting[[#This Row],[Period]]=1,OR(BUReporting[[#This Row],[Period]]=2,OR(BUReporting[[#This Row],[Period]]=3,OR(BUReporting[[#This Row],[Period]]=4,OR(BUReporting[[#This Row],[Period]]=5,BUReporting[[#This Row],[Period]]=6))))),VLOOKUP(BUReporting[[#This Row],[Program]],'Program MW '!$A$12:$S$23,5,FALSE),VLOOKUP(BUReporting[[#This Row],[Program]],'Program MW '!$A$35:$S$46,5,FALSE))</f>
        <v>1</v>
      </c>
      <c r="H96" s="703">
        <f>VLOOKUP(BUReporting[[#This Row],[Program]],'Program MW '!$A$35:$S$46,6,FALSE)</f>
        <v>0</v>
      </c>
    </row>
    <row r="97" spans="1:8" ht="15.5" thickTop="1" thickBot="1">
      <c r="A97" s="692">
        <v>4</v>
      </c>
      <c r="B97" s="690" t="s">
        <v>15</v>
      </c>
      <c r="C97" s="705" t="s">
        <v>16</v>
      </c>
      <c r="D97" s="690" t="s">
        <v>9</v>
      </c>
      <c r="E97" s="693">
        <v>8</v>
      </c>
      <c r="F97" s="702" t="s">
        <v>34</v>
      </c>
      <c r="G97" s="691">
        <f>IF(OR(BUReporting[[#This Row],[Period]]=1,OR(BUReporting[[#This Row],[Period]]=2,OR(BUReporting[[#This Row],[Period]]=3,OR(BUReporting[[#This Row],[Period]]=4,OR(BUReporting[[#This Row],[Period]]=5,BUReporting[[#This Row],[Period]]=6))))),VLOOKUP(BUReporting[[#This Row],[Program]],'Program MW '!$A$12:$S$23,5,FALSE),VLOOKUP(BUReporting[[#This Row],[Program]],'Program MW '!$A$35:$S$46,5,FALSE))</f>
        <v>0</v>
      </c>
      <c r="H97" s="703">
        <f>VLOOKUP(BUReporting[[#This Row],[Program]],'Program MW '!$A$35:$S$46,6,FALSE)</f>
        <v>0</v>
      </c>
    </row>
    <row r="98" spans="1:8" ht="15.5" thickTop="1" thickBot="1">
      <c r="A98" s="692">
        <v>5</v>
      </c>
      <c r="B98" s="690" t="s">
        <v>17</v>
      </c>
      <c r="C98" s="705" t="s">
        <v>18</v>
      </c>
      <c r="D98" s="690" t="s">
        <v>19</v>
      </c>
      <c r="E98" s="693">
        <v>8</v>
      </c>
      <c r="F98" s="702" t="s">
        <v>34</v>
      </c>
      <c r="G98" s="691">
        <f>IF(OR(BUReporting[[#This Row],[Period]]=1,OR(BUReporting[[#This Row],[Period]]=2,OR(BUReporting[[#This Row],[Period]]=3,OR(BUReporting[[#This Row],[Period]]=4,OR(BUReporting[[#This Row],[Period]]=5,BUReporting[[#This Row],[Period]]=6))))),VLOOKUP(BUReporting[[#This Row],[Program]],'Program MW '!$A$12:$S$23,5,FALSE),VLOOKUP(BUReporting[[#This Row],[Program]],'Program MW '!$A$35:$S$46,5,FALSE))</f>
        <v>18589</v>
      </c>
      <c r="H98" s="703">
        <f>VLOOKUP(BUReporting[[#This Row],[Program]],'Program MW '!$A$35:$S$46,6,FALSE)</f>
        <v>3.3159180381537614</v>
      </c>
    </row>
    <row r="99" spans="1:8" ht="15.5" thickTop="1" thickBot="1">
      <c r="A99" s="692">
        <v>6</v>
      </c>
      <c r="B99" s="690" t="s">
        <v>20</v>
      </c>
      <c r="C99" s="705" t="s">
        <v>18</v>
      </c>
      <c r="D99" s="690" t="s">
        <v>9</v>
      </c>
      <c r="E99" s="693">
        <v>8</v>
      </c>
      <c r="F99" s="702" t="s">
        <v>34</v>
      </c>
      <c r="G99" s="691">
        <f>IF(OR(BUReporting[[#This Row],[Period]]=1,OR(BUReporting[[#This Row],[Period]]=2,OR(BUReporting[[#This Row],[Period]]=3,OR(BUReporting[[#This Row],[Period]]=4,OR(BUReporting[[#This Row],[Period]]=5,BUReporting[[#This Row],[Period]]=6))))),VLOOKUP(BUReporting[[#This Row],[Program]],'Program MW '!$A$12:$S$23,5,FALSE),VLOOKUP(BUReporting[[#This Row],[Program]],'Program MW '!$A$35:$S$46,5,FALSE))</f>
        <v>1594</v>
      </c>
      <c r="H99" s="703">
        <f>VLOOKUP(BUReporting[[#This Row],[Program]],'Program MW '!$A$35:$S$46,6,FALSE)</f>
        <v>1.1071306865150343</v>
      </c>
    </row>
    <row r="100" spans="1:8" ht="15.5" thickTop="1" thickBot="1">
      <c r="A100" s="692">
        <v>7</v>
      </c>
      <c r="B100" s="690" t="s">
        <v>21</v>
      </c>
      <c r="C100" s="705" t="s">
        <v>22</v>
      </c>
      <c r="D100" s="690" t="s">
        <v>19</v>
      </c>
      <c r="E100" s="693">
        <v>8</v>
      </c>
      <c r="F100" s="702" t="s">
        <v>34</v>
      </c>
      <c r="G100" s="691">
        <f>IF(OR(BUReporting[[#This Row],[Period]]=1,OR(BUReporting[[#This Row],[Period]]=2,OR(BUReporting[[#This Row],[Period]]=3,OR(BUReporting[[#This Row],[Period]]=4,OR(BUReporting[[#This Row],[Period]]=5,BUReporting[[#This Row],[Period]]=6))))),VLOOKUP(BUReporting[[#This Row],[Program]],'Program MW '!$A$12:$S$23,5,FALSE),VLOOKUP(BUReporting[[#This Row],[Program]],'Program MW '!$A$35:$S$46,5,FALSE))</f>
        <v>9151</v>
      </c>
      <c r="H100" s="703">
        <f>VLOOKUP(BUReporting[[#This Row],[Program]],'Program MW '!$A$35:$S$46,6,FALSE)</f>
        <v>3.5481516926659999</v>
      </c>
    </row>
    <row r="101" spans="1:8" ht="15.5" thickTop="1" thickBot="1">
      <c r="A101" s="692">
        <v>8</v>
      </c>
      <c r="B101" s="690" t="s">
        <v>23</v>
      </c>
      <c r="C101" s="705" t="s">
        <v>22</v>
      </c>
      <c r="D101" s="690" t="s">
        <v>9</v>
      </c>
      <c r="E101" s="693">
        <v>8</v>
      </c>
      <c r="F101" s="702" t="s">
        <v>34</v>
      </c>
      <c r="G101" s="691">
        <f>IF(OR(BUReporting[[#This Row],[Period]]=1,OR(BUReporting[[#This Row],[Period]]=2,OR(BUReporting[[#This Row],[Period]]=3,OR(BUReporting[[#This Row],[Period]]=4,OR(BUReporting[[#This Row],[Period]]=5,BUReporting[[#This Row],[Period]]=6))))),VLOOKUP(BUReporting[[#This Row],[Program]],'Program MW '!$A$12:$S$23,5,FALSE),VLOOKUP(BUReporting[[#This Row],[Program]],'Program MW '!$A$35:$S$46,5,FALSE))</f>
        <v>3438</v>
      </c>
      <c r="H101" s="703">
        <f>VLOOKUP(BUReporting[[#This Row],[Program]],'Program MW '!$A$35:$S$46,6,FALSE)</f>
        <v>0.85267887735600012</v>
      </c>
    </row>
    <row r="102" spans="1:8" ht="15.5" thickTop="1" thickBot="1">
      <c r="A102" s="692">
        <v>9</v>
      </c>
      <c r="B102" s="690" t="s">
        <v>24</v>
      </c>
      <c r="C102" s="705"/>
      <c r="D102" s="690" t="s">
        <v>9</v>
      </c>
      <c r="E102" s="693">
        <v>8</v>
      </c>
      <c r="F102" s="702" t="s">
        <v>34</v>
      </c>
      <c r="G102" s="691">
        <f>IF(OR(BUReporting[[#This Row],[Period]]=1,OR(BUReporting[[#This Row],[Period]]=2,OR(BUReporting[[#This Row],[Period]]=3,OR(BUReporting[[#This Row],[Period]]=4,OR(BUReporting[[#This Row],[Period]]=5,BUReporting[[#This Row],[Period]]=6))))),VLOOKUP(BUReporting[[#This Row],[Program]],'Program MW '!$A$12:$S$23,5,FALSE),VLOOKUP(BUReporting[[#This Row],[Program]],'Program MW '!$A$35:$S$46,5,FALSE))</f>
        <v>12</v>
      </c>
      <c r="H102" s="703">
        <f>VLOOKUP(BUReporting[[#This Row],[Program]],'Program MW '!$A$35:$S$46,6,FALSE)</f>
        <v>3.3546180000000002E-2</v>
      </c>
    </row>
    <row r="103" spans="1:8" ht="15.5" thickTop="1" thickBot="1">
      <c r="A103" s="692">
        <v>10</v>
      </c>
      <c r="B103" s="690" t="s">
        <v>25</v>
      </c>
      <c r="C103" s="705"/>
      <c r="D103" s="690" t="s">
        <v>9</v>
      </c>
      <c r="E103" s="693">
        <v>8</v>
      </c>
      <c r="F103" s="702" t="s">
        <v>34</v>
      </c>
      <c r="G103" s="691">
        <f>IF(OR(BUReporting[[#This Row],[Period]]=1,OR(BUReporting[[#This Row],[Period]]=2,OR(BUReporting[[#This Row],[Period]]=3,OR(BUReporting[[#This Row],[Period]]=4,OR(BUReporting[[#This Row],[Period]]=5,BUReporting[[#This Row],[Period]]=6))))),VLOOKUP(BUReporting[[#This Row],[Program]],'Program MW '!$A$12:$S$23,5,FALSE),VLOOKUP(BUReporting[[#This Row],[Program]],'Program MW '!$A$35:$S$46,5,FALSE))</f>
        <v>182</v>
      </c>
      <c r="H103" s="703">
        <f>VLOOKUP(BUReporting[[#This Row],[Program]],'Program MW '!$A$35:$S$46,6,FALSE)</f>
        <v>2.5301393207999996</v>
      </c>
    </row>
    <row r="104" spans="1:8" ht="15.5" thickTop="1" thickBot="1">
      <c r="A104" s="692">
        <v>11</v>
      </c>
      <c r="B104" s="690" t="s">
        <v>26</v>
      </c>
      <c r="C104" s="705"/>
      <c r="D104" s="690" t="s">
        <v>9</v>
      </c>
      <c r="E104" s="693">
        <v>8</v>
      </c>
      <c r="F104" s="702" t="s">
        <v>34</v>
      </c>
      <c r="G104" s="691">
        <f>IF(OR(BUReporting[[#This Row],[Period]]=1,OR(BUReporting[[#This Row],[Period]]=2,OR(BUReporting[[#This Row],[Period]]=3,OR(BUReporting[[#This Row],[Period]]=4,OR(BUReporting[[#This Row],[Period]]=5,BUReporting[[#This Row],[Period]]=6))))),VLOOKUP(BUReporting[[#This Row],[Program]],'Program MW '!$A$12:$S$23,5,FALSE),VLOOKUP(BUReporting[[#This Row],[Program]],'Program MW '!$A$35:$S$46,5,FALSE))</f>
        <v>112244</v>
      </c>
      <c r="H104" s="703">
        <f>VLOOKUP(BUReporting[[#This Row],[Program]],'Program MW '!$A$35:$S$46,6,FALSE)</f>
        <v>2.1607644234331738</v>
      </c>
    </row>
    <row r="105" spans="1:8" ht="13.5" thickTop="1" thickBot="1">
      <c r="A105" s="692">
        <v>12</v>
      </c>
      <c r="B105" s="690" t="s">
        <v>27</v>
      </c>
      <c r="C105" s="689"/>
      <c r="D105" s="690" t="s">
        <v>19</v>
      </c>
      <c r="E105" s="693">
        <v>8</v>
      </c>
      <c r="F105" s="702" t="s">
        <v>34</v>
      </c>
      <c r="G105" s="691">
        <f>IF(OR(BUReporting[[#This Row],[Period]]=1,OR(BUReporting[[#This Row],[Period]]=2,OR(BUReporting[[#This Row],[Period]]=3,OR(BUReporting[[#This Row],[Period]]=4,OR(BUReporting[[#This Row],[Period]]=5,BUReporting[[#This Row],[Period]]=6))))),VLOOKUP(BUReporting[[#This Row],[Program]],'Program MW '!$A$12:$S$23,5,FALSE),VLOOKUP(BUReporting[[#This Row],[Program]],'Program MW '!$A$35:$S$46,5,FALSE))</f>
        <v>14058</v>
      </c>
      <c r="H105" s="703">
        <f>VLOOKUP(BUReporting[[#This Row],[Program]],'Program MW '!$A$35:$S$46,6,FALSE)</f>
        <v>1.0628477869391439</v>
      </c>
    </row>
    <row r="106" spans="1:8" ht="15.5" thickTop="1" thickBot="1">
      <c r="A106" s="704">
        <v>0</v>
      </c>
      <c r="B106" s="101" t="s">
        <v>8</v>
      </c>
      <c r="C106" s="705"/>
      <c r="D106" s="695" t="s">
        <v>9</v>
      </c>
      <c r="E106" s="700">
        <v>9</v>
      </c>
      <c r="F106" s="701" t="s">
        <v>35</v>
      </c>
      <c r="G106" s="691">
        <f>IF(OR(BUReporting[[#This Row],[Period]]=1,OR(BUReporting[[#This Row],[Period]]=2,OR(BUReporting[[#This Row],[Period]]=2,OR(BUReporting[[#This Row],[Period]]=4,OR(BUReporting[[#This Row],[Period]]=5,BUReporting[[#This Row],[Period]]=6))))),VLOOKUP(BUReporting[[#This Row],[Program]],'Program MW '!$A$9:$S$9,8,FALSE),VLOOKUP(BUReporting[[#This Row],[Program]],'Program MW '!$A$32:$S$32,8,FALSE))</f>
        <v>5</v>
      </c>
      <c r="H106" s="703">
        <f>IF(OR(BUReporting[[#This Row],[Period]]=1,OR(BUReporting[[#This Row],[Period]]=2,OR(BUReporting[[#This Row],[Period]]=3,OR(BUReporting[[#This Row],[Period]]=4,OR(BUReporting[[#This Row],[Period]]=5,BUReporting[[#This Row],[Period]]=6))))),VLOOKUP(BUReporting[[#This Row],[Program]],'Program MW '!$A$9:$S$9,9,FALSE),VLOOKUP(BUReporting[[#This Row],[Program]],'Program MW '!$A$32:$S$32,9,FALSE))</f>
        <v>0.78246205902099608</v>
      </c>
    </row>
    <row r="107" spans="1:8" ht="15.5" thickTop="1" thickBot="1">
      <c r="A107" s="692">
        <v>1</v>
      </c>
      <c r="B107" s="690" t="s">
        <v>11</v>
      </c>
      <c r="C107" s="705"/>
      <c r="D107" s="690" t="s">
        <v>9</v>
      </c>
      <c r="E107" s="693">
        <v>9</v>
      </c>
      <c r="F107" s="702" t="s">
        <v>35</v>
      </c>
      <c r="G107" s="691">
        <f>IF(OR(BUReporting[[#This Row],[Period]]=1,OR(BUReporting[[#This Row],[Period]]=2,OR(BUReporting[[#This Row],[Period]]=3,OR(BUReporting[[#This Row],[Period]]=4,OR(BUReporting[[#This Row],[Period]]=5,BUReporting[[#This Row],[Period]]=6))))),VLOOKUP(BUReporting[[#This Row],[Program]],'Program MW '!$A$12:$S$23,8,FALSE),VLOOKUP(BUReporting[[#This Row],[Program]],'Program MW '!$A$35:$S$46,8,FALSE))</f>
        <v>14663</v>
      </c>
      <c r="H107" s="703">
        <f>VLOOKUP(BUReporting[[#This Row],[Program]],'Program MW '!$A$35:$S$46,9,FALSE)</f>
        <v>6.8983871413727247</v>
      </c>
    </row>
    <row r="108" spans="1:8" ht="15.5" thickTop="1" thickBot="1">
      <c r="A108" s="692">
        <v>2</v>
      </c>
      <c r="B108" s="690" t="s">
        <v>12</v>
      </c>
      <c r="C108" s="705" t="s">
        <v>13</v>
      </c>
      <c r="D108" s="690" t="s">
        <v>9</v>
      </c>
      <c r="E108" s="693">
        <v>9</v>
      </c>
      <c r="F108" s="702" t="s">
        <v>35</v>
      </c>
      <c r="G108" s="691">
        <f>IF(OR(BUReporting[[#This Row],[Period]]=1,OR(BUReporting[[#This Row],[Period]]=2,OR(BUReporting[[#This Row],[Period]]=3,OR(BUReporting[[#This Row],[Period]]=4,OR(BUReporting[[#This Row],[Period]]=5,BUReporting[[#This Row],[Period]]=6))))),VLOOKUP(BUReporting[[#This Row],[Program]],'Program MW '!$A$12:$S$23,8,FALSE),VLOOKUP(BUReporting[[#This Row],[Program]],'Program MW '!$A$35:$S$46,8,FALSE))</f>
        <v>0</v>
      </c>
      <c r="H108" s="703">
        <f>VLOOKUP(BUReporting[[#This Row],[Program]],'Program MW '!$A$35:$S$46,9,FALSE)</f>
        <v>0</v>
      </c>
    </row>
    <row r="109" spans="1:8" ht="15.5" thickTop="1" thickBot="1">
      <c r="A109" s="692">
        <v>3</v>
      </c>
      <c r="B109" s="690" t="s">
        <v>14</v>
      </c>
      <c r="C109" s="705"/>
      <c r="D109" s="690" t="s">
        <v>9</v>
      </c>
      <c r="E109" s="693">
        <v>9</v>
      </c>
      <c r="F109" s="702" t="s">
        <v>35</v>
      </c>
      <c r="G109" s="691">
        <f>IF(OR(BUReporting[[#This Row],[Period]]=1,OR(BUReporting[[#This Row],[Period]]=2,OR(BUReporting[[#This Row],[Period]]=3,OR(BUReporting[[#This Row],[Period]]=4,OR(BUReporting[[#This Row],[Period]]=5,BUReporting[[#This Row],[Period]]=6))))),VLOOKUP(BUReporting[[#This Row],[Program]],'Program MW '!$A$12:$S$23,8,FALSE),VLOOKUP(BUReporting[[#This Row],[Program]],'Program MW '!$A$35:$S$46,8,FALSE))</f>
        <v>1</v>
      </c>
      <c r="H109" s="703">
        <f>VLOOKUP(BUReporting[[#This Row],[Program]],'Program MW '!$A$35:$S$46,9,FALSE)</f>
        <v>0</v>
      </c>
    </row>
    <row r="110" spans="1:8" ht="15.5" thickTop="1" thickBot="1">
      <c r="A110" s="692">
        <v>4</v>
      </c>
      <c r="B110" s="690" t="s">
        <v>15</v>
      </c>
      <c r="C110" s="705" t="s">
        <v>16</v>
      </c>
      <c r="D110" s="690" t="s">
        <v>9</v>
      </c>
      <c r="E110" s="693">
        <v>9</v>
      </c>
      <c r="F110" s="702" t="s">
        <v>35</v>
      </c>
      <c r="G110" s="691">
        <f>IF(OR(BUReporting[[#This Row],[Period]]=1,OR(BUReporting[[#This Row],[Period]]=2,OR(BUReporting[[#This Row],[Period]]=3,OR(BUReporting[[#This Row],[Period]]=4,OR(BUReporting[[#This Row],[Period]]=5,BUReporting[[#This Row],[Period]]=6))))),VLOOKUP(BUReporting[[#This Row],[Program]],'Program MW '!$A$12:$S$23,8,FALSE),VLOOKUP(BUReporting[[#This Row],[Program]],'Program MW '!$A$35:$S$46,8,FALSE))</f>
        <v>0</v>
      </c>
      <c r="H110" s="703">
        <f>VLOOKUP(BUReporting[[#This Row],[Program]],'Program MW '!$A$35:$S$46,9,FALSE)</f>
        <v>0</v>
      </c>
    </row>
    <row r="111" spans="1:8" ht="15.5" thickTop="1" thickBot="1">
      <c r="A111" s="692">
        <v>5</v>
      </c>
      <c r="B111" s="690" t="s">
        <v>17</v>
      </c>
      <c r="C111" s="705" t="s">
        <v>18</v>
      </c>
      <c r="D111" s="690" t="s">
        <v>19</v>
      </c>
      <c r="E111" s="693">
        <v>9</v>
      </c>
      <c r="F111" s="702" t="s">
        <v>35</v>
      </c>
      <c r="G111" s="691">
        <f>IF(OR(BUReporting[[#This Row],[Period]]=1,OR(BUReporting[[#This Row],[Period]]=2,OR(BUReporting[[#This Row],[Period]]=3,OR(BUReporting[[#This Row],[Period]]=4,OR(BUReporting[[#This Row],[Period]]=5,BUReporting[[#This Row],[Period]]=6))))),VLOOKUP(BUReporting[[#This Row],[Program]],'Program MW '!$A$12:$S$23,8,FALSE),VLOOKUP(BUReporting[[#This Row],[Program]],'Program MW '!$A$35:$S$46,8,FALSE))</f>
        <v>18636</v>
      </c>
      <c r="H111" s="703">
        <f>VLOOKUP(BUReporting[[#This Row],[Program]],'Program MW '!$A$35:$S$46,9,FALSE)</f>
        <v>3.4949954886640793</v>
      </c>
    </row>
    <row r="112" spans="1:8" ht="15.5" thickTop="1" thickBot="1">
      <c r="A112" s="692">
        <v>6</v>
      </c>
      <c r="B112" s="690" t="s">
        <v>20</v>
      </c>
      <c r="C112" s="705" t="s">
        <v>18</v>
      </c>
      <c r="D112" s="690" t="s">
        <v>9</v>
      </c>
      <c r="E112" s="693">
        <v>9</v>
      </c>
      <c r="F112" s="702" t="s">
        <v>35</v>
      </c>
      <c r="G112" s="691">
        <f>IF(OR(BUReporting[[#This Row],[Period]]=1,OR(BUReporting[[#This Row],[Period]]=2,OR(BUReporting[[#This Row],[Period]]=3,OR(BUReporting[[#This Row],[Period]]=4,OR(BUReporting[[#This Row],[Period]]=5,BUReporting[[#This Row],[Period]]=6))))),VLOOKUP(BUReporting[[#This Row],[Program]],'Program MW '!$A$12:$S$23,8,FALSE),VLOOKUP(BUReporting[[#This Row],[Program]],'Program MW '!$A$35:$S$46,8,FALSE))</f>
        <v>1606</v>
      </c>
      <c r="H112" s="703">
        <f>VLOOKUP(BUReporting[[#This Row],[Program]],'Program MW '!$A$35:$S$46,9,FALSE)</f>
        <v>1.1367756852192339</v>
      </c>
    </row>
    <row r="113" spans="1:8" ht="15.5" thickTop="1" thickBot="1">
      <c r="A113" s="692">
        <v>7</v>
      </c>
      <c r="B113" s="690" t="s">
        <v>21</v>
      </c>
      <c r="C113" s="705" t="s">
        <v>22</v>
      </c>
      <c r="D113" s="690" t="s">
        <v>19</v>
      </c>
      <c r="E113" s="693">
        <v>9</v>
      </c>
      <c r="F113" s="702" t="s">
        <v>35</v>
      </c>
      <c r="G113" s="691">
        <f>IF(OR(BUReporting[[#This Row],[Period]]=1,OR(BUReporting[[#This Row],[Period]]=2,OR(BUReporting[[#This Row],[Period]]=3,OR(BUReporting[[#This Row],[Period]]=4,OR(BUReporting[[#This Row],[Period]]=5,BUReporting[[#This Row],[Period]]=6))))),VLOOKUP(BUReporting[[#This Row],[Program]],'Program MW '!$A$12:$S$23,8,FALSE),VLOOKUP(BUReporting[[#This Row],[Program]],'Program MW '!$A$35:$S$46,8,FALSE))</f>
        <v>9113</v>
      </c>
      <c r="H113" s="703">
        <f>VLOOKUP(BUReporting[[#This Row],[Program]],'Program MW '!$A$35:$S$46,9,FALSE)</f>
        <v>4.347504225922</v>
      </c>
    </row>
    <row r="114" spans="1:8" ht="15.5" thickTop="1" thickBot="1">
      <c r="A114" s="692">
        <v>8</v>
      </c>
      <c r="B114" s="690" t="s">
        <v>23</v>
      </c>
      <c r="C114" s="705" t="s">
        <v>22</v>
      </c>
      <c r="D114" s="690" t="s">
        <v>9</v>
      </c>
      <c r="E114" s="693">
        <v>9</v>
      </c>
      <c r="F114" s="702" t="s">
        <v>35</v>
      </c>
      <c r="G114" s="691">
        <f>IF(OR(BUReporting[[#This Row],[Period]]=1,OR(BUReporting[[#This Row],[Period]]=2,OR(BUReporting[[#This Row],[Period]]=3,OR(BUReporting[[#This Row],[Period]]=4,OR(BUReporting[[#This Row],[Period]]=5,BUReporting[[#This Row],[Period]]=6))))),VLOOKUP(BUReporting[[#This Row],[Program]],'Program MW '!$A$12:$S$23,8,FALSE),VLOOKUP(BUReporting[[#This Row],[Program]],'Program MW '!$A$35:$S$46,8,FALSE))</f>
        <v>3375</v>
      </c>
      <c r="H114" s="703">
        <f>VLOOKUP(BUReporting[[#This Row],[Program]],'Program MW '!$A$35:$S$46,9,FALSE)</f>
        <v>1.0073143327499998</v>
      </c>
    </row>
    <row r="115" spans="1:8" ht="15.5" thickTop="1" thickBot="1">
      <c r="A115" s="692">
        <v>9</v>
      </c>
      <c r="B115" s="690" t="s">
        <v>24</v>
      </c>
      <c r="C115" s="705"/>
      <c r="D115" s="690" t="s">
        <v>9</v>
      </c>
      <c r="E115" s="693">
        <v>9</v>
      </c>
      <c r="F115" s="702" t="s">
        <v>35</v>
      </c>
      <c r="G115" s="691">
        <f>IF(OR(BUReporting[[#This Row],[Period]]=1,OR(BUReporting[[#This Row],[Period]]=2,OR(BUReporting[[#This Row],[Period]]=3,OR(BUReporting[[#This Row],[Period]]=4,OR(BUReporting[[#This Row],[Period]]=5,BUReporting[[#This Row],[Period]]=6))))),VLOOKUP(BUReporting[[#This Row],[Program]],'Program MW '!$A$12:$S$23,8,FALSE),VLOOKUP(BUReporting[[#This Row],[Program]],'Program MW '!$A$35:$S$46,8,FALSE))</f>
        <v>10</v>
      </c>
      <c r="H115" s="703">
        <f>VLOOKUP(BUReporting[[#This Row],[Program]],'Program MW '!$A$35:$S$46,9,FALSE)</f>
        <v>2.7955150000000002E-2</v>
      </c>
    </row>
    <row r="116" spans="1:8" ht="15.5" thickTop="1" thickBot="1">
      <c r="A116" s="692">
        <v>10</v>
      </c>
      <c r="B116" s="690" t="s">
        <v>25</v>
      </c>
      <c r="C116" s="705"/>
      <c r="D116" s="690" t="s">
        <v>9</v>
      </c>
      <c r="E116" s="693">
        <v>9</v>
      </c>
      <c r="F116" s="702" t="s">
        <v>35</v>
      </c>
      <c r="G116" s="691">
        <f>IF(OR(BUReporting[[#This Row],[Period]]=1,OR(BUReporting[[#This Row],[Period]]=2,OR(BUReporting[[#This Row],[Period]]=3,OR(BUReporting[[#This Row],[Period]]=4,OR(BUReporting[[#This Row],[Period]]=5,BUReporting[[#This Row],[Period]]=6))))),VLOOKUP(BUReporting[[#This Row],[Program]],'Program MW '!$A$12:$S$23,8,FALSE),VLOOKUP(BUReporting[[#This Row],[Program]],'Program MW '!$A$35:$S$46,8,FALSE))</f>
        <v>184</v>
      </c>
      <c r="H116" s="703">
        <f>VLOOKUP(BUReporting[[#This Row],[Program]],'Program MW '!$A$35:$S$46,9,FALSE)</f>
        <v>2.5579430495999995</v>
      </c>
    </row>
    <row r="117" spans="1:8" ht="15.5" thickTop="1" thickBot="1">
      <c r="A117" s="692">
        <v>11</v>
      </c>
      <c r="B117" s="690" t="s">
        <v>26</v>
      </c>
      <c r="C117" s="705"/>
      <c r="D117" s="690" t="s">
        <v>9</v>
      </c>
      <c r="E117" s="693">
        <v>9</v>
      </c>
      <c r="F117" s="702" t="s">
        <v>35</v>
      </c>
      <c r="G117" s="691">
        <f>IF(OR(BUReporting[[#This Row],[Period]]=1,OR(BUReporting[[#This Row],[Period]]=2,OR(BUReporting[[#This Row],[Period]]=3,OR(BUReporting[[#This Row],[Period]]=4,OR(BUReporting[[#This Row],[Period]]=5,BUReporting[[#This Row],[Period]]=6))))),VLOOKUP(BUReporting[[#This Row],[Program]],'Program MW '!$A$12:$S$23,8,FALSE),VLOOKUP(BUReporting[[#This Row],[Program]],'Program MW '!$A$35:$S$46,8,FALSE))</f>
        <v>112007</v>
      </c>
      <c r="H117" s="703">
        <f>VLOOKUP(BUReporting[[#This Row],[Program]],'Program MW '!$A$35:$S$46,9,FALSE)</f>
        <v>2.5777029800109554</v>
      </c>
    </row>
    <row r="118" spans="1:8" ht="13.5" thickTop="1" thickBot="1">
      <c r="A118" s="692">
        <v>12</v>
      </c>
      <c r="B118" s="690" t="s">
        <v>27</v>
      </c>
      <c r="C118" s="689"/>
      <c r="D118" s="690" t="s">
        <v>19</v>
      </c>
      <c r="E118" s="693">
        <v>9</v>
      </c>
      <c r="F118" s="702" t="s">
        <v>35</v>
      </c>
      <c r="G118" s="691">
        <f>IF(OR(BUReporting[[#This Row],[Period]]=1,OR(BUReporting[[#This Row],[Period]]=2,OR(BUReporting[[#This Row],[Period]]=3,OR(BUReporting[[#This Row],[Period]]=4,OR(BUReporting[[#This Row],[Period]]=5,BUReporting[[#This Row],[Period]]=6))))),VLOOKUP(BUReporting[[#This Row],[Program]],'Program MW '!$A$12:$S$23,8,FALSE),VLOOKUP(BUReporting[[#This Row],[Program]],'Program MW '!$A$35:$S$46,8,FALSE))</f>
        <v>14369</v>
      </c>
      <c r="H118" s="703">
        <f>VLOOKUP(BUReporting[[#This Row],[Program]],'Program MW '!$A$35:$S$46,9,FALSE)</f>
        <v>0.95498530640341339</v>
      </c>
    </row>
    <row r="119" spans="1:8" ht="15.5" thickTop="1" thickBot="1">
      <c r="A119" s="704">
        <v>0</v>
      </c>
      <c r="B119" s="101" t="s">
        <v>8</v>
      </c>
      <c r="C119" s="705"/>
      <c r="D119" s="695" t="s">
        <v>9</v>
      </c>
      <c r="E119" s="700">
        <v>10</v>
      </c>
      <c r="F119" s="701" t="s">
        <v>36</v>
      </c>
      <c r="G119" s="691">
        <f>IF(OR(BUReporting[[#This Row],[Period]]=1,OR(BUReporting[[#This Row],[Period]]=2,OR(BUReporting[[#This Row],[Period]]=2,OR(BUReporting[[#This Row],[Period]]=4,OR(BUReporting[[#This Row],[Period]]=5,BUReporting[[#This Row],[Period]]=6))))),VLOOKUP(BUReporting[[#This Row],[Program]],'Program MW '!$A$9:$S$9,11,FALSE),VLOOKUP(BUReporting[[#This Row],[Program]],'Program MW '!$A$32:$S$32,11,FALSE))</f>
        <v>5</v>
      </c>
      <c r="H119" s="703">
        <f>IF(OR(BUReporting[[#This Row],[Period]]=1,OR(BUReporting[[#This Row],[Period]]=2,OR(BUReporting[[#This Row],[Period]]=3,OR(BUReporting[[#This Row],[Period]]=4,OR(BUReporting[[#This Row],[Period]]=5,BUReporting[[#This Row],[Period]]=6))))),VLOOKUP(BUReporting[[#This Row],[Program]],'Program MW '!$A$9:$S$9,12,FALSE),VLOOKUP(BUReporting[[#This Row],[Program]],'Program MW '!$A$32:$S$32,12,FALSE))</f>
        <v>0.59286257171630852</v>
      </c>
    </row>
    <row r="120" spans="1:8" ht="15.5" thickTop="1" thickBot="1">
      <c r="A120" s="692">
        <v>1</v>
      </c>
      <c r="B120" s="690" t="s">
        <v>11</v>
      </c>
      <c r="C120" s="705"/>
      <c r="D120" s="690" t="s">
        <v>9</v>
      </c>
      <c r="E120" s="693">
        <v>10</v>
      </c>
      <c r="F120" s="702" t="s">
        <v>36</v>
      </c>
      <c r="G120" s="691">
        <f>IF(OR(BUReporting[[#This Row],[Period]]=1,OR(BUReporting[[#This Row],[Period]]=2,OR(BUReporting[[#This Row],[Period]]=3,OR(BUReporting[[#This Row],[Period]]=4,OR(BUReporting[[#This Row],[Period]]=5,BUReporting[[#This Row],[Period]]=6))))),VLOOKUP(BUReporting[[#This Row],[Program]],'Program MW '!$A$12:$S$23,11,FALSE),VLOOKUP(BUReporting[[#This Row],[Program]],'Program MW '!$A$35:$S$46,11,FALSE))</f>
        <v>14663</v>
      </c>
      <c r="H120" s="703">
        <f>VLOOKUP(BUReporting[[#This Row],[Program]],'Program MW '!$A$35:$S$46,12,FALSE)</f>
        <v>2.0898698909030151</v>
      </c>
    </row>
    <row r="121" spans="1:8" ht="15.5" thickTop="1" thickBot="1">
      <c r="A121" s="692">
        <v>2</v>
      </c>
      <c r="B121" s="690" t="s">
        <v>12</v>
      </c>
      <c r="C121" s="705" t="s">
        <v>13</v>
      </c>
      <c r="D121" s="690" t="s">
        <v>9</v>
      </c>
      <c r="E121" s="693">
        <v>10</v>
      </c>
      <c r="F121" s="702" t="s">
        <v>36</v>
      </c>
      <c r="G121" s="691">
        <f>IF(OR(BUReporting[[#This Row],[Period]]=1,OR(BUReporting[[#This Row],[Period]]=2,OR(BUReporting[[#This Row],[Period]]=3,OR(BUReporting[[#This Row],[Period]]=4,OR(BUReporting[[#This Row],[Period]]=5,BUReporting[[#This Row],[Period]]=6))))),VLOOKUP(BUReporting[[#This Row],[Program]],'Program MW '!$A$12:$S$23,11,FALSE),VLOOKUP(BUReporting[[#This Row],[Program]],'Program MW '!$A$35:$S$46,11,FALSE))</f>
        <v>0</v>
      </c>
      <c r="H121" s="703">
        <f>VLOOKUP(BUReporting[[#This Row],[Program]],'Program MW '!$A$35:$S$46,12,FALSE)</f>
        <v>0</v>
      </c>
    </row>
    <row r="122" spans="1:8" ht="15.5" thickTop="1" thickBot="1">
      <c r="A122" s="692">
        <v>3</v>
      </c>
      <c r="B122" s="690" t="s">
        <v>14</v>
      </c>
      <c r="C122" s="705"/>
      <c r="D122" s="690" t="s">
        <v>9</v>
      </c>
      <c r="E122" s="693">
        <v>10</v>
      </c>
      <c r="F122" s="702" t="s">
        <v>36</v>
      </c>
      <c r="G122" s="691">
        <f>IF(OR(BUReporting[[#This Row],[Period]]=1,OR(BUReporting[[#This Row],[Period]]=2,OR(BUReporting[[#This Row],[Period]]=3,OR(BUReporting[[#This Row],[Period]]=4,OR(BUReporting[[#This Row],[Period]]=5,BUReporting[[#This Row],[Period]]=6))))),VLOOKUP(BUReporting[[#This Row],[Program]],'Program MW '!$A$12:$S$23,11,FALSE),VLOOKUP(BUReporting[[#This Row],[Program]],'Program MW '!$A$35:$S$46,11,FALSE))</f>
        <v>1</v>
      </c>
      <c r="H122" s="703">
        <f>VLOOKUP(BUReporting[[#This Row],[Program]],'Program MW '!$A$35:$S$46,12,FALSE)</f>
        <v>0</v>
      </c>
    </row>
    <row r="123" spans="1:8" ht="15.5" thickTop="1" thickBot="1">
      <c r="A123" s="692">
        <v>4</v>
      </c>
      <c r="B123" s="690" t="s">
        <v>15</v>
      </c>
      <c r="C123" s="705" t="s">
        <v>16</v>
      </c>
      <c r="D123" s="690" t="s">
        <v>9</v>
      </c>
      <c r="E123" s="693">
        <v>10</v>
      </c>
      <c r="F123" s="702" t="s">
        <v>36</v>
      </c>
      <c r="G123" s="691">
        <f>IF(OR(BUReporting[[#This Row],[Period]]=1,OR(BUReporting[[#This Row],[Period]]=2,OR(BUReporting[[#This Row],[Period]]=3,OR(BUReporting[[#This Row],[Period]]=4,OR(BUReporting[[#This Row],[Period]]=5,BUReporting[[#This Row],[Period]]=6))))),VLOOKUP(BUReporting[[#This Row],[Program]],'Program MW '!$A$12:$S$23,11,FALSE),VLOOKUP(BUReporting[[#This Row],[Program]],'Program MW '!$A$35:$S$46,11,FALSE))</f>
        <v>0</v>
      </c>
      <c r="H123" s="703">
        <f>VLOOKUP(BUReporting[[#This Row],[Program]],'Program MW '!$A$35:$S$46,12,FALSE)</f>
        <v>0</v>
      </c>
    </row>
    <row r="124" spans="1:8" ht="15.5" thickTop="1" thickBot="1">
      <c r="A124" s="692">
        <v>5</v>
      </c>
      <c r="B124" s="690" t="s">
        <v>17</v>
      </c>
      <c r="C124" s="705" t="s">
        <v>18</v>
      </c>
      <c r="D124" s="690" t="s">
        <v>19</v>
      </c>
      <c r="E124" s="693">
        <v>10</v>
      </c>
      <c r="F124" s="702" t="s">
        <v>36</v>
      </c>
      <c r="G124" s="691">
        <f>IF(OR(BUReporting[[#This Row],[Period]]=1,OR(BUReporting[[#This Row],[Period]]=2,OR(BUReporting[[#This Row],[Period]]=3,OR(BUReporting[[#This Row],[Period]]=4,OR(BUReporting[[#This Row],[Period]]=5,BUReporting[[#This Row],[Period]]=6))))),VLOOKUP(BUReporting[[#This Row],[Program]],'Program MW '!$A$12:$S$23,11,FALSE),VLOOKUP(BUReporting[[#This Row],[Program]],'Program MW '!$A$35:$S$46,11,FALSE))</f>
        <v>18799</v>
      </c>
      <c r="H124" s="703">
        <f>VLOOKUP(BUReporting[[#This Row],[Program]],'Program MW '!$A$35:$S$46,12,FALSE)</f>
        <v>3.0646896115493338</v>
      </c>
    </row>
    <row r="125" spans="1:8" ht="15.5" thickTop="1" thickBot="1">
      <c r="A125" s="692">
        <v>6</v>
      </c>
      <c r="B125" s="690" t="s">
        <v>20</v>
      </c>
      <c r="C125" s="705" t="s">
        <v>18</v>
      </c>
      <c r="D125" s="690" t="s">
        <v>9</v>
      </c>
      <c r="E125" s="693">
        <v>10</v>
      </c>
      <c r="F125" s="702" t="s">
        <v>36</v>
      </c>
      <c r="G125" s="691">
        <f>IF(OR(BUReporting[[#This Row],[Period]]=1,OR(BUReporting[[#This Row],[Period]]=2,OR(BUReporting[[#This Row],[Period]]=3,OR(BUReporting[[#This Row],[Period]]=4,OR(BUReporting[[#This Row],[Period]]=5,BUReporting[[#This Row],[Period]]=6))))),VLOOKUP(BUReporting[[#This Row],[Program]],'Program MW '!$A$12:$S$23,11,FALSE),VLOOKUP(BUReporting[[#This Row],[Program]],'Program MW '!$A$35:$S$46,11,FALSE))</f>
        <v>1610</v>
      </c>
      <c r="H125" s="703">
        <f>VLOOKUP(BUReporting[[#This Row],[Program]],'Program MW '!$A$35:$S$46,12,FALSE)</f>
        <v>0.76166788316973277</v>
      </c>
    </row>
    <row r="126" spans="1:8" ht="15.5" thickTop="1" thickBot="1">
      <c r="A126" s="692">
        <v>7</v>
      </c>
      <c r="B126" s="690" t="s">
        <v>21</v>
      </c>
      <c r="C126" s="705" t="s">
        <v>22</v>
      </c>
      <c r="D126" s="690" t="s">
        <v>19</v>
      </c>
      <c r="E126" s="693">
        <v>10</v>
      </c>
      <c r="F126" s="702" t="s">
        <v>36</v>
      </c>
      <c r="G126" s="691">
        <f>IF(OR(BUReporting[[#This Row],[Period]]=1,OR(BUReporting[[#This Row],[Period]]=2,OR(BUReporting[[#This Row],[Period]]=3,OR(BUReporting[[#This Row],[Period]]=4,OR(BUReporting[[#This Row],[Period]]=5,BUReporting[[#This Row],[Period]]=6))))),VLOOKUP(BUReporting[[#This Row],[Program]],'Program MW '!$A$12:$S$23,11,FALSE),VLOOKUP(BUReporting[[#This Row],[Program]],'Program MW '!$A$35:$S$46,11,FALSE))</f>
        <v>9281</v>
      </c>
      <c r="H126" s="703">
        <f>VLOOKUP(BUReporting[[#This Row],[Program]],'Program MW '!$A$35:$S$46,12,FALSE)</f>
        <v>2.4331173918439997</v>
      </c>
    </row>
    <row r="127" spans="1:8" ht="15.5" thickTop="1" thickBot="1">
      <c r="A127" s="692">
        <v>8</v>
      </c>
      <c r="B127" s="690" t="s">
        <v>23</v>
      </c>
      <c r="C127" s="705" t="s">
        <v>22</v>
      </c>
      <c r="D127" s="690" t="s">
        <v>9</v>
      </c>
      <c r="E127" s="693">
        <v>10</v>
      </c>
      <c r="F127" s="702" t="s">
        <v>36</v>
      </c>
      <c r="G127" s="691">
        <f>IF(OR(BUReporting[[#This Row],[Period]]=1,OR(BUReporting[[#This Row],[Period]]=2,OR(BUReporting[[#This Row],[Period]]=3,OR(BUReporting[[#This Row],[Period]]=4,OR(BUReporting[[#This Row],[Period]]=5,BUReporting[[#This Row],[Period]]=6))))),VLOOKUP(BUReporting[[#This Row],[Program]],'Program MW '!$A$12:$S$23,11,FALSE),VLOOKUP(BUReporting[[#This Row],[Program]],'Program MW '!$A$35:$S$46,11,FALSE))</f>
        <v>3376</v>
      </c>
      <c r="H127" s="703">
        <f>VLOOKUP(BUReporting[[#This Row],[Program]],'Program MW '!$A$35:$S$46,12,FALSE)</f>
        <v>0.680805902016</v>
      </c>
    </row>
    <row r="128" spans="1:8" ht="15.5" thickTop="1" thickBot="1">
      <c r="A128" s="692">
        <v>9</v>
      </c>
      <c r="B128" s="690" t="s">
        <v>24</v>
      </c>
      <c r="C128" s="705"/>
      <c r="D128" s="690" t="s">
        <v>9</v>
      </c>
      <c r="E128" s="693">
        <v>10</v>
      </c>
      <c r="F128" s="702" t="s">
        <v>36</v>
      </c>
      <c r="G128" s="691">
        <f>IF(OR(BUReporting[[#This Row],[Period]]=1,OR(BUReporting[[#This Row],[Period]]=2,OR(BUReporting[[#This Row],[Period]]=3,OR(BUReporting[[#This Row],[Period]]=4,OR(BUReporting[[#This Row],[Period]]=5,BUReporting[[#This Row],[Period]]=6))))),VLOOKUP(BUReporting[[#This Row],[Program]],'Program MW '!$A$12:$S$23,11,FALSE),VLOOKUP(BUReporting[[#This Row],[Program]],'Program MW '!$A$35:$S$46,11,FALSE))</f>
        <v>10</v>
      </c>
      <c r="H128" s="703">
        <f>VLOOKUP(BUReporting[[#This Row],[Program]],'Program MW '!$A$35:$S$46,12,FALSE)</f>
        <v>2.7955150000000002E-2</v>
      </c>
    </row>
    <row r="129" spans="1:8" ht="15.5" thickTop="1" thickBot="1">
      <c r="A129" s="692">
        <v>10</v>
      </c>
      <c r="B129" s="690" t="s">
        <v>25</v>
      </c>
      <c r="C129" s="705"/>
      <c r="D129" s="690" t="s">
        <v>9</v>
      </c>
      <c r="E129" s="693">
        <v>10</v>
      </c>
      <c r="F129" s="702" t="s">
        <v>36</v>
      </c>
      <c r="G129" s="691">
        <f>IF(OR(BUReporting[[#This Row],[Period]]=1,OR(BUReporting[[#This Row],[Period]]=2,OR(BUReporting[[#This Row],[Period]]=3,OR(BUReporting[[#This Row],[Period]]=4,OR(BUReporting[[#This Row],[Period]]=5,BUReporting[[#This Row],[Period]]=6))))),VLOOKUP(BUReporting[[#This Row],[Program]],'Program MW '!$A$12:$S$23,11,FALSE),VLOOKUP(BUReporting[[#This Row],[Program]],'Program MW '!$A$35:$S$46,11,FALSE))</f>
        <v>182</v>
      </c>
      <c r="H129" s="703">
        <f>VLOOKUP(BUReporting[[#This Row],[Program]],'Program MW '!$A$35:$S$46,12,FALSE)</f>
        <v>2.5301393207999996</v>
      </c>
    </row>
    <row r="130" spans="1:8" ht="15.5" thickTop="1" thickBot="1">
      <c r="A130" s="692">
        <v>11</v>
      </c>
      <c r="B130" s="690" t="s">
        <v>26</v>
      </c>
      <c r="C130" s="705"/>
      <c r="D130" s="690" t="s">
        <v>9</v>
      </c>
      <c r="E130" s="693">
        <v>10</v>
      </c>
      <c r="F130" s="702" t="s">
        <v>36</v>
      </c>
      <c r="G130" s="691">
        <f>IF(OR(BUReporting[[#This Row],[Period]]=1,OR(BUReporting[[#This Row],[Period]]=2,OR(BUReporting[[#This Row],[Period]]=3,OR(BUReporting[[#This Row],[Period]]=4,OR(BUReporting[[#This Row],[Period]]=5,BUReporting[[#This Row],[Period]]=6))))),VLOOKUP(BUReporting[[#This Row],[Program]],'Program MW '!$A$12:$S$23,11,FALSE),VLOOKUP(BUReporting[[#This Row],[Program]],'Program MW '!$A$35:$S$46,11,FALSE))</f>
        <v>111910</v>
      </c>
      <c r="H130" s="703">
        <f>VLOOKUP(BUReporting[[#This Row],[Program]],'Program MW '!$A$35:$S$46,12,FALSE)</f>
        <v>2.0289741456982573</v>
      </c>
    </row>
    <row r="131" spans="1:8" ht="13.5" thickTop="1" thickBot="1">
      <c r="A131" s="692">
        <v>12</v>
      </c>
      <c r="B131" s="690" t="s">
        <v>27</v>
      </c>
      <c r="C131" s="689"/>
      <c r="D131" s="690" t="s">
        <v>19</v>
      </c>
      <c r="E131" s="693">
        <v>10</v>
      </c>
      <c r="F131" s="702" t="s">
        <v>36</v>
      </c>
      <c r="G131" s="691">
        <f>IF(OR(BUReporting[[#This Row],[Period]]=1,OR(BUReporting[[#This Row],[Period]]=2,OR(BUReporting[[#This Row],[Period]]=3,OR(BUReporting[[#This Row],[Period]]=4,OR(BUReporting[[#This Row],[Period]]=5,BUReporting[[#This Row],[Period]]=6))))),VLOOKUP(BUReporting[[#This Row],[Program]],'Program MW '!$A$12:$S$23,11,FALSE),VLOOKUP(BUReporting[[#This Row],[Program]],'Program MW '!$A$35:$S$46,11,FALSE))</f>
        <v>14547</v>
      </c>
      <c r="H131" s="703">
        <f>VLOOKUP(BUReporting[[#This Row],[Program]],'Program MW '!$A$35:$S$46,12,FALSE)</f>
        <v>0.88813595906943088</v>
      </c>
    </row>
    <row r="132" spans="1:8" ht="15.5" thickTop="1" thickBot="1">
      <c r="A132" s="704">
        <v>0</v>
      </c>
      <c r="B132" s="101" t="s">
        <v>8</v>
      </c>
      <c r="C132" s="705"/>
      <c r="D132" s="695" t="s">
        <v>9</v>
      </c>
      <c r="E132" s="700">
        <v>11</v>
      </c>
      <c r="F132" s="701" t="s">
        <v>37</v>
      </c>
      <c r="G132" s="691">
        <f>IF(OR(BUReporting[[#This Row],[Period]]=1,OR(BUReporting[[#This Row],[Period]]=2,OR(BUReporting[[#This Row],[Period]]=2,OR(BUReporting[[#This Row],[Period]]=4,OR(BUReporting[[#This Row],[Period]]=5,BUReporting[[#This Row],[Period]]=6))))),VLOOKUP(BUReporting[[#This Row],[Program]],'Program MW '!$A$9:$S$9,14,FALSE),VLOOKUP(BUReporting[[#This Row],[Program]],'Program MW '!$A$32:$S$32,14,FALSE))</f>
        <v>4</v>
      </c>
      <c r="H132" s="703">
        <f>IF(OR(BUReporting[[#This Row],[Period]]=1,OR(BUReporting[[#This Row],[Period]]=2,OR(BUReporting[[#This Row],[Period]]=3,OR(BUReporting[[#This Row],[Period]]=4,OR(BUReporting[[#This Row],[Period]]=5,BUReporting[[#This Row],[Period]]=6))))),VLOOKUP(BUReporting[[#This Row],[Program]],'Program MW '!$A$9:$S$9,15,FALSE),VLOOKUP(BUReporting[[#This Row],[Program]],'Program MW '!$A$32:$S$32,15,FALSE))</f>
        <v>0.53334015502929688</v>
      </c>
    </row>
    <row r="133" spans="1:8" ht="15.5" thickTop="1" thickBot="1">
      <c r="A133" s="692">
        <v>1</v>
      </c>
      <c r="B133" s="690" t="s">
        <v>11</v>
      </c>
      <c r="C133" s="705"/>
      <c r="D133" s="690" t="s">
        <v>9</v>
      </c>
      <c r="E133" s="693">
        <v>11</v>
      </c>
      <c r="F133" s="702" t="s">
        <v>37</v>
      </c>
      <c r="G133" s="691">
        <f>IF(OR(BUReporting[[#This Row],[Period]]=1,OR(BUReporting[[#This Row],[Period]]=2,OR(BUReporting[[#This Row],[Period]]=3,OR(BUReporting[[#This Row],[Period]]=4,OR(BUReporting[[#This Row],[Period]]=5,BUReporting[[#This Row],[Period]]=6))))),VLOOKUP(BUReporting[[#This Row],[Program]],'Program MW '!$A$12:$S$23,14,FALSE),VLOOKUP(BUReporting[[#This Row],[Program]],'Program MW '!$A$35:$S$46,14,FALSE))</f>
        <v>14663</v>
      </c>
      <c r="H133" s="703">
        <f>VLOOKUP(BUReporting[[#This Row],[Program]],'Program MW '!$A$35:$S$46,15,FALSE)</f>
        <v>0</v>
      </c>
    </row>
    <row r="134" spans="1:8" ht="15.5" thickTop="1" thickBot="1">
      <c r="A134" s="692">
        <v>2</v>
      </c>
      <c r="B134" s="690" t="s">
        <v>12</v>
      </c>
      <c r="C134" s="705" t="s">
        <v>13</v>
      </c>
      <c r="D134" s="690" t="s">
        <v>9</v>
      </c>
      <c r="E134" s="693">
        <v>11</v>
      </c>
      <c r="F134" s="702" t="s">
        <v>37</v>
      </c>
      <c r="G134" s="691">
        <f>IF(OR(BUReporting[[#This Row],[Period]]=1,OR(BUReporting[[#This Row],[Period]]=2,OR(BUReporting[[#This Row],[Period]]=3,OR(BUReporting[[#This Row],[Period]]=4,OR(BUReporting[[#This Row],[Period]]=5,BUReporting[[#This Row],[Period]]=6))))),VLOOKUP(BUReporting[[#This Row],[Program]],'Program MW '!$A$12:$S$23,14,FALSE),VLOOKUP(BUReporting[[#This Row],[Program]],'Program MW '!$A$35:$S$46,14,FALSE))</f>
        <v>0</v>
      </c>
      <c r="H134" s="703">
        <f>VLOOKUP(BUReporting[[#This Row],[Program]],'Program MW '!$A$35:$S$46,15,FALSE)</f>
        <v>0</v>
      </c>
    </row>
    <row r="135" spans="1:8" ht="15.5" thickTop="1" thickBot="1">
      <c r="A135" s="692">
        <v>3</v>
      </c>
      <c r="B135" s="690" t="s">
        <v>14</v>
      </c>
      <c r="C135" s="705"/>
      <c r="D135" s="690" t="s">
        <v>9</v>
      </c>
      <c r="E135" s="693">
        <v>11</v>
      </c>
      <c r="F135" s="702" t="s">
        <v>37</v>
      </c>
      <c r="G135" s="691">
        <f>IF(OR(BUReporting[[#This Row],[Period]]=1,OR(BUReporting[[#This Row],[Period]]=2,OR(BUReporting[[#This Row],[Period]]=3,OR(BUReporting[[#This Row],[Period]]=4,OR(BUReporting[[#This Row],[Period]]=5,BUReporting[[#This Row],[Period]]=6))))),VLOOKUP(BUReporting[[#This Row],[Program]],'Program MW '!$A$12:$S$23,14,FALSE),VLOOKUP(BUReporting[[#This Row],[Program]],'Program MW '!$A$35:$S$46,14,FALSE))</f>
        <v>1</v>
      </c>
      <c r="H135" s="703">
        <f>VLOOKUP(BUReporting[[#This Row],[Program]],'Program MW '!$A$35:$S$46,15,FALSE)</f>
        <v>0</v>
      </c>
    </row>
    <row r="136" spans="1:8" ht="15.5" thickTop="1" thickBot="1">
      <c r="A136" s="692">
        <v>4</v>
      </c>
      <c r="B136" s="690" t="s">
        <v>15</v>
      </c>
      <c r="C136" s="705" t="s">
        <v>16</v>
      </c>
      <c r="D136" s="690" t="s">
        <v>9</v>
      </c>
      <c r="E136" s="693">
        <v>11</v>
      </c>
      <c r="F136" s="702" t="s">
        <v>37</v>
      </c>
      <c r="G136" s="691">
        <f>IF(OR(BUReporting[[#This Row],[Period]]=1,OR(BUReporting[[#This Row],[Period]]=2,OR(BUReporting[[#This Row],[Period]]=3,OR(BUReporting[[#This Row],[Period]]=4,OR(BUReporting[[#This Row],[Period]]=5,BUReporting[[#This Row],[Period]]=6))))),VLOOKUP(BUReporting[[#This Row],[Program]],'Program MW '!$A$12:$S$23,14,FALSE),VLOOKUP(BUReporting[[#This Row],[Program]],'Program MW '!$A$35:$S$46,14,FALSE))</f>
        <v>0</v>
      </c>
      <c r="H136" s="703">
        <f>VLOOKUP(BUReporting[[#This Row],[Program]],'Program MW '!$A$35:$S$46,15,FALSE)</f>
        <v>0</v>
      </c>
    </row>
    <row r="137" spans="1:8" ht="15.5" thickTop="1" thickBot="1">
      <c r="A137" s="692">
        <v>5</v>
      </c>
      <c r="B137" s="690" t="s">
        <v>17</v>
      </c>
      <c r="C137" s="705" t="s">
        <v>18</v>
      </c>
      <c r="D137" s="690" t="s">
        <v>19</v>
      </c>
      <c r="E137" s="693">
        <v>11</v>
      </c>
      <c r="F137" s="702" t="s">
        <v>37</v>
      </c>
      <c r="G137" s="691">
        <f>IF(OR(BUReporting[[#This Row],[Period]]=1,OR(BUReporting[[#This Row],[Period]]=2,OR(BUReporting[[#This Row],[Period]]=3,OR(BUReporting[[#This Row],[Period]]=4,OR(BUReporting[[#This Row],[Period]]=5,BUReporting[[#This Row],[Period]]=6))))),VLOOKUP(BUReporting[[#This Row],[Program]],'Program MW '!$A$12:$S$23,14,FALSE),VLOOKUP(BUReporting[[#This Row],[Program]],'Program MW '!$A$35:$S$46,14,FALSE))</f>
        <v>18901</v>
      </c>
      <c r="H137" s="703">
        <f>VLOOKUP(BUReporting[[#This Row],[Program]],'Program MW '!$A$35:$S$46,15,FALSE)</f>
        <v>2.7070132388936578E-4</v>
      </c>
    </row>
    <row r="138" spans="1:8" ht="15.5" thickTop="1" thickBot="1">
      <c r="A138" s="692">
        <v>6</v>
      </c>
      <c r="B138" s="690" t="s">
        <v>20</v>
      </c>
      <c r="C138" s="705" t="s">
        <v>18</v>
      </c>
      <c r="D138" s="690" t="s">
        <v>9</v>
      </c>
      <c r="E138" s="693">
        <v>11</v>
      </c>
      <c r="F138" s="702" t="s">
        <v>37</v>
      </c>
      <c r="G138" s="691">
        <f>IF(OR(BUReporting[[#This Row],[Period]]=1,OR(BUReporting[[#This Row],[Period]]=2,OR(BUReporting[[#This Row],[Period]]=3,OR(BUReporting[[#This Row],[Period]]=4,OR(BUReporting[[#This Row],[Period]]=5,BUReporting[[#This Row],[Period]]=6))))),VLOOKUP(BUReporting[[#This Row],[Program]],'Program MW '!$A$12:$S$23,14,FALSE),VLOOKUP(BUReporting[[#This Row],[Program]],'Program MW '!$A$35:$S$46,14,FALSE))</f>
        <v>1615</v>
      </c>
      <c r="H138" s="703">
        <f>VLOOKUP(BUReporting[[#This Row],[Program]],'Program MW '!$A$35:$S$46,15,FALSE)</f>
        <v>2.3130132695694711E-5</v>
      </c>
    </row>
    <row r="139" spans="1:8" ht="15.5" thickTop="1" thickBot="1">
      <c r="A139" s="692">
        <v>7</v>
      </c>
      <c r="B139" s="690" t="s">
        <v>21</v>
      </c>
      <c r="C139" s="705" t="s">
        <v>22</v>
      </c>
      <c r="D139" s="690" t="s">
        <v>19</v>
      </c>
      <c r="E139" s="693">
        <v>11</v>
      </c>
      <c r="F139" s="702" t="s">
        <v>37</v>
      </c>
      <c r="G139" s="691">
        <f>IF(OR(BUReporting[[#This Row],[Period]]=1,OR(BUReporting[[#This Row],[Period]]=2,OR(BUReporting[[#This Row],[Period]]=3,OR(BUReporting[[#This Row],[Period]]=4,OR(BUReporting[[#This Row],[Period]]=5,BUReporting[[#This Row],[Period]]=6))))),VLOOKUP(BUReporting[[#This Row],[Program]],'Program MW '!$A$12:$S$23,14,FALSE),VLOOKUP(BUReporting[[#This Row],[Program]],'Program MW '!$A$35:$S$46,14,FALSE))</f>
        <v>9030</v>
      </c>
      <c r="H139" s="703">
        <f>VLOOKUP(BUReporting[[#This Row],[Program]],'Program MW '!$A$35:$S$46,15,FALSE)</f>
        <v>1.2932823420564905E-4</v>
      </c>
    </row>
    <row r="140" spans="1:8" ht="15.5" thickTop="1" thickBot="1">
      <c r="A140" s="692">
        <v>8</v>
      </c>
      <c r="B140" s="690" t="s">
        <v>23</v>
      </c>
      <c r="C140" s="705" t="s">
        <v>22</v>
      </c>
      <c r="D140" s="690" t="s">
        <v>9</v>
      </c>
      <c r="E140" s="693">
        <v>11</v>
      </c>
      <c r="F140" s="702" t="s">
        <v>37</v>
      </c>
      <c r="G140" s="691">
        <f>IF(OR(BUReporting[[#This Row],[Period]]=1,OR(BUReporting[[#This Row],[Period]]=2,OR(BUReporting[[#This Row],[Period]]=3,OR(BUReporting[[#This Row],[Period]]=4,OR(BUReporting[[#This Row],[Period]]=5,BUReporting[[#This Row],[Period]]=6))))),VLOOKUP(BUReporting[[#This Row],[Program]],'Program MW '!$A$12:$S$23,14,FALSE),VLOOKUP(BUReporting[[#This Row],[Program]],'Program MW '!$A$35:$S$46,14,FALSE))</f>
        <v>3370</v>
      </c>
      <c r="H140" s="703">
        <f>VLOOKUP(BUReporting[[#This Row],[Program]],'Program MW '!$A$35:$S$46,15,FALSE)</f>
        <v>4.8265354293802581E-5</v>
      </c>
    </row>
    <row r="141" spans="1:8" ht="15.5" thickTop="1" thickBot="1">
      <c r="A141" s="692">
        <v>9</v>
      </c>
      <c r="B141" s="690" t="s">
        <v>24</v>
      </c>
      <c r="C141" s="705"/>
      <c r="D141" s="690" t="s">
        <v>9</v>
      </c>
      <c r="E141" s="693">
        <v>11</v>
      </c>
      <c r="F141" s="702" t="s">
        <v>37</v>
      </c>
      <c r="G141" s="691">
        <f>IF(OR(BUReporting[[#This Row],[Period]]=1,OR(BUReporting[[#This Row],[Period]]=2,OR(BUReporting[[#This Row],[Period]]=3,OR(BUReporting[[#This Row],[Period]]=4,OR(BUReporting[[#This Row],[Period]]=5,BUReporting[[#This Row],[Period]]=6))))),VLOOKUP(BUReporting[[#This Row],[Program]],'Program MW '!$A$12:$S$23,14,FALSE),VLOOKUP(BUReporting[[#This Row],[Program]],'Program MW '!$A$35:$S$46,14,FALSE))</f>
        <v>0</v>
      </c>
      <c r="H141" s="703">
        <f>VLOOKUP(BUReporting[[#This Row],[Program]],'Program MW '!$A$35:$S$46,15,FALSE)</f>
        <v>0</v>
      </c>
    </row>
    <row r="142" spans="1:8" ht="15.5" thickTop="1" thickBot="1">
      <c r="A142" s="692">
        <v>10</v>
      </c>
      <c r="B142" s="690" t="s">
        <v>25</v>
      </c>
      <c r="C142" s="705"/>
      <c r="D142" s="690" t="s">
        <v>9</v>
      </c>
      <c r="E142" s="693">
        <v>11</v>
      </c>
      <c r="F142" s="702" t="s">
        <v>37</v>
      </c>
      <c r="G142" s="691">
        <f>IF(OR(BUReporting[[#This Row],[Period]]=1,OR(BUReporting[[#This Row],[Period]]=2,OR(BUReporting[[#This Row],[Period]]=3,OR(BUReporting[[#This Row],[Period]]=4,OR(BUReporting[[#This Row],[Period]]=5,BUReporting[[#This Row],[Period]]=6))))),VLOOKUP(BUReporting[[#This Row],[Program]],'Program MW '!$A$12:$S$23,14,FALSE),VLOOKUP(BUReporting[[#This Row],[Program]],'Program MW '!$A$35:$S$46,14,FALSE))</f>
        <v>0</v>
      </c>
      <c r="H142" s="703">
        <f>VLOOKUP(BUReporting[[#This Row],[Program]],'Program MW '!$A$35:$S$46,15,FALSE)</f>
        <v>0</v>
      </c>
    </row>
    <row r="143" spans="1:8" ht="15.5" thickTop="1" thickBot="1">
      <c r="A143" s="692">
        <v>11</v>
      </c>
      <c r="B143" s="690" t="s">
        <v>26</v>
      </c>
      <c r="C143" s="705"/>
      <c r="D143" s="690" t="s">
        <v>9</v>
      </c>
      <c r="E143" s="693">
        <v>11</v>
      </c>
      <c r="F143" s="702" t="s">
        <v>37</v>
      </c>
      <c r="G143" s="691">
        <f>IF(OR(BUReporting[[#This Row],[Period]]=1,OR(BUReporting[[#This Row],[Period]]=2,OR(BUReporting[[#This Row],[Period]]=3,OR(BUReporting[[#This Row],[Period]]=4,OR(BUReporting[[#This Row],[Period]]=5,BUReporting[[#This Row],[Period]]=6))))),VLOOKUP(BUReporting[[#This Row],[Program]],'Program MW '!$A$12:$S$23,14,FALSE),VLOOKUP(BUReporting[[#This Row],[Program]],'Program MW '!$A$35:$S$46,14,FALSE))</f>
        <v>111775</v>
      </c>
      <c r="H143" s="703">
        <f>VLOOKUP(BUReporting[[#This Row],[Program]],'Program MW '!$A$35:$S$46,15,FALSE)</f>
        <v>1.3220276427776612</v>
      </c>
    </row>
    <row r="144" spans="1:8" ht="13.5" thickTop="1" thickBot="1">
      <c r="A144" s="692">
        <v>12</v>
      </c>
      <c r="B144" s="690" t="s">
        <v>27</v>
      </c>
      <c r="C144" s="689"/>
      <c r="D144" s="690" t="s">
        <v>19</v>
      </c>
      <c r="E144" s="693">
        <v>11</v>
      </c>
      <c r="F144" s="702" t="s">
        <v>37</v>
      </c>
      <c r="G144" s="691">
        <f>IF(OR(BUReporting[[#This Row],[Period]]=1,OR(BUReporting[[#This Row],[Period]]=2,OR(BUReporting[[#This Row],[Period]]=3,OR(BUReporting[[#This Row],[Period]]=4,OR(BUReporting[[#This Row],[Period]]=5,BUReporting[[#This Row],[Period]]=6))))),VLOOKUP(BUReporting[[#This Row],[Program]],'Program MW '!$A$12:$S$23,14,FALSE),VLOOKUP(BUReporting[[#This Row],[Program]],'Program MW '!$A$35:$S$46,14,FALSE))</f>
        <v>14663</v>
      </c>
      <c r="H144" s="703">
        <f>VLOOKUP(BUReporting[[#This Row],[Program]],'Program MW '!$A$35:$S$46,15,FALSE)</f>
        <v>0.64264910282269128</v>
      </c>
    </row>
    <row r="145" spans="1:8" ht="15.5" thickTop="1" thickBot="1">
      <c r="A145" s="704">
        <v>0</v>
      </c>
      <c r="B145" s="101" t="s">
        <v>8</v>
      </c>
      <c r="C145" s="705"/>
      <c r="D145" s="695" t="s">
        <v>9</v>
      </c>
      <c r="E145" s="700">
        <v>12</v>
      </c>
      <c r="F145" s="701" t="s">
        <v>38</v>
      </c>
      <c r="G145" s="691">
        <f>IF(OR(BUReporting[[#This Row],[Period]]=1,OR(BUReporting[[#This Row],[Period]]=2,OR(BUReporting[[#This Row],[Period]]=2,OR(BUReporting[[#This Row],[Period]]=4,OR(BUReporting[[#This Row],[Period]]=5,BUReporting[[#This Row],[Period]]=6))))),VLOOKUP(BUReporting[[#This Row],[Program]],'Program MW '!$A$9:$S$9,17,FALSE),VLOOKUP(BUReporting[[#This Row],[Program]],'Program MW '!$A$32:$S$32,17,FALSE))</f>
        <v>4</v>
      </c>
      <c r="H145" s="703">
        <f>IF(OR(BUReporting[[#This Row],[Period]]=1,OR(BUReporting[[#This Row],[Period]]=2,OR(BUReporting[[#This Row],[Period]]=3,OR(BUReporting[[#This Row],[Period]]=4,OR(BUReporting[[#This Row],[Period]]=5,BUReporting[[#This Row],[Period]]=6))))),VLOOKUP(BUReporting[[#This Row],[Program]],'Program MW '!$A$9:$S$9,18,FALSE),VLOOKUP(BUReporting[[#This Row],[Program]],'Program MW '!$A$32:$S$32,18,FALSE))</f>
        <v>0.61446790161132814</v>
      </c>
    </row>
    <row r="146" spans="1:8" ht="15.5" thickTop="1" thickBot="1">
      <c r="A146" s="692">
        <v>1</v>
      </c>
      <c r="B146" s="690" t="s">
        <v>11</v>
      </c>
      <c r="C146" s="705"/>
      <c r="D146" s="690" t="s">
        <v>9</v>
      </c>
      <c r="E146" s="693">
        <v>12</v>
      </c>
      <c r="F146" s="702" t="s">
        <v>38</v>
      </c>
      <c r="G146" s="691">
        <f>IF(OR(BUReporting[[#This Row],[Period]]=1,OR(BUReporting[[#This Row],[Period]]=2,OR(BUReporting[[#This Row],[Period]]=3,OR(BUReporting[[#This Row],[Period]]=4,OR(BUReporting[[#This Row],[Period]]=5,BUReporting[[#This Row],[Period]]=6))))),VLOOKUP(BUReporting[[#This Row],[Program]],'Program MW '!$A$12:$S$23,17,FALSE),VLOOKUP(BUReporting[[#This Row],[Program]],'Program MW '!$A$35:$S$46,17,FALSE))</f>
        <v>14371</v>
      </c>
      <c r="H146" s="703">
        <f>VLOOKUP(BUReporting[[#This Row],[Program]],'Program MW '!$A$35:$S$46,18,FALSE)</f>
        <v>0</v>
      </c>
    </row>
    <row r="147" spans="1:8" ht="15.5" thickTop="1" thickBot="1">
      <c r="A147" s="692">
        <v>2</v>
      </c>
      <c r="B147" s="690" t="s">
        <v>12</v>
      </c>
      <c r="C147" s="705" t="s">
        <v>13</v>
      </c>
      <c r="D147" s="690" t="s">
        <v>9</v>
      </c>
      <c r="E147" s="693">
        <v>12</v>
      </c>
      <c r="F147" s="702" t="s">
        <v>38</v>
      </c>
      <c r="G147" s="691">
        <f>IF(OR(BUReporting[[#This Row],[Period]]=1,OR(BUReporting[[#This Row],[Period]]=2,OR(BUReporting[[#This Row],[Period]]=3,OR(BUReporting[[#This Row],[Period]]=4,OR(BUReporting[[#This Row],[Period]]=5,BUReporting[[#This Row],[Period]]=6))))),VLOOKUP(BUReporting[[#This Row],[Program]],'Program MW '!$A$12:$S$23,17,FALSE),VLOOKUP(BUReporting[[#This Row],[Program]],'Program MW '!$A$35:$S$46,17,FALSE))</f>
        <v>0</v>
      </c>
      <c r="H147" s="703">
        <f>VLOOKUP(BUReporting[[#This Row],[Program]],'Program MW '!$A$35:$S$46,18,FALSE)</f>
        <v>0</v>
      </c>
    </row>
    <row r="148" spans="1:8" ht="15.5" thickTop="1" thickBot="1">
      <c r="A148" s="692">
        <v>3</v>
      </c>
      <c r="B148" s="690" t="s">
        <v>14</v>
      </c>
      <c r="C148" s="705"/>
      <c r="D148" s="690" t="s">
        <v>9</v>
      </c>
      <c r="E148" s="693">
        <v>12</v>
      </c>
      <c r="F148" s="702" t="s">
        <v>38</v>
      </c>
      <c r="G148" s="691">
        <f>IF(OR(BUReporting[[#This Row],[Period]]=1,OR(BUReporting[[#This Row],[Period]]=2,OR(BUReporting[[#This Row],[Period]]=3,OR(BUReporting[[#This Row],[Period]]=4,OR(BUReporting[[#This Row],[Period]]=5,BUReporting[[#This Row],[Period]]=6))))),VLOOKUP(BUReporting[[#This Row],[Program]],'Program MW '!$A$12:$S$23,17,FALSE),VLOOKUP(BUReporting[[#This Row],[Program]],'Program MW '!$A$35:$S$46,17,FALSE))</f>
        <v>1</v>
      </c>
      <c r="H148" s="703">
        <f>VLOOKUP(BUReporting[[#This Row],[Program]],'Program MW '!$A$35:$S$46,18,FALSE)</f>
        <v>0</v>
      </c>
    </row>
    <row r="149" spans="1:8" ht="15.5" thickTop="1" thickBot="1">
      <c r="A149" s="692">
        <v>4</v>
      </c>
      <c r="B149" s="690" t="s">
        <v>15</v>
      </c>
      <c r="C149" s="705" t="s">
        <v>16</v>
      </c>
      <c r="D149" s="690" t="s">
        <v>9</v>
      </c>
      <c r="E149" s="693">
        <v>12</v>
      </c>
      <c r="F149" s="702" t="s">
        <v>38</v>
      </c>
      <c r="G149" s="691">
        <f>IF(OR(BUReporting[[#This Row],[Period]]=1,OR(BUReporting[[#This Row],[Period]]=2,OR(BUReporting[[#This Row],[Period]]=3,OR(BUReporting[[#This Row],[Period]]=4,OR(BUReporting[[#This Row],[Period]]=5,BUReporting[[#This Row],[Period]]=6))))),VLOOKUP(BUReporting[[#This Row],[Program]],'Program MW '!$A$12:$S$23,17,FALSE),VLOOKUP(BUReporting[[#This Row],[Program]],'Program MW '!$A$35:$S$46,17,FALSE))</f>
        <v>0</v>
      </c>
      <c r="H149" s="703">
        <f>VLOOKUP(BUReporting[[#This Row],[Program]],'Program MW '!$A$35:$S$46,18,FALSE)</f>
        <v>0</v>
      </c>
    </row>
    <row r="150" spans="1:8" ht="15.5" thickTop="1" thickBot="1">
      <c r="A150" s="692">
        <v>5</v>
      </c>
      <c r="B150" s="690" t="s">
        <v>17</v>
      </c>
      <c r="C150" s="705" t="s">
        <v>18</v>
      </c>
      <c r="D150" s="690" t="s">
        <v>19</v>
      </c>
      <c r="E150" s="693">
        <v>12</v>
      </c>
      <c r="F150" s="702" t="s">
        <v>38</v>
      </c>
      <c r="G150" s="691">
        <f>IF(OR(BUReporting[[#This Row],[Period]]=1,OR(BUReporting[[#This Row],[Period]]=2,OR(BUReporting[[#This Row],[Period]]=3,OR(BUReporting[[#This Row],[Period]]=4,OR(BUReporting[[#This Row],[Period]]=5,BUReporting[[#This Row],[Period]]=6))))),VLOOKUP(BUReporting[[#This Row],[Program]],'Program MW '!$A$12:$S$23,17,FALSE),VLOOKUP(BUReporting[[#This Row],[Program]],'Program MW '!$A$35:$S$46,17,FALSE))</f>
        <v>19161</v>
      </c>
      <c r="H150" s="703">
        <f>VLOOKUP(BUReporting[[#This Row],[Program]],'Program MW '!$A$35:$S$46,18,FALSE)</f>
        <v>2.7442506042241877E-4</v>
      </c>
    </row>
    <row r="151" spans="1:8" ht="15.5" thickTop="1" thickBot="1">
      <c r="A151" s="692">
        <v>6</v>
      </c>
      <c r="B151" s="690" t="s">
        <v>20</v>
      </c>
      <c r="C151" s="705" t="s">
        <v>18</v>
      </c>
      <c r="D151" s="690" t="s">
        <v>9</v>
      </c>
      <c r="E151" s="693">
        <v>12</v>
      </c>
      <c r="F151" s="702" t="s">
        <v>38</v>
      </c>
      <c r="G151" s="691">
        <f>IF(OR(BUReporting[[#This Row],[Period]]=1,OR(BUReporting[[#This Row],[Period]]=2,OR(BUReporting[[#This Row],[Period]]=3,OR(BUReporting[[#This Row],[Period]]=4,OR(BUReporting[[#This Row],[Period]]=5,BUReporting[[#This Row],[Period]]=6))))),VLOOKUP(BUReporting[[#This Row],[Program]],'Program MW '!$A$12:$S$23,17,FALSE),VLOOKUP(BUReporting[[#This Row],[Program]],'Program MW '!$A$35:$S$46,17,FALSE))</f>
        <v>1618</v>
      </c>
      <c r="H151" s="703">
        <f>VLOOKUP(BUReporting[[#This Row],[Program]],'Program MW '!$A$35:$S$46,18,FALSE)</f>
        <v>2.3173098886460706E-5</v>
      </c>
    </row>
    <row r="152" spans="1:8" ht="15.5" thickTop="1" thickBot="1">
      <c r="A152" s="692">
        <v>7</v>
      </c>
      <c r="B152" s="690" t="s">
        <v>21</v>
      </c>
      <c r="C152" s="705" t="s">
        <v>22</v>
      </c>
      <c r="D152" s="690" t="s">
        <v>19</v>
      </c>
      <c r="E152" s="693">
        <v>12</v>
      </c>
      <c r="F152" s="702" t="s">
        <v>38</v>
      </c>
      <c r="G152" s="691">
        <f>IF(OR(BUReporting[[#This Row],[Period]]=1,OR(BUReporting[[#This Row],[Period]]=2,OR(BUReporting[[#This Row],[Period]]=3,OR(BUReporting[[#This Row],[Period]]=4,OR(BUReporting[[#This Row],[Period]]=5,BUReporting[[#This Row],[Period]]=6))))),VLOOKUP(BUReporting[[#This Row],[Program]],'Program MW '!$A$12:$S$23,17,FALSE),VLOOKUP(BUReporting[[#This Row],[Program]],'Program MW '!$A$35:$S$46,17,FALSE))</f>
        <v>8825</v>
      </c>
      <c r="H152" s="703">
        <f>VLOOKUP(BUReporting[[#This Row],[Program]],'Program MW '!$A$35:$S$46,18,FALSE)</f>
        <v>1.2639221116997264E-4</v>
      </c>
    </row>
    <row r="153" spans="1:8" ht="15.5" thickTop="1" thickBot="1">
      <c r="A153" s="692">
        <v>8</v>
      </c>
      <c r="B153" s="690" t="s">
        <v>23</v>
      </c>
      <c r="C153" s="705" t="s">
        <v>22</v>
      </c>
      <c r="D153" s="690" t="s">
        <v>9</v>
      </c>
      <c r="E153" s="693">
        <v>12</v>
      </c>
      <c r="F153" s="702" t="s">
        <v>38</v>
      </c>
      <c r="G153" s="691">
        <f>IF(OR(BUReporting[[#This Row],[Period]]=1,OR(BUReporting[[#This Row],[Period]]=2,OR(BUReporting[[#This Row],[Period]]=3,OR(BUReporting[[#This Row],[Period]]=4,OR(BUReporting[[#This Row],[Period]]=5,BUReporting[[#This Row],[Period]]=6))))),VLOOKUP(BUReporting[[#This Row],[Program]],'Program MW '!$A$12:$S$23,17,FALSE),VLOOKUP(BUReporting[[#This Row],[Program]],'Program MW '!$A$35:$S$46,17,FALSE))</f>
        <v>3199</v>
      </c>
      <c r="H153" s="703">
        <f>VLOOKUP(BUReporting[[#This Row],[Program]],'Program MW '!$A$35:$S$46,18,FALSE)</f>
        <v>4.5816281420140788E-5</v>
      </c>
    </row>
    <row r="154" spans="1:8" ht="15.5" thickTop="1" thickBot="1">
      <c r="A154" s="692">
        <v>9</v>
      </c>
      <c r="B154" s="690" t="s">
        <v>24</v>
      </c>
      <c r="C154" s="705"/>
      <c r="D154" s="690" t="s">
        <v>9</v>
      </c>
      <c r="E154" s="693">
        <v>12</v>
      </c>
      <c r="F154" s="702" t="s">
        <v>38</v>
      </c>
      <c r="G154" s="691">
        <f>IF(OR(BUReporting[[#This Row],[Period]]=1,OR(BUReporting[[#This Row],[Period]]=2,OR(BUReporting[[#This Row],[Period]]=3,OR(BUReporting[[#This Row],[Period]]=4,OR(BUReporting[[#This Row],[Period]]=5,BUReporting[[#This Row],[Period]]=6))))),VLOOKUP(BUReporting[[#This Row],[Program]],'Program MW '!$A$12:$S$23,17,FALSE),VLOOKUP(BUReporting[[#This Row],[Program]],'Program MW '!$A$35:$S$46,17,FALSE))</f>
        <v>0</v>
      </c>
      <c r="H154" s="703">
        <f>VLOOKUP(BUReporting[[#This Row],[Program]],'Program MW '!$A$35:$S$46,18,FALSE)</f>
        <v>0</v>
      </c>
    </row>
    <row r="155" spans="1:8" ht="15.5" thickTop="1" thickBot="1">
      <c r="A155" s="692">
        <v>10</v>
      </c>
      <c r="B155" s="690" t="s">
        <v>25</v>
      </c>
      <c r="C155" s="705"/>
      <c r="D155" s="690" t="s">
        <v>9</v>
      </c>
      <c r="E155" s="693">
        <v>12</v>
      </c>
      <c r="F155" s="702" t="s">
        <v>38</v>
      </c>
      <c r="G155" s="691">
        <f>IF(OR(BUReporting[[#This Row],[Period]]=1,OR(BUReporting[[#This Row],[Period]]=2,OR(BUReporting[[#This Row],[Period]]=3,OR(BUReporting[[#This Row],[Period]]=4,OR(BUReporting[[#This Row],[Period]]=5,BUReporting[[#This Row],[Period]]=6))))),VLOOKUP(BUReporting[[#This Row],[Program]],'Program MW '!$A$12:$S$23,17,FALSE),VLOOKUP(BUReporting[[#This Row],[Program]],'Program MW '!$A$35:$S$46,17,FALSE))</f>
        <v>0</v>
      </c>
      <c r="H155" s="703">
        <f>VLOOKUP(BUReporting[[#This Row],[Program]],'Program MW '!$A$35:$S$46,18,FALSE)</f>
        <v>0</v>
      </c>
    </row>
    <row r="156" spans="1:8" ht="15.5" thickTop="1" thickBot="1">
      <c r="A156" s="692">
        <v>11</v>
      </c>
      <c r="B156" s="690" t="s">
        <v>26</v>
      </c>
      <c r="C156" s="705"/>
      <c r="D156" s="690" t="s">
        <v>9</v>
      </c>
      <c r="E156" s="693">
        <v>12</v>
      </c>
      <c r="F156" s="702" t="s">
        <v>38</v>
      </c>
      <c r="G156" s="691">
        <f>IF(OR(BUReporting[[#This Row],[Period]]=1,OR(BUReporting[[#This Row],[Period]]=2,OR(BUReporting[[#This Row],[Period]]=3,OR(BUReporting[[#This Row],[Period]]=4,OR(BUReporting[[#This Row],[Period]]=5,BUReporting[[#This Row],[Period]]=6))))),VLOOKUP(BUReporting[[#This Row],[Program]],'Program MW '!$A$12:$S$23,17,FALSE),VLOOKUP(BUReporting[[#This Row],[Program]],'Program MW '!$A$35:$S$46,17,FALSE))</f>
        <v>111525</v>
      </c>
      <c r="H156" s="703">
        <f>VLOOKUP(BUReporting[[#This Row],[Program]],'Program MW '!$A$35:$S$46,18,FALSE)</f>
        <v>1.0947791429617098</v>
      </c>
    </row>
    <row r="157" spans="1:8" ht="13" thickTop="1">
      <c r="A157" s="692">
        <v>12</v>
      </c>
      <c r="B157" s="690" t="s">
        <v>27</v>
      </c>
      <c r="C157" s="689"/>
      <c r="D157" s="690" t="s">
        <v>19</v>
      </c>
      <c r="E157" s="693">
        <v>12</v>
      </c>
      <c r="F157" s="702" t="s">
        <v>38</v>
      </c>
      <c r="G157" s="691">
        <f>IF(OR(BUReporting[[#This Row],[Period]]=1,OR(BUReporting[[#This Row],[Period]]=2,OR(BUReporting[[#This Row],[Period]]=3,OR(BUReporting[[#This Row],[Period]]=4,OR(BUReporting[[#This Row],[Period]]=5,BUReporting[[#This Row],[Period]]=6))))),VLOOKUP(BUReporting[[#This Row],[Program]],'Program MW '!$A$12:$S$23,17,FALSE),VLOOKUP(BUReporting[[#This Row],[Program]],'Program MW '!$A$35:$S$46,17,FALSE))</f>
        <v>14851</v>
      </c>
      <c r="H157" s="703">
        <f>VLOOKUP(BUReporting[[#This Row],[Program]],'Program MW '!$A$35:$S$46,18,FALSE)</f>
        <v>0.76204075710102914</v>
      </c>
    </row>
  </sheetData>
  <pageMargins left="0.7" right="0.7" top="0.75" bottom="0.75" header="0.3" footer="0.3"/>
  <tableParts count="1">
    <tablePart r:id="rId1"/>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2:Z66"/>
  <sheetViews>
    <sheetView showGridLines="0" zoomScale="110" zoomScaleNormal="110" zoomScaleSheetLayoutView="80" workbookViewId="0">
      <pane xSplit="1" ySplit="9" topLeftCell="B65" activePane="bottomRight" state="frozen"/>
      <selection pane="topRight" activeCell="B34" sqref="B34"/>
      <selection pane="bottomLeft" activeCell="B34" sqref="B34"/>
      <selection pane="bottomRight" activeCell="A65" sqref="A65"/>
    </sheetView>
  </sheetViews>
  <sheetFormatPr defaultColWidth="9.1796875" defaultRowHeight="12.5"/>
  <cols>
    <col min="1" max="1" width="51.7265625" style="147" customWidth="1"/>
    <col min="2" max="2" width="13" style="147" customWidth="1"/>
    <col min="3" max="3" width="11.453125" style="147" customWidth="1"/>
    <col min="4" max="4" width="15.54296875" style="147" customWidth="1"/>
    <col min="5" max="5" width="12" style="147" customWidth="1"/>
    <col min="6" max="6" width="11.26953125" style="147" bestFit="1" customWidth="1"/>
    <col min="7" max="7" width="12.7265625" style="147" customWidth="1"/>
    <col min="8" max="8" width="11.7265625" style="147" bestFit="1" customWidth="1"/>
    <col min="9" max="9" width="11.7265625" style="147" customWidth="1"/>
    <col min="10" max="10" width="12" style="147" customWidth="1"/>
    <col min="11" max="11" width="10.7265625" style="147" customWidth="1"/>
    <col min="12" max="12" width="11.81640625" style="147" customWidth="1"/>
    <col min="13" max="13" width="11.7265625" style="147" customWidth="1"/>
    <col min="14" max="14" width="13.26953125" style="147" customWidth="1"/>
    <col min="15" max="15" width="23.26953125" style="147" bestFit="1" customWidth="1"/>
    <col min="16" max="16" width="16" style="147" customWidth="1"/>
    <col min="17" max="17" width="17.1796875" style="147" customWidth="1"/>
    <col min="18" max="18" width="14.7265625" style="147" customWidth="1"/>
    <col min="19" max="19" width="13.453125" style="147" bestFit="1" customWidth="1"/>
    <col min="20" max="16384" width="9.1796875" style="147"/>
  </cols>
  <sheetData>
    <row r="2" spans="1:19" ht="13">
      <c r="A2" s="146"/>
      <c r="G2" s="175" t="s">
        <v>222</v>
      </c>
      <c r="N2" s="146"/>
    </row>
    <row r="3" spans="1:19" ht="13">
      <c r="A3" s="146"/>
      <c r="G3" s="175" t="s">
        <v>223</v>
      </c>
      <c r="N3" s="146"/>
    </row>
    <row r="4" spans="1:19" ht="13">
      <c r="A4" s="146"/>
      <c r="F4" s="228"/>
      <c r="G4" s="229" t="str">
        <f>'Program MW '!H3</f>
        <v>December 2019</v>
      </c>
      <c r="H4" s="228"/>
      <c r="I4" s="228"/>
      <c r="N4" s="146"/>
    </row>
    <row r="5" spans="1:19" ht="13">
      <c r="A5" s="146"/>
      <c r="B5" s="228"/>
      <c r="C5" s="228"/>
      <c r="D5" s="228"/>
      <c r="N5" s="146"/>
    </row>
    <row r="6" spans="1:19" ht="13" thickBot="1"/>
    <row r="7" spans="1:19" ht="13">
      <c r="A7" s="422"/>
      <c r="B7" s="149"/>
      <c r="C7" s="149"/>
      <c r="D7" s="149"/>
      <c r="E7" s="149"/>
      <c r="F7" s="149"/>
      <c r="G7" s="149"/>
      <c r="H7" s="149"/>
      <c r="I7" s="149"/>
      <c r="J7" s="149"/>
      <c r="K7" s="149"/>
      <c r="L7" s="149"/>
      <c r="M7" s="150"/>
      <c r="N7" s="562"/>
      <c r="O7" s="150"/>
      <c r="P7" s="150"/>
      <c r="Q7" s="151"/>
      <c r="R7" s="151"/>
      <c r="S7" s="407"/>
    </row>
    <row r="8" spans="1:19" ht="9" customHeight="1" thickBot="1">
      <c r="A8" s="423"/>
      <c r="B8" s="153"/>
      <c r="C8" s="153"/>
      <c r="D8" s="153"/>
      <c r="E8" s="153"/>
      <c r="F8" s="153"/>
      <c r="G8" s="153"/>
      <c r="H8" s="153"/>
      <c r="I8" s="153"/>
      <c r="J8" s="153"/>
      <c r="K8" s="153"/>
      <c r="L8" s="153"/>
      <c r="M8" s="154"/>
      <c r="N8" s="565"/>
      <c r="O8" s="154"/>
      <c r="P8" s="154"/>
      <c r="Q8" s="155"/>
      <c r="R8" s="155"/>
      <c r="S8" s="408"/>
    </row>
    <row r="9" spans="1:19" ht="57.75" customHeight="1">
      <c r="A9" s="563" t="s">
        <v>143</v>
      </c>
      <c r="B9" s="594" t="s">
        <v>42</v>
      </c>
      <c r="C9" s="334" t="s">
        <v>43</v>
      </c>
      <c r="D9" s="334" t="s">
        <v>44</v>
      </c>
      <c r="E9" s="334" t="s">
        <v>45</v>
      </c>
      <c r="F9" s="334" t="s">
        <v>31</v>
      </c>
      <c r="G9" s="334" t="s">
        <v>46</v>
      </c>
      <c r="H9" s="334" t="s">
        <v>59</v>
      </c>
      <c r="I9" s="335" t="s">
        <v>60</v>
      </c>
      <c r="J9" s="335" t="s">
        <v>114</v>
      </c>
      <c r="K9" s="334" t="s">
        <v>62</v>
      </c>
      <c r="L9" s="334" t="s">
        <v>115</v>
      </c>
      <c r="M9" s="334" t="s">
        <v>64</v>
      </c>
      <c r="N9" s="566" t="s">
        <v>224</v>
      </c>
      <c r="O9" s="157" t="s">
        <v>225</v>
      </c>
      <c r="P9" s="157" t="s">
        <v>226</v>
      </c>
      <c r="Q9" s="448" t="s">
        <v>227</v>
      </c>
      <c r="R9" s="157" t="s">
        <v>228</v>
      </c>
      <c r="S9" s="409" t="s">
        <v>229</v>
      </c>
    </row>
    <row r="10" spans="1:19" ht="13">
      <c r="A10" s="424" t="s">
        <v>230</v>
      </c>
      <c r="B10" s="595"/>
      <c r="C10" s="15"/>
      <c r="D10" s="15"/>
      <c r="E10" s="15"/>
      <c r="F10" s="159"/>
      <c r="G10" s="315"/>
      <c r="H10" s="159"/>
      <c r="I10" s="159"/>
      <c r="J10" s="159"/>
      <c r="K10" s="159"/>
      <c r="L10" s="159"/>
      <c r="M10" s="159"/>
      <c r="N10" s="567"/>
      <c r="O10" s="17"/>
      <c r="P10" s="160" t="s">
        <v>66</v>
      </c>
      <c r="Q10" s="449"/>
      <c r="R10" s="161"/>
      <c r="S10" s="410"/>
    </row>
    <row r="11" spans="1:19">
      <c r="A11" s="425" t="s">
        <v>231</v>
      </c>
      <c r="B11" s="596">
        <v>50441.83</v>
      </c>
      <c r="C11" s="564">
        <v>17805.05</v>
      </c>
      <c r="D11" s="564">
        <v>6940</v>
      </c>
      <c r="E11" s="564">
        <v>8974.57</v>
      </c>
      <c r="F11" s="564">
        <v>8721.39</v>
      </c>
      <c r="G11" s="564">
        <v>7354.56</v>
      </c>
      <c r="H11" s="564">
        <v>11489.08</v>
      </c>
      <c r="I11" s="564">
        <v>12963.88</v>
      </c>
      <c r="J11" s="564">
        <v>10229.209999999999</v>
      </c>
      <c r="K11" s="564">
        <v>8914.119999999999</v>
      </c>
      <c r="L11" s="564">
        <v>9873.68</v>
      </c>
      <c r="M11" s="564">
        <v>270500.46999999997</v>
      </c>
      <c r="N11" s="567">
        <v>241024.22999999998</v>
      </c>
      <c r="O11" s="17">
        <f>SUM(B11:M11)</f>
        <v>424207.83999999997</v>
      </c>
      <c r="P11" s="15">
        <f>O11+N11</f>
        <v>665232.06999999995</v>
      </c>
      <c r="Q11" s="450">
        <v>2869200</v>
      </c>
      <c r="R11" s="17">
        <v>0</v>
      </c>
      <c r="S11" s="411">
        <f>+P11/Q11</f>
        <v>0.23185280566011429</v>
      </c>
    </row>
    <row r="12" spans="1:19">
      <c r="A12" s="425" t="s">
        <v>232</v>
      </c>
      <c r="B12" s="596">
        <v>8796.66</v>
      </c>
      <c r="C12" s="564">
        <v>94225.659999999989</v>
      </c>
      <c r="D12" s="564">
        <v>44333</v>
      </c>
      <c r="E12" s="564">
        <v>2684.89</v>
      </c>
      <c r="F12" s="564">
        <v>73951.14</v>
      </c>
      <c r="G12" s="564">
        <v>68211.87000000001</v>
      </c>
      <c r="H12" s="564">
        <v>37917.42</v>
      </c>
      <c r="I12" s="564">
        <v>17014.889999999996</v>
      </c>
      <c r="J12" s="564">
        <v>56021.820000000007</v>
      </c>
      <c r="K12" s="564">
        <v>45744.81</v>
      </c>
      <c r="L12" s="564">
        <v>845243.78</v>
      </c>
      <c r="M12" s="564">
        <v>60684.770000000019</v>
      </c>
      <c r="N12" s="567">
        <v>1433436.43</v>
      </c>
      <c r="O12" s="17">
        <f t="shared" ref="O12:O15" si="0">SUM(B12:M12)</f>
        <v>1354830.71</v>
      </c>
      <c r="P12" s="15">
        <f>O12+N12</f>
        <v>2788267.1399999997</v>
      </c>
      <c r="Q12" s="450">
        <v>9020700</v>
      </c>
      <c r="R12" s="17">
        <v>0</v>
      </c>
      <c r="S12" s="411">
        <f t="shared" ref="S12:S15" si="1">+P12/Q12</f>
        <v>0.30909653796268577</v>
      </c>
    </row>
    <row r="13" spans="1:19" ht="14.5">
      <c r="A13" s="425" t="s">
        <v>233</v>
      </c>
      <c r="B13" s="596">
        <v>-916.80999999999858</v>
      </c>
      <c r="C13" s="564">
        <v>8393.36</v>
      </c>
      <c r="D13" s="564">
        <v>11990</v>
      </c>
      <c r="E13" s="564">
        <v>5788.67</v>
      </c>
      <c r="F13" s="564">
        <v>24113.660000000003</v>
      </c>
      <c r="G13" s="564">
        <v>16581.850000000002</v>
      </c>
      <c r="H13" s="564">
        <v>-2895.9299999999967</v>
      </c>
      <c r="I13" s="564">
        <v>12517.220000000001</v>
      </c>
      <c r="J13" s="564">
        <v>31322.22</v>
      </c>
      <c r="K13" s="564">
        <v>17599.390000000003</v>
      </c>
      <c r="L13" s="564">
        <v>20836.510000000002</v>
      </c>
      <c r="M13" s="564">
        <v>18219.53</v>
      </c>
      <c r="N13" s="567">
        <v>197875.51</v>
      </c>
      <c r="O13" s="17">
        <f t="shared" si="0"/>
        <v>163549.67000000001</v>
      </c>
      <c r="P13" s="15">
        <f>O13+N13</f>
        <v>361425.18000000005</v>
      </c>
      <c r="Q13" s="450">
        <v>4664400</v>
      </c>
      <c r="R13" s="17">
        <v>0</v>
      </c>
      <c r="S13" s="411">
        <f t="shared" si="1"/>
        <v>7.7485888860303581E-2</v>
      </c>
    </row>
    <row r="14" spans="1:19">
      <c r="A14" s="425" t="s">
        <v>234</v>
      </c>
      <c r="B14" s="596">
        <v>17975.71</v>
      </c>
      <c r="C14" s="564">
        <v>11594.53</v>
      </c>
      <c r="D14" s="564">
        <v>15244</v>
      </c>
      <c r="E14" s="564">
        <v>14000.48</v>
      </c>
      <c r="F14" s="564">
        <v>27783.719999999994</v>
      </c>
      <c r="G14" s="564">
        <v>12413.72</v>
      </c>
      <c r="H14" s="564">
        <v>12480.7</v>
      </c>
      <c r="I14" s="564">
        <v>25290.999999999996</v>
      </c>
      <c r="J14" s="564">
        <v>99356.97</v>
      </c>
      <c r="K14" s="564">
        <v>33636.199999999997</v>
      </c>
      <c r="L14" s="564">
        <v>26600.68</v>
      </c>
      <c r="M14" s="564">
        <v>15833.03</v>
      </c>
      <c r="N14" s="567">
        <v>444057.25999999995</v>
      </c>
      <c r="O14" s="17">
        <f t="shared" si="0"/>
        <v>312210.74</v>
      </c>
      <c r="P14" s="15">
        <f>O14+N14</f>
        <v>756268</v>
      </c>
      <c r="Q14" s="17">
        <f>(10535700)+R14</f>
        <v>10301202</v>
      </c>
      <c r="R14" s="17">
        <v>-234498</v>
      </c>
      <c r="S14" s="411">
        <f t="shared" si="1"/>
        <v>7.3415510151145474E-2</v>
      </c>
    </row>
    <row r="15" spans="1:19" ht="14.5">
      <c r="A15" s="426" t="s">
        <v>235</v>
      </c>
      <c r="B15" s="596">
        <v>-193.62</v>
      </c>
      <c r="C15" s="564">
        <v>0</v>
      </c>
      <c r="D15" s="564">
        <v>0</v>
      </c>
      <c r="E15" s="564">
        <v>0</v>
      </c>
      <c r="F15" s="564">
        <v>0</v>
      </c>
      <c r="G15" s="564">
        <v>0</v>
      </c>
      <c r="H15" s="564">
        <v>0</v>
      </c>
      <c r="I15" s="564">
        <v>0</v>
      </c>
      <c r="J15" s="564">
        <v>0</v>
      </c>
      <c r="K15" s="564">
        <v>0</v>
      </c>
      <c r="L15" s="564">
        <v>0</v>
      </c>
      <c r="M15" s="564">
        <v>0</v>
      </c>
      <c r="N15" s="568">
        <v>15520.07</v>
      </c>
      <c r="O15" s="272">
        <f t="shared" si="0"/>
        <v>-193.62</v>
      </c>
      <c r="P15" s="15">
        <f>O15+N15</f>
        <v>15326.449999999999</v>
      </c>
      <c r="Q15" s="450">
        <v>19800</v>
      </c>
      <c r="R15" s="17">
        <v>0</v>
      </c>
      <c r="S15" s="411">
        <f t="shared" si="1"/>
        <v>0.7740631313131312</v>
      </c>
    </row>
    <row r="16" spans="1:19" ht="13">
      <c r="A16" s="427" t="s">
        <v>236</v>
      </c>
      <c r="B16" s="597">
        <f>SUM(B11:B15)</f>
        <v>76103.770000000019</v>
      </c>
      <c r="C16" s="18">
        <f t="shared" ref="C16:M16" si="2">SUM(C11:C15)</f>
        <v>132018.6</v>
      </c>
      <c r="D16" s="18">
        <f t="shared" si="2"/>
        <v>78507</v>
      </c>
      <c r="E16" s="18">
        <f t="shared" si="2"/>
        <v>31448.609999999997</v>
      </c>
      <c r="F16" s="18">
        <f t="shared" si="2"/>
        <v>134569.91</v>
      </c>
      <c r="G16" s="18">
        <f t="shared" si="2"/>
        <v>104562.00000000001</v>
      </c>
      <c r="H16" s="18">
        <f t="shared" si="2"/>
        <v>58991.270000000004</v>
      </c>
      <c r="I16" s="18">
        <f t="shared" si="2"/>
        <v>67786.989999999991</v>
      </c>
      <c r="J16" s="18">
        <f t="shared" si="2"/>
        <v>196930.22</v>
      </c>
      <c r="K16" s="18">
        <f>SUM(K11:K15)</f>
        <v>105894.51999999999</v>
      </c>
      <c r="L16" s="18">
        <f t="shared" si="2"/>
        <v>902554.65000000014</v>
      </c>
      <c r="M16" s="18">
        <f t="shared" si="2"/>
        <v>365237.80000000005</v>
      </c>
      <c r="N16" s="569">
        <v>2331913.4999999995</v>
      </c>
      <c r="O16" s="19">
        <f>SUM(O11:O15)</f>
        <v>2254605.34</v>
      </c>
      <c r="P16" s="18">
        <f>SUM(P11:P15)</f>
        <v>4586518.84</v>
      </c>
      <c r="Q16" s="451">
        <f>SUM(Q11:Q15)</f>
        <v>26875302</v>
      </c>
      <c r="R16" s="19">
        <f>SUM(R11:R15)</f>
        <v>-234498</v>
      </c>
      <c r="S16" s="412">
        <f>P16/Q16</f>
        <v>0.17065924840584115</v>
      </c>
    </row>
    <row r="17" spans="1:19">
      <c r="A17" s="426"/>
      <c r="B17" s="596"/>
      <c r="C17" s="15"/>
      <c r="D17" s="15"/>
      <c r="E17" s="15"/>
      <c r="F17" s="159"/>
      <c r="G17" s="337"/>
      <c r="H17" s="159"/>
      <c r="I17" s="159"/>
      <c r="J17" s="159"/>
      <c r="K17" s="159"/>
      <c r="L17" s="159"/>
      <c r="M17" s="159"/>
      <c r="N17" s="570"/>
      <c r="O17" s="16"/>
      <c r="P17" s="16"/>
      <c r="Q17" s="450"/>
      <c r="R17" s="17"/>
      <c r="S17" s="411"/>
    </row>
    <row r="18" spans="1:19" ht="13">
      <c r="A18" s="424" t="s">
        <v>237</v>
      </c>
      <c r="B18" s="596"/>
      <c r="C18" s="15"/>
      <c r="D18" s="15"/>
      <c r="E18" s="15"/>
      <c r="F18" s="159"/>
      <c r="G18" s="337"/>
      <c r="H18" s="159"/>
      <c r="I18" s="159"/>
      <c r="J18" s="159"/>
      <c r="K18" s="159"/>
      <c r="L18" s="159"/>
      <c r="M18" s="159"/>
      <c r="N18" s="570"/>
      <c r="O18" s="16"/>
      <c r="P18" s="16"/>
      <c r="Q18" s="450"/>
      <c r="R18" s="17"/>
      <c r="S18" s="411"/>
    </row>
    <row r="19" spans="1:19">
      <c r="A19" s="425"/>
      <c r="B19" s="596">
        <v>0</v>
      </c>
      <c r="C19" s="15">
        <v>0</v>
      </c>
      <c r="D19" s="15">
        <v>0</v>
      </c>
      <c r="E19" s="15">
        <v>0</v>
      </c>
      <c r="F19" s="15">
        <v>0</v>
      </c>
      <c r="G19" s="15">
        <v>0</v>
      </c>
      <c r="H19" s="15">
        <v>0</v>
      </c>
      <c r="I19" s="15">
        <v>0</v>
      </c>
      <c r="J19" s="15">
        <v>0</v>
      </c>
      <c r="K19" s="15">
        <v>0</v>
      </c>
      <c r="L19" s="15">
        <v>0</v>
      </c>
      <c r="M19" s="15">
        <v>0</v>
      </c>
      <c r="N19" s="570">
        <v>0</v>
      </c>
      <c r="O19" s="16">
        <f>SUM(B19:M19)</f>
        <v>0</v>
      </c>
      <c r="P19" s="15">
        <f>O19+N19</f>
        <v>0</v>
      </c>
      <c r="Q19" s="452">
        <v>0</v>
      </c>
      <c r="R19" s="16">
        <v>0</v>
      </c>
      <c r="S19" s="411">
        <v>0</v>
      </c>
    </row>
    <row r="20" spans="1:19" ht="13">
      <c r="A20" s="427" t="s">
        <v>238</v>
      </c>
      <c r="B20" s="598">
        <f t="shared" ref="B20:O20" si="3">SUM(B19:B19)</f>
        <v>0</v>
      </c>
      <c r="C20" s="18">
        <f t="shared" si="3"/>
        <v>0</v>
      </c>
      <c r="D20" s="18">
        <f t="shared" si="3"/>
        <v>0</v>
      </c>
      <c r="E20" s="18">
        <f t="shared" si="3"/>
        <v>0</v>
      </c>
      <c r="F20" s="18">
        <f t="shared" si="3"/>
        <v>0</v>
      </c>
      <c r="G20" s="338">
        <f t="shared" si="3"/>
        <v>0</v>
      </c>
      <c r="H20" s="18">
        <f t="shared" si="3"/>
        <v>0</v>
      </c>
      <c r="I20" s="18">
        <f t="shared" si="3"/>
        <v>0</v>
      </c>
      <c r="J20" s="18">
        <f t="shared" si="3"/>
        <v>0</v>
      </c>
      <c r="K20" s="18">
        <f t="shared" si="3"/>
        <v>0</v>
      </c>
      <c r="L20" s="18">
        <f t="shared" si="3"/>
        <v>0</v>
      </c>
      <c r="M20" s="18">
        <f t="shared" si="3"/>
        <v>0</v>
      </c>
      <c r="N20" s="569">
        <v>0</v>
      </c>
      <c r="O20" s="19">
        <f t="shared" si="3"/>
        <v>0</v>
      </c>
      <c r="P20" s="19">
        <f>SUM(B20:M20)</f>
        <v>0</v>
      </c>
      <c r="Q20" s="451">
        <f>SUM(Q19:Q19)</f>
        <v>0</v>
      </c>
      <c r="R20" s="19">
        <f>SUM(R19:R19)</f>
        <v>0</v>
      </c>
      <c r="S20" s="413">
        <v>0</v>
      </c>
    </row>
    <row r="21" spans="1:19" ht="13">
      <c r="A21" s="428"/>
      <c r="B21" s="596"/>
      <c r="C21" s="15"/>
      <c r="D21" s="15"/>
      <c r="E21" s="15"/>
      <c r="F21" s="15"/>
      <c r="G21" s="337"/>
      <c r="H21" s="15"/>
      <c r="I21" s="15"/>
      <c r="J21" s="15"/>
      <c r="K21" s="15"/>
      <c r="L21" s="15"/>
      <c r="M21" s="15"/>
      <c r="N21" s="570"/>
      <c r="O21" s="16"/>
      <c r="P21" s="16"/>
      <c r="Q21" s="452"/>
      <c r="R21" s="16"/>
      <c r="S21" s="414"/>
    </row>
    <row r="22" spans="1:19" ht="26">
      <c r="A22" s="424" t="s">
        <v>239</v>
      </c>
      <c r="B22" s="596"/>
      <c r="C22" s="15"/>
      <c r="D22" s="15"/>
      <c r="E22" s="15"/>
      <c r="F22" s="159"/>
      <c r="G22" s="337"/>
      <c r="H22" s="159"/>
      <c r="I22" s="159"/>
      <c r="J22" s="159"/>
      <c r="K22" s="159"/>
      <c r="L22" s="159"/>
      <c r="M22" s="159"/>
      <c r="N22" s="570"/>
      <c r="O22" s="16"/>
      <c r="P22" s="16"/>
      <c r="Q22" s="450"/>
      <c r="R22" s="17"/>
      <c r="S22" s="411"/>
    </row>
    <row r="23" spans="1:19">
      <c r="A23" s="425" t="s">
        <v>240</v>
      </c>
      <c r="B23" s="596">
        <v>97032.799999999988</v>
      </c>
      <c r="C23" s="564">
        <v>21649.57</v>
      </c>
      <c r="D23" s="564">
        <v>202064</v>
      </c>
      <c r="E23" s="564">
        <v>14601.02</v>
      </c>
      <c r="F23" s="564">
        <v>18078.28</v>
      </c>
      <c r="G23" s="564">
        <v>200212.43000000002</v>
      </c>
      <c r="H23" s="564">
        <v>31250.21</v>
      </c>
      <c r="I23" s="564">
        <v>9760.36</v>
      </c>
      <c r="J23" s="564">
        <v>372930.10000000003</v>
      </c>
      <c r="K23" s="564">
        <v>270510.21000000002</v>
      </c>
      <c r="L23" s="564">
        <v>140968.81000000003</v>
      </c>
      <c r="M23" s="564">
        <v>90991.8</v>
      </c>
      <c r="N23" s="570">
        <v>866776.02</v>
      </c>
      <c r="O23" s="16">
        <f>SUM(B23:M23)</f>
        <v>1470049.59</v>
      </c>
      <c r="P23" s="15">
        <f>O23+N23</f>
        <v>2336825.6100000003</v>
      </c>
      <c r="Q23" s="452">
        <v>3000000</v>
      </c>
      <c r="R23" s="16">
        <v>0</v>
      </c>
      <c r="S23" s="411">
        <f t="shared" ref="S23" si="4">+P23/Q23</f>
        <v>0.77894187000000015</v>
      </c>
    </row>
    <row r="24" spans="1:19" ht="13">
      <c r="A24" s="427" t="s">
        <v>241</v>
      </c>
      <c r="B24" s="598">
        <f t="shared" ref="B24:O24" si="5">SUM(B23:B23)</f>
        <v>97032.799999999988</v>
      </c>
      <c r="C24" s="18">
        <f t="shared" si="5"/>
        <v>21649.57</v>
      </c>
      <c r="D24" s="18">
        <f t="shared" si="5"/>
        <v>202064</v>
      </c>
      <c r="E24" s="18">
        <f t="shared" si="5"/>
        <v>14601.02</v>
      </c>
      <c r="F24" s="18">
        <f t="shared" si="5"/>
        <v>18078.28</v>
      </c>
      <c r="G24" s="338">
        <f t="shared" si="5"/>
        <v>200212.43000000002</v>
      </c>
      <c r="H24" s="18">
        <f t="shared" si="5"/>
        <v>31250.21</v>
      </c>
      <c r="I24" s="18">
        <f t="shared" si="5"/>
        <v>9760.36</v>
      </c>
      <c r="J24" s="18">
        <f t="shared" si="5"/>
        <v>372930.10000000003</v>
      </c>
      <c r="K24" s="18">
        <f t="shared" si="5"/>
        <v>270510.21000000002</v>
      </c>
      <c r="L24" s="18">
        <f t="shared" si="5"/>
        <v>140968.81000000003</v>
      </c>
      <c r="M24" s="18">
        <f t="shared" si="5"/>
        <v>90991.8</v>
      </c>
      <c r="N24" s="569">
        <v>866776.02</v>
      </c>
      <c r="O24" s="19">
        <f t="shared" si="5"/>
        <v>1470049.59</v>
      </c>
      <c r="P24" s="19">
        <f>P23</f>
        <v>2336825.6100000003</v>
      </c>
      <c r="Q24" s="451">
        <f>SUM(Q23:Q23)</f>
        <v>3000000</v>
      </c>
      <c r="R24" s="19">
        <f>SUM(R23:R23)</f>
        <v>0</v>
      </c>
      <c r="S24" s="413">
        <f>P24/Q24</f>
        <v>0.77894187000000015</v>
      </c>
    </row>
    <row r="25" spans="1:19" ht="13">
      <c r="A25" s="424"/>
      <c r="B25" s="596"/>
      <c r="C25" s="15"/>
      <c r="D25" s="15"/>
      <c r="E25" s="15"/>
      <c r="F25" s="159"/>
      <c r="G25" s="337"/>
      <c r="H25" s="159"/>
      <c r="I25" s="159"/>
      <c r="J25" s="159"/>
      <c r="K25" s="159"/>
      <c r="L25" s="159"/>
      <c r="M25" s="159"/>
      <c r="N25" s="570"/>
      <c r="O25" s="16"/>
      <c r="P25" s="16"/>
      <c r="Q25" s="450"/>
      <c r="R25" s="17"/>
      <c r="S25" s="411"/>
    </row>
    <row r="26" spans="1:19" ht="13">
      <c r="A26" s="424" t="s">
        <v>242</v>
      </c>
      <c r="B26" s="596"/>
      <c r="C26" s="15"/>
      <c r="D26" s="15"/>
      <c r="E26" s="15"/>
      <c r="F26" s="159"/>
      <c r="G26" s="337"/>
      <c r="H26" s="159"/>
      <c r="I26" s="159"/>
      <c r="J26" s="159"/>
      <c r="K26" s="159"/>
      <c r="L26" s="159"/>
      <c r="M26" s="159"/>
      <c r="N26" s="570"/>
      <c r="O26" s="16"/>
      <c r="P26" s="16"/>
      <c r="Q26" s="450"/>
      <c r="R26" s="17"/>
      <c r="S26" s="411"/>
    </row>
    <row r="27" spans="1:19">
      <c r="A27" s="425" t="s">
        <v>243</v>
      </c>
      <c r="B27" s="596">
        <v>13272.64</v>
      </c>
      <c r="C27" s="564">
        <v>23610.910000000003</v>
      </c>
      <c r="D27" s="564">
        <v>14293</v>
      </c>
      <c r="E27" s="564">
        <v>19298.72</v>
      </c>
      <c r="F27" s="564">
        <v>39444.82</v>
      </c>
      <c r="G27" s="564">
        <v>25308.23</v>
      </c>
      <c r="H27" s="564">
        <v>56316.3</v>
      </c>
      <c r="I27" s="564">
        <v>27304.57</v>
      </c>
      <c r="J27" s="564">
        <v>15795.619999999999</v>
      </c>
      <c r="K27" s="564">
        <v>41248.229999999996</v>
      </c>
      <c r="L27" s="564">
        <v>15824.23</v>
      </c>
      <c r="M27" s="564">
        <v>115125.81</v>
      </c>
      <c r="N27" s="570">
        <v>469609.93000000005</v>
      </c>
      <c r="O27" s="16">
        <f>SUM(B27:M27)</f>
        <v>406843.07999999996</v>
      </c>
      <c r="P27" s="15">
        <f>O27+N27</f>
        <v>876453.01</v>
      </c>
      <c r="Q27" s="452">
        <v>3483000</v>
      </c>
      <c r="R27" s="16">
        <v>0</v>
      </c>
      <c r="S27" s="411">
        <f t="shared" ref="S27:S29" si="6">+P27/Q27</f>
        <v>0.25163738443870226</v>
      </c>
    </row>
    <row r="28" spans="1:19">
      <c r="A28" s="425" t="s">
        <v>244</v>
      </c>
      <c r="B28" s="596">
        <v>42845.389999999992</v>
      </c>
      <c r="C28" s="564">
        <v>60670.04</v>
      </c>
      <c r="D28" s="564">
        <v>45896</v>
      </c>
      <c r="E28" s="564">
        <v>42481.58</v>
      </c>
      <c r="F28" s="564">
        <v>36965.819999999992</v>
      </c>
      <c r="G28" s="564">
        <v>49939.51</v>
      </c>
      <c r="H28" s="564">
        <v>90323.59</v>
      </c>
      <c r="I28" s="564">
        <v>15505.320000000007</v>
      </c>
      <c r="J28" s="564">
        <v>32854.5</v>
      </c>
      <c r="K28" s="564">
        <v>31206.93</v>
      </c>
      <c r="L28" s="564">
        <v>32073.139999999996</v>
      </c>
      <c r="M28" s="564">
        <v>36210.789999999994</v>
      </c>
      <c r="N28" s="570">
        <v>548237.77</v>
      </c>
      <c r="O28" s="16">
        <f>SUM(B28:M28)</f>
        <v>516972.61000000004</v>
      </c>
      <c r="P28" s="15">
        <f>O28+N28</f>
        <v>1065210.3800000001</v>
      </c>
      <c r="Q28" s="452">
        <v>3794000</v>
      </c>
      <c r="R28" s="16">
        <v>0</v>
      </c>
      <c r="S28" s="411">
        <f t="shared" si="6"/>
        <v>0.28076182920400633</v>
      </c>
    </row>
    <row r="29" spans="1:19" ht="14.5">
      <c r="A29" s="429" t="s">
        <v>245</v>
      </c>
      <c r="B29" s="596">
        <v>79647.64</v>
      </c>
      <c r="C29" s="564">
        <v>20717.879999999997</v>
      </c>
      <c r="D29" s="564">
        <v>22684.750000000004</v>
      </c>
      <c r="E29" s="564">
        <v>23381.459999999992</v>
      </c>
      <c r="F29" s="564">
        <v>83959.73000000001</v>
      </c>
      <c r="G29" s="564">
        <v>21595.61</v>
      </c>
      <c r="H29" s="564">
        <v>-99956.610000000015</v>
      </c>
      <c r="I29" s="564">
        <v>23506.249999999996</v>
      </c>
      <c r="J29" s="564">
        <v>22392.39</v>
      </c>
      <c r="K29" s="564">
        <v>28985.660000000011</v>
      </c>
      <c r="L29" s="564">
        <v>24853.850000000002</v>
      </c>
      <c r="M29" s="564">
        <v>31846.059999999998</v>
      </c>
      <c r="N29" s="570">
        <v>308331.39999999997</v>
      </c>
      <c r="O29" s="16">
        <f>SUM(B29:M29)</f>
        <v>283614.67</v>
      </c>
      <c r="P29" s="15">
        <f>O29+N29</f>
        <v>591946.06999999995</v>
      </c>
      <c r="Q29" s="16">
        <f>11967000+R29</f>
        <v>11267000</v>
      </c>
      <c r="R29" s="16">
        <v>-700000</v>
      </c>
      <c r="S29" s="411">
        <f t="shared" si="6"/>
        <v>5.2538037632022715E-2</v>
      </c>
    </row>
    <row r="30" spans="1:19" ht="13">
      <c r="A30" s="427" t="s">
        <v>246</v>
      </c>
      <c r="B30" s="598">
        <f t="shared" ref="B30:J30" si="7">SUM(B27:B29)</f>
        <v>135765.66999999998</v>
      </c>
      <c r="C30" s="18">
        <f t="shared" si="7"/>
        <v>104998.83000000002</v>
      </c>
      <c r="D30" s="18">
        <f t="shared" si="7"/>
        <v>82873.75</v>
      </c>
      <c r="E30" s="18">
        <f>SUM(E27:E29)</f>
        <v>85161.76</v>
      </c>
      <c r="F30" s="162">
        <f t="shared" si="7"/>
        <v>160370.37</v>
      </c>
      <c r="G30" s="338">
        <f t="shared" si="7"/>
        <v>96843.35</v>
      </c>
      <c r="H30" s="162">
        <f t="shared" si="7"/>
        <v>46683.28</v>
      </c>
      <c r="I30" s="162">
        <f t="shared" si="7"/>
        <v>66316.14</v>
      </c>
      <c r="J30" s="162">
        <f t="shared" si="7"/>
        <v>71042.509999999995</v>
      </c>
      <c r="K30" s="162">
        <f t="shared" ref="K30:R30" si="8">SUM(K27:K29)</f>
        <v>101440.82</v>
      </c>
      <c r="L30" s="162">
        <f t="shared" si="8"/>
        <v>72751.22</v>
      </c>
      <c r="M30" s="162">
        <f t="shared" si="8"/>
        <v>183182.65999999997</v>
      </c>
      <c r="N30" s="569">
        <v>1326179.1000000001</v>
      </c>
      <c r="O30" s="19">
        <f t="shared" si="8"/>
        <v>1207430.3599999999</v>
      </c>
      <c r="P30" s="19">
        <f t="shared" si="8"/>
        <v>2533609.46</v>
      </c>
      <c r="Q30" s="451">
        <f>SUM(Q27:Q29)</f>
        <v>18544000</v>
      </c>
      <c r="R30" s="19">
        <f t="shared" si="8"/>
        <v>-700000</v>
      </c>
      <c r="S30" s="413">
        <f>P30/Q30</f>
        <v>0.13662691220880069</v>
      </c>
    </row>
    <row r="31" spans="1:19">
      <c r="A31" s="425"/>
      <c r="B31" s="596"/>
      <c r="C31" s="15"/>
      <c r="D31" s="15"/>
      <c r="E31" s="15"/>
      <c r="F31" s="159"/>
      <c r="G31" s="337"/>
      <c r="H31" s="159"/>
      <c r="I31" s="159"/>
      <c r="J31" s="159"/>
      <c r="K31" s="159"/>
      <c r="L31" s="159"/>
      <c r="M31" s="159"/>
      <c r="N31" s="570"/>
      <c r="O31" s="16"/>
      <c r="P31" s="16"/>
      <c r="Q31" s="452"/>
      <c r="R31" s="16"/>
      <c r="S31" s="411"/>
    </row>
    <row r="32" spans="1:19" ht="13">
      <c r="A32" s="424" t="s">
        <v>247</v>
      </c>
      <c r="B32" s="596"/>
      <c r="C32" s="15"/>
      <c r="D32" s="15"/>
      <c r="E32" s="15"/>
      <c r="F32" s="159"/>
      <c r="G32" s="337"/>
      <c r="H32" s="159"/>
      <c r="I32" s="159"/>
      <c r="J32" s="159"/>
      <c r="K32" s="159"/>
      <c r="L32" s="159"/>
      <c r="M32" s="159"/>
      <c r="N32" s="570"/>
      <c r="O32" s="16"/>
      <c r="P32" s="16"/>
      <c r="Q32" s="452"/>
      <c r="R32" s="16"/>
      <c r="S32" s="411"/>
    </row>
    <row r="33" spans="1:19">
      <c r="A33" s="425" t="s">
        <v>248</v>
      </c>
      <c r="B33" s="596">
        <v>0</v>
      </c>
      <c r="C33" s="564">
        <v>0</v>
      </c>
      <c r="D33" s="564">
        <v>0</v>
      </c>
      <c r="E33" s="564">
        <v>0</v>
      </c>
      <c r="F33" s="564">
        <v>0</v>
      </c>
      <c r="G33" s="564">
        <v>0</v>
      </c>
      <c r="H33" s="564">
        <v>0</v>
      </c>
      <c r="I33" s="564">
        <v>0</v>
      </c>
      <c r="J33" s="564">
        <v>0</v>
      </c>
      <c r="K33" s="564">
        <v>0</v>
      </c>
      <c r="L33" s="564">
        <v>0</v>
      </c>
      <c r="M33" s="564">
        <v>0</v>
      </c>
      <c r="N33" s="570">
        <v>8111.66</v>
      </c>
      <c r="O33" s="16">
        <f>SUM(B33:M33)</f>
        <v>0</v>
      </c>
      <c r="P33" s="15">
        <f>O33+N33</f>
        <v>8111.66</v>
      </c>
      <c r="Q33" s="452">
        <v>2587000</v>
      </c>
      <c r="R33" s="16">
        <v>0</v>
      </c>
      <c r="S33" s="411">
        <f t="shared" ref="S33:S36" si="9">+P33/Q33</f>
        <v>3.1355469655972167E-3</v>
      </c>
    </row>
    <row r="34" spans="1:19">
      <c r="A34" s="425" t="s">
        <v>249</v>
      </c>
      <c r="B34" s="596">
        <v>0</v>
      </c>
      <c r="C34" s="564">
        <v>0</v>
      </c>
      <c r="D34" s="564">
        <v>0</v>
      </c>
      <c r="E34" s="564">
        <v>0</v>
      </c>
      <c r="F34" s="564">
        <v>0</v>
      </c>
      <c r="G34" s="564">
        <v>0</v>
      </c>
      <c r="H34" s="564">
        <v>0</v>
      </c>
      <c r="I34" s="564">
        <v>0</v>
      </c>
      <c r="J34" s="564">
        <v>0</v>
      </c>
      <c r="K34" s="564">
        <v>0</v>
      </c>
      <c r="L34" s="564">
        <v>0</v>
      </c>
      <c r="M34" s="564">
        <v>0</v>
      </c>
      <c r="N34" s="570">
        <v>0</v>
      </c>
      <c r="O34" s="16">
        <f>SUM(B34:M34)</f>
        <v>0</v>
      </c>
      <c r="P34" s="15">
        <f>O34+N34</f>
        <v>0</v>
      </c>
      <c r="Q34" s="16">
        <v>50000</v>
      </c>
      <c r="R34" s="16">
        <v>0</v>
      </c>
      <c r="S34" s="411">
        <f t="shared" si="9"/>
        <v>0</v>
      </c>
    </row>
    <row r="35" spans="1:19" ht="14.5">
      <c r="A35" s="469" t="s">
        <v>250</v>
      </c>
      <c r="B35" s="596">
        <v>4111.1399999999994</v>
      </c>
      <c r="C35" s="564">
        <v>5751.17</v>
      </c>
      <c r="D35" s="564">
        <v>4904</v>
      </c>
      <c r="E35" s="564">
        <v>5055.25</v>
      </c>
      <c r="F35" s="564">
        <v>4927.83</v>
      </c>
      <c r="G35" s="564">
        <v>4141.29</v>
      </c>
      <c r="H35" s="564">
        <v>2528.9700000000003</v>
      </c>
      <c r="I35" s="564">
        <v>-2372.2300000000005</v>
      </c>
      <c r="J35" s="564">
        <v>1678.99</v>
      </c>
      <c r="K35" s="564">
        <v>2044.73</v>
      </c>
      <c r="L35" s="564">
        <v>2372.29</v>
      </c>
      <c r="M35" s="564">
        <v>1072.08</v>
      </c>
      <c r="N35" s="570">
        <v>353293.69999999995</v>
      </c>
      <c r="O35" s="16">
        <f>SUM(B35:M35)</f>
        <v>36215.510000000009</v>
      </c>
      <c r="P35" s="15">
        <f>O35+N35</f>
        <v>389509.20999999996</v>
      </c>
      <c r="Q35" s="452">
        <v>2148000</v>
      </c>
      <c r="R35" s="16">
        <v>0</v>
      </c>
      <c r="S35" s="411">
        <f t="shared" si="9"/>
        <v>0.18133575884543759</v>
      </c>
    </row>
    <row r="36" spans="1:19" ht="14.5">
      <c r="A36" s="470" t="s">
        <v>251</v>
      </c>
      <c r="B36" s="596">
        <v>3185.1299999999997</v>
      </c>
      <c r="C36" s="564">
        <v>3612.14</v>
      </c>
      <c r="D36" s="564">
        <v>1679</v>
      </c>
      <c r="E36" s="564">
        <v>1299.47</v>
      </c>
      <c r="F36" s="564">
        <v>-6406.86</v>
      </c>
      <c r="G36" s="564">
        <v>3333.71</v>
      </c>
      <c r="H36" s="564">
        <v>0</v>
      </c>
      <c r="I36" s="564">
        <v>-1426.5300000000002</v>
      </c>
      <c r="J36" s="564">
        <v>0</v>
      </c>
      <c r="K36" s="564">
        <v>0</v>
      </c>
      <c r="L36" s="564">
        <v>-4592.33</v>
      </c>
      <c r="M36" s="564">
        <v>-705.47</v>
      </c>
      <c r="N36" s="570">
        <v>36809.949999999997</v>
      </c>
      <c r="O36" s="16">
        <f>SUM(B36:M36)</f>
        <v>-21.740000000000464</v>
      </c>
      <c r="P36" s="15">
        <f>O36+N36</f>
        <v>36788.21</v>
      </c>
      <c r="Q36" s="16">
        <v>340000</v>
      </c>
      <c r="R36" s="16">
        <v>0</v>
      </c>
      <c r="S36" s="411">
        <f t="shared" si="9"/>
        <v>0.10820061764705882</v>
      </c>
    </row>
    <row r="37" spans="1:19" ht="13">
      <c r="A37" s="427" t="s">
        <v>252</v>
      </c>
      <c r="B37" s="598">
        <f t="shared" ref="B37:R37" si="10">SUM(B33:B36)</f>
        <v>7296.2699999999986</v>
      </c>
      <c r="C37" s="18">
        <f t="shared" si="10"/>
        <v>9363.31</v>
      </c>
      <c r="D37" s="18">
        <f t="shared" si="10"/>
        <v>6583</v>
      </c>
      <c r="E37" s="18">
        <f t="shared" si="10"/>
        <v>6354.72</v>
      </c>
      <c r="F37" s="18">
        <f t="shared" si="10"/>
        <v>-1479.0299999999997</v>
      </c>
      <c r="G37" s="338">
        <f t="shared" si="10"/>
        <v>7475</v>
      </c>
      <c r="H37" s="18">
        <f t="shared" si="10"/>
        <v>2528.9700000000003</v>
      </c>
      <c r="I37" s="18">
        <f t="shared" si="10"/>
        <v>-3798.7600000000007</v>
      </c>
      <c r="J37" s="18">
        <f t="shared" si="10"/>
        <v>1678.99</v>
      </c>
      <c r="K37" s="18">
        <f t="shared" si="10"/>
        <v>2044.73</v>
      </c>
      <c r="L37" s="18">
        <f t="shared" si="10"/>
        <v>-2220.04</v>
      </c>
      <c r="M37" s="236">
        <f t="shared" si="10"/>
        <v>366.6099999999999</v>
      </c>
      <c r="N37" s="569">
        <v>398215.30999999994</v>
      </c>
      <c r="O37" s="236">
        <f>SUM(O33:O36)</f>
        <v>36193.770000000011</v>
      </c>
      <c r="P37" s="19">
        <f>SUM(P33:P36)</f>
        <v>434409.07999999996</v>
      </c>
      <c r="Q37" s="451">
        <f t="shared" si="10"/>
        <v>5125000</v>
      </c>
      <c r="R37" s="19">
        <f t="shared" si="10"/>
        <v>0</v>
      </c>
      <c r="S37" s="413">
        <f>P37/Q37</f>
        <v>8.4762747317073159E-2</v>
      </c>
    </row>
    <row r="38" spans="1:19">
      <c r="A38" s="425"/>
      <c r="B38" s="596"/>
      <c r="C38" s="15"/>
      <c r="D38" s="15"/>
      <c r="E38" s="15"/>
      <c r="F38" s="159"/>
      <c r="G38" s="337"/>
      <c r="H38" s="159"/>
      <c r="I38" s="159"/>
      <c r="J38" s="159"/>
      <c r="K38" s="159"/>
      <c r="L38" s="159"/>
      <c r="M38" s="159"/>
      <c r="N38" s="570"/>
      <c r="O38" s="16"/>
      <c r="P38" s="16"/>
      <c r="Q38" s="452"/>
      <c r="R38" s="16"/>
      <c r="S38" s="411"/>
    </row>
    <row r="39" spans="1:19" ht="13">
      <c r="A39" s="424" t="s">
        <v>253</v>
      </c>
      <c r="B39" s="596"/>
      <c r="C39" s="15"/>
      <c r="D39" s="15"/>
      <c r="E39" s="15"/>
      <c r="F39" s="159"/>
      <c r="G39" s="337"/>
      <c r="H39" s="159"/>
      <c r="I39" s="159"/>
      <c r="J39" s="159"/>
      <c r="K39" s="159"/>
      <c r="L39" s="159"/>
      <c r="M39" s="159"/>
      <c r="N39" s="570"/>
      <c r="O39" s="16"/>
      <c r="P39" s="16"/>
      <c r="Q39" s="452"/>
      <c r="R39" s="16"/>
      <c r="S39" s="411"/>
    </row>
    <row r="40" spans="1:19" ht="14.5">
      <c r="A40" s="425" t="s">
        <v>254</v>
      </c>
      <c r="B40" s="596">
        <v>123346.5</v>
      </c>
      <c r="C40" s="564">
        <v>8878.11</v>
      </c>
      <c r="D40" s="564">
        <v>46003</v>
      </c>
      <c r="E40" s="564">
        <v>-6888.9100000000026</v>
      </c>
      <c r="F40" s="564">
        <v>-36380.74</v>
      </c>
      <c r="G40" s="564">
        <v>179049</v>
      </c>
      <c r="H40" s="564">
        <v>64645.479999999981</v>
      </c>
      <c r="I40" s="564">
        <v>49726.600000000013</v>
      </c>
      <c r="J40" s="564">
        <v>489071.83</v>
      </c>
      <c r="K40" s="564">
        <v>-98035.18</v>
      </c>
      <c r="L40" s="564">
        <v>195159.06</v>
      </c>
      <c r="M40" s="564">
        <v>208157.81</v>
      </c>
      <c r="N40" s="570">
        <v>588731.91000000015</v>
      </c>
      <c r="O40" s="16">
        <f>SUM(B40:M40)</f>
        <v>1222732.56</v>
      </c>
      <c r="P40" s="15">
        <f>O40+N40</f>
        <v>1811464.4700000002</v>
      </c>
      <c r="Q40" s="452">
        <v>4502000</v>
      </c>
      <c r="R40" s="16">
        <v>0</v>
      </c>
      <c r="S40" s="411">
        <f t="shared" ref="S40" si="11">+P40/Q40</f>
        <v>0.40236882940915153</v>
      </c>
    </row>
    <row r="41" spans="1:19" ht="13">
      <c r="A41" s="427" t="s">
        <v>255</v>
      </c>
      <c r="B41" s="598">
        <f t="shared" ref="B41:O41" si="12">SUM(B40:B40)</f>
        <v>123346.5</v>
      </c>
      <c r="C41" s="18">
        <f t="shared" si="12"/>
        <v>8878.11</v>
      </c>
      <c r="D41" s="18">
        <f t="shared" si="12"/>
        <v>46003</v>
      </c>
      <c r="E41" s="18">
        <f t="shared" si="12"/>
        <v>-6888.9100000000026</v>
      </c>
      <c r="F41" s="162">
        <f t="shared" si="12"/>
        <v>-36380.74</v>
      </c>
      <c r="G41" s="338">
        <f t="shared" si="12"/>
        <v>179049</v>
      </c>
      <c r="H41" s="162">
        <f t="shared" si="12"/>
        <v>64645.479999999981</v>
      </c>
      <c r="I41" s="162">
        <f t="shared" si="12"/>
        <v>49726.600000000013</v>
      </c>
      <c r="J41" s="162">
        <f t="shared" si="12"/>
        <v>489071.83</v>
      </c>
      <c r="K41" s="162">
        <f t="shared" si="12"/>
        <v>-98035.18</v>
      </c>
      <c r="L41" s="162">
        <f t="shared" si="12"/>
        <v>195159.06</v>
      </c>
      <c r="M41" s="162">
        <f t="shared" si="12"/>
        <v>208157.81</v>
      </c>
      <c r="N41" s="569">
        <v>588731.91000000015</v>
      </c>
      <c r="O41" s="19">
        <f t="shared" si="12"/>
        <v>1222732.56</v>
      </c>
      <c r="P41" s="19">
        <f>P40</f>
        <v>1811464.4700000002</v>
      </c>
      <c r="Q41" s="451">
        <f>SUM(Q40)</f>
        <v>4502000</v>
      </c>
      <c r="R41" s="19">
        <f>SUM(R40:R40)</f>
        <v>0</v>
      </c>
      <c r="S41" s="413">
        <f>P41/Q41</f>
        <v>0.40236882940915153</v>
      </c>
    </row>
    <row r="42" spans="1:19" ht="13">
      <c r="A42" s="424"/>
      <c r="B42" s="596"/>
      <c r="C42" s="15"/>
      <c r="D42" s="15"/>
      <c r="E42" s="15"/>
      <c r="F42" s="159"/>
      <c r="G42" s="337"/>
      <c r="H42" s="159"/>
      <c r="I42" s="159"/>
      <c r="J42" s="159"/>
      <c r="K42" s="159"/>
      <c r="L42" s="159"/>
      <c r="M42" s="159"/>
      <c r="N42" s="570"/>
      <c r="O42" s="16"/>
      <c r="P42" s="599"/>
      <c r="Q42" s="600"/>
      <c r="R42" s="16"/>
      <c r="S42" s="411"/>
    </row>
    <row r="43" spans="1:19" ht="13">
      <c r="A43" s="424" t="s">
        <v>256</v>
      </c>
      <c r="B43" s="596"/>
      <c r="C43" s="15"/>
      <c r="D43" s="15"/>
      <c r="E43" s="15"/>
      <c r="F43" s="159"/>
      <c r="G43" s="337"/>
      <c r="H43" s="159"/>
      <c r="I43" s="159"/>
      <c r="J43" s="159"/>
      <c r="K43" s="159"/>
      <c r="L43" s="159"/>
      <c r="M43" s="159"/>
      <c r="N43" s="570"/>
      <c r="O43" s="16"/>
      <c r="P43" s="599"/>
      <c r="Q43" s="452"/>
      <c r="R43" s="16"/>
      <c r="S43" s="411"/>
    </row>
    <row r="44" spans="1:19">
      <c r="A44" s="425" t="s">
        <v>257</v>
      </c>
      <c r="B44" s="596">
        <v>31241.520000000008</v>
      </c>
      <c r="C44" s="564">
        <v>37571.270000000004</v>
      </c>
      <c r="D44" s="564">
        <v>33664</v>
      </c>
      <c r="E44" s="564">
        <v>22011.73</v>
      </c>
      <c r="F44" s="564">
        <v>35551.1</v>
      </c>
      <c r="G44" s="564">
        <v>26680.62</v>
      </c>
      <c r="H44" s="564">
        <v>36438.300000000003</v>
      </c>
      <c r="I44" s="564">
        <v>43542.130000000005</v>
      </c>
      <c r="J44" s="564">
        <v>37161.72</v>
      </c>
      <c r="K44" s="564">
        <v>35730.26</v>
      </c>
      <c r="L44" s="564">
        <v>37906.43</v>
      </c>
      <c r="M44" s="564">
        <v>36407.750000000007</v>
      </c>
      <c r="N44" s="570">
        <v>608291.89999999991</v>
      </c>
      <c r="O44" s="16">
        <f t="shared" ref="O44:O47" si="13">SUM(B44:M44)</f>
        <v>413906.83</v>
      </c>
      <c r="P44" s="15">
        <f>O44+N44</f>
        <v>1022198.73</v>
      </c>
      <c r="Q44" s="601">
        <v>4095000</v>
      </c>
      <c r="R44" s="16">
        <v>0</v>
      </c>
      <c r="S44" s="411">
        <f t="shared" ref="S44:S47" si="14">+P44/Q44</f>
        <v>0.24962117948717949</v>
      </c>
    </row>
    <row r="45" spans="1:19" s="228" customFormat="1" ht="14.5">
      <c r="A45" s="426" t="s">
        <v>258</v>
      </c>
      <c r="B45" s="726">
        <v>43570.509999999995</v>
      </c>
      <c r="C45" s="727">
        <v>187728</v>
      </c>
      <c r="D45" s="727">
        <v>1003870.71</v>
      </c>
      <c r="E45" s="727">
        <v>211418.59999999998</v>
      </c>
      <c r="F45" s="727">
        <v>200885.99</v>
      </c>
      <c r="G45" s="727">
        <v>180024.6</v>
      </c>
      <c r="H45" s="727">
        <v>206425.47999999998</v>
      </c>
      <c r="I45" s="727">
        <v>232062.34999999995</v>
      </c>
      <c r="J45" s="727">
        <v>195675.26</v>
      </c>
      <c r="K45" s="727">
        <v>222774.79000000004</v>
      </c>
      <c r="L45" s="727">
        <v>-1424793.92</v>
      </c>
      <c r="M45" s="727">
        <v>176439.47000000003</v>
      </c>
      <c r="N45" s="728">
        <v>1794645.4000000001</v>
      </c>
      <c r="O45" s="452">
        <f t="shared" si="13"/>
        <v>1436081.84</v>
      </c>
      <c r="P45" s="729">
        <f>O45+N45</f>
        <v>3230727.24</v>
      </c>
      <c r="Q45" s="601">
        <v>7948000</v>
      </c>
      <c r="R45" s="452">
        <v>0</v>
      </c>
      <c r="S45" s="730">
        <f t="shared" si="14"/>
        <v>0.40648304479114244</v>
      </c>
    </row>
    <row r="46" spans="1:19" ht="14.5">
      <c r="A46" s="425" t="s">
        <v>259</v>
      </c>
      <c r="B46" s="596">
        <v>67688.350000000006</v>
      </c>
      <c r="C46" s="564">
        <v>80076.049999999988</v>
      </c>
      <c r="D46" s="564">
        <v>247532.3</v>
      </c>
      <c r="E46" s="564">
        <v>-14914.149999999998</v>
      </c>
      <c r="F46" s="564">
        <v>107961.66</v>
      </c>
      <c r="G46" s="564">
        <v>92118.22</v>
      </c>
      <c r="H46" s="564">
        <v>-40747.949999999997</v>
      </c>
      <c r="I46" s="564">
        <v>117487.76999999999</v>
      </c>
      <c r="J46" s="564">
        <v>45307.28</v>
      </c>
      <c r="K46" s="564">
        <v>-26590.430000000004</v>
      </c>
      <c r="L46" s="564">
        <v>39143.19</v>
      </c>
      <c r="M46" s="564">
        <v>96843.05</v>
      </c>
      <c r="N46" s="570">
        <v>695976.37000000011</v>
      </c>
      <c r="O46" s="16">
        <f t="shared" si="13"/>
        <v>811905.34000000008</v>
      </c>
      <c r="P46" s="15">
        <f>O46+N46</f>
        <v>1507881.7100000002</v>
      </c>
      <c r="Q46" s="602">
        <f>5795000+R46</f>
        <v>5600600</v>
      </c>
      <c r="R46" s="16">
        <v>-194400</v>
      </c>
      <c r="S46" s="411">
        <f t="shared" si="14"/>
        <v>0.26923574438453024</v>
      </c>
    </row>
    <row r="47" spans="1:19">
      <c r="A47" s="425" t="s">
        <v>260</v>
      </c>
      <c r="B47" s="596">
        <v>0</v>
      </c>
      <c r="C47" s="564">
        <v>0</v>
      </c>
      <c r="D47" s="564">
        <v>0</v>
      </c>
      <c r="E47" s="564">
        <v>0</v>
      </c>
      <c r="F47" s="564">
        <v>0</v>
      </c>
      <c r="G47" s="564">
        <v>0</v>
      </c>
      <c r="H47" s="564">
        <v>100000</v>
      </c>
      <c r="I47" s="564">
        <v>0</v>
      </c>
      <c r="J47" s="564">
        <v>0</v>
      </c>
      <c r="K47" s="564">
        <v>0</v>
      </c>
      <c r="L47" s="564">
        <v>0</v>
      </c>
      <c r="M47" s="564">
        <v>97529.7</v>
      </c>
      <c r="N47" s="570">
        <v>19580.09</v>
      </c>
      <c r="O47" s="16">
        <f t="shared" si="13"/>
        <v>197529.7</v>
      </c>
      <c r="P47" s="15">
        <f>O47+N47</f>
        <v>217109.79</v>
      </c>
      <c r="Q47" s="603">
        <v>1000000</v>
      </c>
      <c r="R47" s="16">
        <v>0</v>
      </c>
      <c r="S47" s="411">
        <f t="shared" si="14"/>
        <v>0.21710979</v>
      </c>
    </row>
    <row r="48" spans="1:19" ht="13">
      <c r="A48" s="427" t="s">
        <v>261</v>
      </c>
      <c r="B48" s="598">
        <f>SUM(B44:B47)</f>
        <v>142500.38</v>
      </c>
      <c r="C48" s="338">
        <f t="shared" ref="C48:M48" si="15">SUM(C44:C47)</f>
        <v>305375.32</v>
      </c>
      <c r="D48" s="338">
        <f t="shared" si="15"/>
        <v>1285067.01</v>
      </c>
      <c r="E48" s="338">
        <f t="shared" si="15"/>
        <v>218516.18</v>
      </c>
      <c r="F48" s="338">
        <f t="shared" si="15"/>
        <v>344398.75</v>
      </c>
      <c r="G48" s="338">
        <f>SUM(G44:G47)</f>
        <v>298823.44</v>
      </c>
      <c r="H48" s="338">
        <f t="shared" si="15"/>
        <v>302115.82999999996</v>
      </c>
      <c r="I48" s="338">
        <f t="shared" si="15"/>
        <v>393092.25</v>
      </c>
      <c r="J48" s="338">
        <f t="shared" si="15"/>
        <v>278144.26</v>
      </c>
      <c r="K48" s="338">
        <f t="shared" si="15"/>
        <v>231914.62000000005</v>
      </c>
      <c r="L48" s="338">
        <f t="shared" si="15"/>
        <v>-1347744.3</v>
      </c>
      <c r="M48" s="338">
        <f t="shared" si="15"/>
        <v>407219.97000000003</v>
      </c>
      <c r="N48" s="641">
        <v>3118493.7600000002</v>
      </c>
      <c r="O48" s="642">
        <f>O47+O46+O45+O44</f>
        <v>2859423.71</v>
      </c>
      <c r="P48" s="19">
        <f>SUM(P44:P47)</f>
        <v>5977917.4700000007</v>
      </c>
      <c r="Q48" s="451">
        <f>SUM(Q44:Q47)</f>
        <v>18643600</v>
      </c>
      <c r="R48" s="19">
        <f>SUM(R44:R47)</f>
        <v>-194400</v>
      </c>
      <c r="S48" s="413">
        <f>P48/Q48</f>
        <v>0.3206418004033556</v>
      </c>
    </row>
    <row r="49" spans="1:26" ht="13">
      <c r="A49" s="424"/>
      <c r="B49" s="596"/>
      <c r="C49" s="15"/>
      <c r="D49" s="15"/>
      <c r="E49" s="15"/>
      <c r="F49" s="159"/>
      <c r="G49" s="337"/>
      <c r="H49" s="159"/>
      <c r="I49" s="159"/>
      <c r="J49" s="159"/>
      <c r="K49" s="159"/>
      <c r="L49" s="159"/>
      <c r="M49" s="159"/>
      <c r="N49" s="570"/>
      <c r="O49" s="16"/>
      <c r="P49" s="16"/>
      <c r="Q49" s="452"/>
      <c r="R49" s="16"/>
      <c r="S49" s="411"/>
    </row>
    <row r="50" spans="1:26" ht="15" customHeight="1" thickBot="1">
      <c r="A50" s="430" t="s">
        <v>159</v>
      </c>
      <c r="B50" s="598">
        <f>B48+B41+B37+B30+B24+B20+B16</f>
        <v>582045.39</v>
      </c>
      <c r="C50" s="338">
        <f>C48+C41+C37+C30+C24+C20+C16</f>
        <v>582283.74</v>
      </c>
      <c r="D50" s="338">
        <f t="shared" ref="D50:M50" si="16">D48+D41+D37+D30+D24+D20+D16</f>
        <v>1701097.76</v>
      </c>
      <c r="E50" s="338">
        <f t="shared" si="16"/>
        <v>349193.38</v>
      </c>
      <c r="F50" s="338">
        <f t="shared" si="16"/>
        <v>619557.54</v>
      </c>
      <c r="G50" s="338">
        <f t="shared" si="16"/>
        <v>886965.22000000009</v>
      </c>
      <c r="H50" s="338">
        <f t="shared" si="16"/>
        <v>506215.04</v>
      </c>
      <c r="I50" s="338">
        <f t="shared" si="16"/>
        <v>582883.58000000007</v>
      </c>
      <c r="J50" s="338">
        <f t="shared" si="16"/>
        <v>1409797.9100000001</v>
      </c>
      <c r="K50" s="338">
        <f t="shared" si="16"/>
        <v>613769.72000000009</v>
      </c>
      <c r="L50" s="338">
        <f t="shared" si="16"/>
        <v>-38530.59999999986</v>
      </c>
      <c r="M50" s="338">
        <f t="shared" si="16"/>
        <v>1255156.6500000001</v>
      </c>
      <c r="N50" s="338">
        <f>N48+N41+N37+N30+N24+N20+N16</f>
        <v>8630309.5999999996</v>
      </c>
      <c r="O50" s="392">
        <f>O48+O41+O37+O30+O24+O20+O16</f>
        <v>9050435.3300000001</v>
      </c>
      <c r="P50" s="392">
        <f>P48+P41+P37+P30+P24+P20+P16</f>
        <v>17680744.93</v>
      </c>
      <c r="Q50" s="453">
        <f>Q48+Q41+Q37+Q30+Q24+Q20+Q16</f>
        <v>76689902</v>
      </c>
      <c r="R50" s="453">
        <f>R16+R30+R48</f>
        <v>-1128898</v>
      </c>
      <c r="S50" s="416">
        <f>P50/Q50</f>
        <v>0.23054853988469043</v>
      </c>
    </row>
    <row r="51" spans="1:26" ht="15" customHeight="1" thickTop="1">
      <c r="A51" s="431"/>
      <c r="B51" s="336"/>
      <c r="C51" s="159"/>
      <c r="D51" s="159"/>
      <c r="E51" s="159"/>
      <c r="F51" s="159"/>
      <c r="G51" s="165"/>
      <c r="H51" s="159"/>
      <c r="I51" s="159"/>
      <c r="J51" s="159"/>
      <c r="K51" s="159"/>
      <c r="L51" s="159"/>
      <c r="M51" s="159"/>
      <c r="N51" s="159"/>
      <c r="O51" s="159"/>
      <c r="P51" s="159"/>
      <c r="Q51" s="159" t="s">
        <v>66</v>
      </c>
      <c r="R51" s="159"/>
      <c r="S51" s="417"/>
    </row>
    <row r="52" spans="1:26" ht="10.5" customHeight="1" thickBot="1">
      <c r="A52" s="234"/>
      <c r="B52" s="231"/>
      <c r="C52" s="163"/>
      <c r="D52" s="163"/>
      <c r="E52" s="163"/>
      <c r="F52" s="163"/>
      <c r="G52" s="163"/>
      <c r="H52" s="163"/>
      <c r="I52" s="163"/>
      <c r="J52" s="163"/>
      <c r="K52" s="163"/>
      <c r="L52" s="163"/>
      <c r="M52" s="163"/>
      <c r="N52" s="163"/>
      <c r="O52" s="163"/>
      <c r="P52" s="163"/>
      <c r="Q52" s="164"/>
      <c r="R52" s="164"/>
      <c r="S52" s="418"/>
    </row>
    <row r="53" spans="1:26">
      <c r="A53" s="228"/>
      <c r="G53" s="308"/>
      <c r="N53" s="228"/>
    </row>
    <row r="54" spans="1:26" ht="14">
      <c r="A54" s="340" t="s">
        <v>67</v>
      </c>
      <c r="B54" s="228"/>
      <c r="N54" s="340"/>
      <c r="O54" s="525"/>
    </row>
    <row r="55" spans="1:26" s="259" customFormat="1" ht="16.5">
      <c r="A55" s="398" t="s">
        <v>262</v>
      </c>
      <c r="G55" s="258"/>
      <c r="H55" s="258"/>
      <c r="J55" s="381"/>
    </row>
    <row r="56" spans="1:26" s="10" customFormat="1" ht="16.5">
      <c r="A56" s="709" t="s">
        <v>263</v>
      </c>
      <c r="B56" s="639"/>
      <c r="C56" s="639"/>
      <c r="D56" s="639"/>
      <c r="E56" s="639"/>
      <c r="F56" s="639"/>
      <c r="G56" s="639"/>
      <c r="H56" s="639"/>
      <c r="I56" s="639"/>
      <c r="J56" s="639"/>
      <c r="K56" s="639"/>
      <c r="L56" s="639"/>
      <c r="M56" s="639"/>
      <c r="N56" s="639"/>
      <c r="O56" s="13"/>
      <c r="P56" s="13"/>
      <c r="Q56" s="13"/>
      <c r="R56" s="13"/>
      <c r="S56" s="13"/>
      <c r="T56" s="172"/>
      <c r="U56" s="172"/>
      <c r="V56" s="172"/>
      <c r="W56" s="172"/>
      <c r="X56" s="172"/>
      <c r="Y56" s="172"/>
      <c r="Z56" s="172"/>
    </row>
    <row r="57" spans="1:26" s="228" customFormat="1" ht="17.25" customHeight="1">
      <c r="A57" s="771" t="s">
        <v>264</v>
      </c>
      <c r="B57" s="772"/>
      <c r="C57" s="772"/>
      <c r="D57" s="772"/>
      <c r="E57" s="772"/>
      <c r="F57" s="772"/>
      <c r="G57" s="772"/>
      <c r="H57" s="772"/>
      <c r="I57" s="772"/>
      <c r="J57" s="772"/>
      <c r="K57" s="772"/>
      <c r="L57" s="772"/>
      <c r="M57" s="772"/>
      <c r="N57" s="772"/>
    </row>
    <row r="58" spans="1:26" ht="17.25" customHeight="1">
      <c r="A58" s="647" t="s">
        <v>265</v>
      </c>
      <c r="B58" s="748"/>
      <c r="C58" s="748"/>
      <c r="D58" s="748"/>
      <c r="E58" s="748"/>
      <c r="F58" s="748"/>
      <c r="G58" s="748"/>
      <c r="H58" s="748"/>
      <c r="I58" s="748"/>
      <c r="J58" s="748"/>
      <c r="K58" s="748"/>
      <c r="L58" s="748"/>
      <c r="M58" s="748"/>
      <c r="N58" s="748"/>
    </row>
    <row r="59" spans="1:26" ht="16.5">
      <c r="A59" s="468" t="s">
        <v>266</v>
      </c>
      <c r="N59" s="539"/>
    </row>
    <row r="60" spans="1:26" s="228" customFormat="1" ht="16.5">
      <c r="A60" s="732" t="s">
        <v>267</v>
      </c>
      <c r="N60" s="682"/>
    </row>
    <row r="61" spans="1:26" s="228" customFormat="1" ht="16.5">
      <c r="A61" s="681" t="s">
        <v>268</v>
      </c>
      <c r="N61" s="682"/>
    </row>
    <row r="62" spans="1:26" ht="16.5">
      <c r="A62" s="681" t="s">
        <v>269</v>
      </c>
    </row>
    <row r="63" spans="1:26" ht="16.5">
      <c r="A63" s="681" t="s">
        <v>270</v>
      </c>
    </row>
    <row r="64" spans="1:26" ht="16.5">
      <c r="A64" s="681" t="s">
        <v>271</v>
      </c>
    </row>
    <row r="65" spans="1:1" ht="14.5">
      <c r="A65" s="147" t="s">
        <v>272</v>
      </c>
    </row>
    <row r="66" spans="1:1" ht="14">
      <c r="A66" s="281" t="s">
        <v>76</v>
      </c>
    </row>
  </sheetData>
  <mergeCells count="1">
    <mergeCell ref="A57:N57"/>
  </mergeCells>
  <printOptions horizontalCentered="1"/>
  <pageMargins left="0" right="0" top="0.55000000000000004" bottom="0.17" header="0.3" footer="0.15"/>
  <pageSetup paperSize="5" scale="84" orientation="landscape" cellComments="atEnd" r:id="rId1"/>
  <headerFooter alignWithMargins="0">
    <oddHeader xml:space="preserve">&amp;C&amp;"Arial,Bold"
</oddHeader>
    <oddFooter>&amp;Rpage 5 of 12
&amp;A
&amp;D  &amp;T</oddFooter>
  </headerFooter>
  <customProperties>
    <customPr name="_pios_id" r:id="rId2"/>
  </customProperties>
  <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pageSetUpPr fitToPage="1"/>
  </sheetPr>
  <dimension ref="A2:I126"/>
  <sheetViews>
    <sheetView topLeftCell="A91" zoomScaleNormal="100" zoomScaleSheetLayoutView="90" workbookViewId="0">
      <selection activeCell="A118" sqref="A118"/>
    </sheetView>
  </sheetViews>
  <sheetFormatPr defaultColWidth="9.1796875" defaultRowHeight="14.25" customHeight="1"/>
  <cols>
    <col min="1" max="1" width="56.81640625" style="553" customWidth="1"/>
    <col min="2" max="2" width="30" style="299" customWidth="1"/>
    <col min="3" max="3" width="15.7265625" style="556" customWidth="1"/>
    <col min="4" max="4" width="27" style="553" bestFit="1" customWidth="1"/>
    <col min="5" max="5" width="15.81640625" style="553" customWidth="1"/>
    <col min="6" max="6" width="22" style="553" customWidth="1"/>
    <col min="7" max="7" width="37" style="553" customWidth="1"/>
    <col min="8" max="16384" width="9.1796875" style="554"/>
  </cols>
  <sheetData>
    <row r="2" spans="1:7" ht="13">
      <c r="C2" s="300" t="s">
        <v>39</v>
      </c>
    </row>
    <row r="3" spans="1:7" ht="13">
      <c r="C3" s="300" t="s">
        <v>273</v>
      </c>
    </row>
    <row r="4" spans="1:7" ht="13">
      <c r="C4" s="706" t="s">
        <v>274</v>
      </c>
    </row>
    <row r="5" spans="1:7" ht="13">
      <c r="C5" s="300"/>
    </row>
    <row r="7" spans="1:7" ht="15.5">
      <c r="A7" s="773" t="s">
        <v>275</v>
      </c>
      <c r="B7" s="774"/>
      <c r="C7" s="774"/>
      <c r="D7" s="774"/>
      <c r="E7" s="774"/>
      <c r="F7" s="774"/>
      <c r="G7" s="775"/>
    </row>
    <row r="8" spans="1:7" ht="28">
      <c r="A8" s="651" t="s">
        <v>207</v>
      </c>
      <c r="B8" s="651" t="s">
        <v>276</v>
      </c>
      <c r="C8" s="652" t="s">
        <v>210</v>
      </c>
      <c r="D8" s="651" t="s">
        <v>277</v>
      </c>
      <c r="E8" s="653" t="s">
        <v>278</v>
      </c>
      <c r="F8" s="653" t="s">
        <v>279</v>
      </c>
      <c r="G8" s="653" t="s">
        <v>280</v>
      </c>
    </row>
    <row r="9" spans="1:7" ht="12.5">
      <c r="A9" s="654" t="s">
        <v>281</v>
      </c>
      <c r="B9" s="655">
        <v>1</v>
      </c>
      <c r="C9" s="656">
        <v>43579</v>
      </c>
      <c r="D9" s="657" t="s">
        <v>282</v>
      </c>
      <c r="E9" s="658">
        <v>1.78</v>
      </c>
      <c r="F9" s="659" t="s">
        <v>283</v>
      </c>
      <c r="G9" s="660">
        <v>2</v>
      </c>
    </row>
    <row r="10" spans="1:7" ht="12.5">
      <c r="A10" s="654" t="s">
        <v>284</v>
      </c>
      <c r="B10" s="655">
        <v>2</v>
      </c>
      <c r="C10" s="656">
        <v>43579</v>
      </c>
      <c r="D10" s="657" t="s">
        <v>282</v>
      </c>
      <c r="E10" s="658">
        <v>0.33</v>
      </c>
      <c r="F10" s="659" t="s">
        <v>283</v>
      </c>
      <c r="G10" s="660">
        <v>2</v>
      </c>
    </row>
    <row r="11" spans="1:7" ht="12.5">
      <c r="A11" s="654" t="s">
        <v>285</v>
      </c>
      <c r="B11" s="655">
        <v>3</v>
      </c>
      <c r="C11" s="656">
        <v>43626</v>
      </c>
      <c r="D11" s="657" t="s">
        <v>286</v>
      </c>
      <c r="E11" s="658">
        <v>0.67074999999999951</v>
      </c>
      <c r="F11" s="659" t="s">
        <v>283</v>
      </c>
      <c r="G11" s="660">
        <v>2</v>
      </c>
    </row>
    <row r="12" spans="1:7" ht="12.5">
      <c r="A12" s="654" t="s">
        <v>287</v>
      </c>
      <c r="B12" s="655">
        <v>4</v>
      </c>
      <c r="C12" s="656">
        <v>43626</v>
      </c>
      <c r="D12" s="657" t="s">
        <v>282</v>
      </c>
      <c r="E12" s="658">
        <v>2.1387264295179524</v>
      </c>
      <c r="F12" s="659" t="s">
        <v>283</v>
      </c>
      <c r="G12" s="660">
        <v>2</v>
      </c>
    </row>
    <row r="13" spans="1:7" ht="12.5">
      <c r="A13" s="654" t="s">
        <v>288</v>
      </c>
      <c r="B13" s="655">
        <v>5</v>
      </c>
      <c r="C13" s="656">
        <v>43626</v>
      </c>
      <c r="D13" s="657" t="s">
        <v>289</v>
      </c>
      <c r="E13" s="658">
        <v>3.0811669796272803</v>
      </c>
      <c r="F13" s="659" t="s">
        <v>290</v>
      </c>
      <c r="G13" s="660">
        <v>2</v>
      </c>
    </row>
    <row r="14" spans="1:7" ht="12.5">
      <c r="A14" s="654" t="s">
        <v>285</v>
      </c>
      <c r="B14" s="655">
        <v>6</v>
      </c>
      <c r="C14" s="656">
        <v>43627</v>
      </c>
      <c r="D14" s="657" t="s">
        <v>286</v>
      </c>
      <c r="E14" s="658">
        <v>0.67261000000000015</v>
      </c>
      <c r="F14" s="659" t="s">
        <v>290</v>
      </c>
      <c r="G14" s="660">
        <v>4</v>
      </c>
    </row>
    <row r="15" spans="1:7" ht="12.5">
      <c r="A15" s="654" t="s">
        <v>288</v>
      </c>
      <c r="B15" s="655">
        <v>7</v>
      </c>
      <c r="C15" s="656">
        <v>43627</v>
      </c>
      <c r="D15" s="657" t="s">
        <v>289</v>
      </c>
      <c r="E15" s="658">
        <v>3.1754692286862012</v>
      </c>
      <c r="F15" s="659" t="s">
        <v>290</v>
      </c>
      <c r="G15" s="660">
        <v>4</v>
      </c>
    </row>
    <row r="16" spans="1:7" ht="12.5">
      <c r="A16" s="654" t="s">
        <v>285</v>
      </c>
      <c r="B16" s="655">
        <v>8</v>
      </c>
      <c r="C16" s="656">
        <v>43628</v>
      </c>
      <c r="D16" s="657" t="s">
        <v>286</v>
      </c>
      <c r="E16" s="658">
        <v>0.60821333333333361</v>
      </c>
      <c r="F16" s="659" t="s">
        <v>291</v>
      </c>
      <c r="G16" s="660">
        <v>7</v>
      </c>
    </row>
    <row r="17" spans="1:7" ht="12.5">
      <c r="A17" s="654" t="s">
        <v>287</v>
      </c>
      <c r="B17" s="655">
        <v>9</v>
      </c>
      <c r="C17" s="656">
        <v>43639</v>
      </c>
      <c r="D17" s="657" t="s">
        <v>282</v>
      </c>
      <c r="E17" s="658">
        <v>0.4245280014010484</v>
      </c>
      <c r="F17" s="659" t="s">
        <v>283</v>
      </c>
      <c r="G17" s="660">
        <v>4</v>
      </c>
    </row>
    <row r="18" spans="1:7" ht="12.5">
      <c r="A18" s="654" t="s">
        <v>287</v>
      </c>
      <c r="B18" s="655">
        <v>10</v>
      </c>
      <c r="C18" s="656">
        <v>43658</v>
      </c>
      <c r="D18" s="657" t="s">
        <v>282</v>
      </c>
      <c r="E18" s="658">
        <v>2.2498874724790205</v>
      </c>
      <c r="F18" s="659" t="s">
        <v>290</v>
      </c>
      <c r="G18" s="660">
        <v>6</v>
      </c>
    </row>
    <row r="19" spans="1:7" ht="12.5">
      <c r="A19" s="654" t="s">
        <v>287</v>
      </c>
      <c r="B19" s="655">
        <v>11</v>
      </c>
      <c r="C19" s="656">
        <v>43668</v>
      </c>
      <c r="D19" s="657" t="s">
        <v>282</v>
      </c>
      <c r="E19" s="658">
        <v>3.5565976551089893</v>
      </c>
      <c r="F19" s="659" t="s">
        <v>290</v>
      </c>
      <c r="G19" s="660">
        <v>8</v>
      </c>
    </row>
    <row r="20" spans="1:7" ht="12.5">
      <c r="A20" s="654" t="s">
        <v>287</v>
      </c>
      <c r="B20" s="655">
        <v>12</v>
      </c>
      <c r="C20" s="656">
        <v>43669</v>
      </c>
      <c r="D20" s="657" t="s">
        <v>282</v>
      </c>
      <c r="E20" s="658">
        <v>4.8023554615402277</v>
      </c>
      <c r="F20" s="659" t="s">
        <v>292</v>
      </c>
      <c r="G20" s="660">
        <v>11</v>
      </c>
    </row>
    <row r="21" spans="1:7" ht="12.5">
      <c r="A21" s="654" t="s">
        <v>293</v>
      </c>
      <c r="B21" s="655">
        <v>13</v>
      </c>
      <c r="C21" s="656">
        <v>43669</v>
      </c>
      <c r="D21" s="657" t="s">
        <v>286</v>
      </c>
      <c r="E21" s="658">
        <v>0.4</v>
      </c>
      <c r="F21" s="659" t="s">
        <v>294</v>
      </c>
      <c r="G21" s="660">
        <v>2</v>
      </c>
    </row>
    <row r="22" spans="1:7" ht="12.5">
      <c r="A22" s="654" t="s">
        <v>285</v>
      </c>
      <c r="B22" s="655">
        <v>14</v>
      </c>
      <c r="C22" s="656">
        <v>43669</v>
      </c>
      <c r="D22" s="657" t="s">
        <v>286</v>
      </c>
      <c r="E22" s="658">
        <v>0</v>
      </c>
      <c r="F22" s="659" t="s">
        <v>290</v>
      </c>
      <c r="G22" s="660">
        <v>9</v>
      </c>
    </row>
    <row r="23" spans="1:7" ht="12.5">
      <c r="A23" s="654" t="s">
        <v>288</v>
      </c>
      <c r="B23" s="655">
        <v>15</v>
      </c>
      <c r="C23" s="656">
        <v>43669</v>
      </c>
      <c r="D23" s="657" t="s">
        <v>289</v>
      </c>
      <c r="E23" s="658">
        <v>1.3</v>
      </c>
      <c r="F23" s="659" t="s">
        <v>290</v>
      </c>
      <c r="G23" s="660">
        <v>6</v>
      </c>
    </row>
    <row r="24" spans="1:7" ht="12.5">
      <c r="A24" s="654" t="s">
        <v>287</v>
      </c>
      <c r="B24" s="655">
        <v>16</v>
      </c>
      <c r="C24" s="656">
        <v>43670</v>
      </c>
      <c r="D24" s="657" t="s">
        <v>282</v>
      </c>
      <c r="E24" s="658">
        <v>6.8823938304985495</v>
      </c>
      <c r="F24" s="659" t="s">
        <v>290</v>
      </c>
      <c r="G24" s="660">
        <v>13</v>
      </c>
    </row>
    <row r="25" spans="1:7" ht="12.5">
      <c r="A25" s="654" t="s">
        <v>281</v>
      </c>
      <c r="B25" s="655">
        <v>17</v>
      </c>
      <c r="C25" s="656">
        <v>43668</v>
      </c>
      <c r="D25" s="657" t="s">
        <v>282</v>
      </c>
      <c r="E25" s="658">
        <v>2.7</v>
      </c>
      <c r="F25" s="659" t="s">
        <v>291</v>
      </c>
      <c r="G25" s="660">
        <v>5</v>
      </c>
    </row>
    <row r="26" spans="1:7" ht="12.5">
      <c r="A26" s="654" t="s">
        <v>284</v>
      </c>
      <c r="B26" s="655">
        <v>18</v>
      </c>
      <c r="C26" s="656">
        <v>43668</v>
      </c>
      <c r="D26" s="657" t="s">
        <v>282</v>
      </c>
      <c r="E26" s="658">
        <v>0.6</v>
      </c>
      <c r="F26" s="659" t="s">
        <v>291</v>
      </c>
      <c r="G26" s="660">
        <v>5</v>
      </c>
    </row>
    <row r="27" spans="1:7" ht="12.5">
      <c r="A27" s="654" t="s">
        <v>281</v>
      </c>
      <c r="B27" s="655">
        <v>19</v>
      </c>
      <c r="C27" s="656">
        <v>43669</v>
      </c>
      <c r="D27" s="657" t="s">
        <v>282</v>
      </c>
      <c r="E27" s="658">
        <v>3.7</v>
      </c>
      <c r="F27" s="659" t="s">
        <v>290</v>
      </c>
      <c r="G27" s="660">
        <v>7</v>
      </c>
    </row>
    <row r="28" spans="1:7" ht="12.5">
      <c r="A28" s="654" t="s">
        <v>284</v>
      </c>
      <c r="B28" s="655">
        <v>20</v>
      </c>
      <c r="C28" s="656">
        <v>43669</v>
      </c>
      <c r="D28" s="657" t="s">
        <v>282</v>
      </c>
      <c r="E28" s="658">
        <v>0.48</v>
      </c>
      <c r="F28" s="659" t="s">
        <v>290</v>
      </c>
      <c r="G28" s="660">
        <v>7</v>
      </c>
    </row>
    <row r="29" spans="1:7" ht="12.5">
      <c r="A29" s="654" t="s">
        <v>281</v>
      </c>
      <c r="B29" s="655">
        <v>21</v>
      </c>
      <c r="C29" s="656">
        <v>43670</v>
      </c>
      <c r="D29" s="657" t="s">
        <v>282</v>
      </c>
      <c r="E29" s="658">
        <v>7.5</v>
      </c>
      <c r="F29" s="659" t="s">
        <v>290</v>
      </c>
      <c r="G29" s="660">
        <v>11</v>
      </c>
    </row>
    <row r="30" spans="1:7" ht="12.5">
      <c r="A30" s="654" t="s">
        <v>284</v>
      </c>
      <c r="B30" s="655">
        <v>22</v>
      </c>
      <c r="C30" s="656">
        <v>43670</v>
      </c>
      <c r="D30" s="657" t="s">
        <v>282</v>
      </c>
      <c r="E30" s="658">
        <v>0.8</v>
      </c>
      <c r="F30" s="659" t="s">
        <v>290</v>
      </c>
      <c r="G30" s="660">
        <v>9</v>
      </c>
    </row>
    <row r="31" spans="1:7" ht="12.5">
      <c r="A31" s="654" t="s">
        <v>293</v>
      </c>
      <c r="B31" s="655">
        <v>23</v>
      </c>
      <c r="C31" s="656">
        <v>43670</v>
      </c>
      <c r="D31" s="657" t="s">
        <v>286</v>
      </c>
      <c r="E31" s="658">
        <v>0.49116794444444434</v>
      </c>
      <c r="F31" s="659" t="s">
        <v>294</v>
      </c>
      <c r="G31" s="660">
        <v>4</v>
      </c>
    </row>
    <row r="32" spans="1:7" ht="12.5">
      <c r="A32" s="654" t="s">
        <v>285</v>
      </c>
      <c r="B32" s="655">
        <v>24</v>
      </c>
      <c r="C32" s="656">
        <v>43670</v>
      </c>
      <c r="D32" s="657" t="s">
        <v>286</v>
      </c>
      <c r="E32" s="658">
        <v>-0.10649599999999998</v>
      </c>
      <c r="F32" s="659" t="s">
        <v>290</v>
      </c>
      <c r="G32" s="660">
        <v>11</v>
      </c>
    </row>
    <row r="33" spans="1:7" ht="12.5">
      <c r="A33" s="654" t="s">
        <v>295</v>
      </c>
      <c r="B33" s="655">
        <v>25</v>
      </c>
      <c r="C33" s="656">
        <v>43670</v>
      </c>
      <c r="D33" s="657" t="s">
        <v>289</v>
      </c>
      <c r="E33" s="658">
        <v>9.3902765150991871E-2</v>
      </c>
      <c r="F33" s="659" t="s">
        <v>294</v>
      </c>
      <c r="G33" s="660">
        <v>2</v>
      </c>
    </row>
    <row r="34" spans="1:7" ht="12.5">
      <c r="A34" s="654" t="s">
        <v>288</v>
      </c>
      <c r="B34" s="655">
        <v>26</v>
      </c>
      <c r="C34" s="656">
        <v>43670</v>
      </c>
      <c r="D34" s="657" t="s">
        <v>289</v>
      </c>
      <c r="E34" s="658">
        <v>1.4187378410452176</v>
      </c>
      <c r="F34" s="659" t="s">
        <v>290</v>
      </c>
      <c r="G34" s="660">
        <v>8</v>
      </c>
    </row>
    <row r="35" spans="1:7" ht="12.5">
      <c r="A35" s="654" t="s">
        <v>285</v>
      </c>
      <c r="B35" s="655">
        <v>27</v>
      </c>
      <c r="C35" s="656">
        <v>43671</v>
      </c>
      <c r="D35" s="657" t="s">
        <v>286</v>
      </c>
      <c r="E35" s="658">
        <v>-7.6816000000000023E-2</v>
      </c>
      <c r="F35" s="659" t="s">
        <v>290</v>
      </c>
      <c r="G35" s="660">
        <v>13</v>
      </c>
    </row>
    <row r="36" spans="1:7" ht="12.5">
      <c r="A36" s="654" t="s">
        <v>288</v>
      </c>
      <c r="B36" s="655">
        <v>28</v>
      </c>
      <c r="C36" s="656">
        <v>43671</v>
      </c>
      <c r="D36" s="657" t="s">
        <v>289</v>
      </c>
      <c r="E36" s="658">
        <v>1.2546738234333725</v>
      </c>
      <c r="F36" s="659" t="s">
        <v>290</v>
      </c>
      <c r="G36" s="660">
        <v>10</v>
      </c>
    </row>
    <row r="37" spans="1:7" ht="12.5">
      <c r="A37" s="654" t="s">
        <v>287</v>
      </c>
      <c r="B37" s="655">
        <v>29</v>
      </c>
      <c r="C37" s="656">
        <v>43675</v>
      </c>
      <c r="D37" s="657" t="s">
        <v>282</v>
      </c>
      <c r="E37" s="658">
        <v>1.5893271253845014</v>
      </c>
      <c r="F37" s="659" t="s">
        <v>290</v>
      </c>
      <c r="G37" s="660">
        <v>15</v>
      </c>
    </row>
    <row r="38" spans="1:7" ht="12.5">
      <c r="A38" s="654" t="s">
        <v>281</v>
      </c>
      <c r="B38" s="655">
        <v>30</v>
      </c>
      <c r="C38" s="656">
        <v>43675</v>
      </c>
      <c r="D38" s="657" t="s">
        <v>282</v>
      </c>
      <c r="E38" s="658">
        <v>3.8</v>
      </c>
      <c r="F38" s="659" t="s">
        <v>290</v>
      </c>
      <c r="G38" s="660">
        <v>13</v>
      </c>
    </row>
    <row r="39" spans="1:7" ht="12.5">
      <c r="A39" s="654" t="s">
        <v>284</v>
      </c>
      <c r="B39" s="655">
        <v>31</v>
      </c>
      <c r="C39" s="656">
        <v>43675</v>
      </c>
      <c r="D39" s="657" t="s">
        <v>282</v>
      </c>
      <c r="E39" s="658">
        <v>0.2</v>
      </c>
      <c r="F39" s="659" t="s">
        <v>290</v>
      </c>
      <c r="G39" s="660">
        <v>11</v>
      </c>
    </row>
    <row r="40" spans="1:7" ht="12.5">
      <c r="A40" s="654" t="s">
        <v>281</v>
      </c>
      <c r="B40" s="655">
        <v>32</v>
      </c>
      <c r="C40" s="656">
        <v>43681</v>
      </c>
      <c r="D40" s="657" t="s">
        <v>282</v>
      </c>
      <c r="E40" s="658">
        <v>4.5999999999999996</v>
      </c>
      <c r="F40" s="659" t="s">
        <v>290</v>
      </c>
      <c r="G40" s="660">
        <v>15</v>
      </c>
    </row>
    <row r="41" spans="1:7" ht="12.5">
      <c r="A41" s="654" t="s">
        <v>284</v>
      </c>
      <c r="B41" s="655">
        <v>33</v>
      </c>
      <c r="C41" s="656">
        <v>43681</v>
      </c>
      <c r="D41" s="657" t="s">
        <v>282</v>
      </c>
      <c r="E41" s="658">
        <v>0.39</v>
      </c>
      <c r="F41" s="659" t="s">
        <v>290</v>
      </c>
      <c r="G41" s="660">
        <v>13</v>
      </c>
    </row>
    <row r="42" spans="1:7" ht="12.5">
      <c r="A42" s="654" t="s">
        <v>281</v>
      </c>
      <c r="B42" s="655">
        <v>34</v>
      </c>
      <c r="C42" s="656">
        <v>43682</v>
      </c>
      <c r="D42" s="657" t="s">
        <v>282</v>
      </c>
      <c r="E42" s="658">
        <v>4.5999999999999996</v>
      </c>
      <c r="F42" s="659" t="s">
        <v>290</v>
      </c>
      <c r="G42" s="660">
        <v>17</v>
      </c>
    </row>
    <row r="43" spans="1:7" ht="12.5">
      <c r="A43" s="654" t="s">
        <v>284</v>
      </c>
      <c r="B43" s="655">
        <v>35</v>
      </c>
      <c r="C43" s="656">
        <v>43682</v>
      </c>
      <c r="D43" s="657" t="s">
        <v>282</v>
      </c>
      <c r="E43" s="658">
        <v>0.37</v>
      </c>
      <c r="F43" s="659" t="s">
        <v>290</v>
      </c>
      <c r="G43" s="660">
        <v>15</v>
      </c>
    </row>
    <row r="44" spans="1:7" ht="12.5">
      <c r="A44" s="654" t="s">
        <v>287</v>
      </c>
      <c r="B44" s="655">
        <v>36</v>
      </c>
      <c r="C44" s="656">
        <v>43681</v>
      </c>
      <c r="D44" s="657" t="s">
        <v>282</v>
      </c>
      <c r="E44" s="658">
        <v>3.4079449019775763</v>
      </c>
      <c r="F44" s="659" t="s">
        <v>290</v>
      </c>
      <c r="G44" s="660">
        <v>17</v>
      </c>
    </row>
    <row r="45" spans="1:7" ht="12.5">
      <c r="A45" s="654" t="s">
        <v>293</v>
      </c>
      <c r="B45" s="655">
        <v>37</v>
      </c>
      <c r="C45" s="656">
        <v>43682</v>
      </c>
      <c r="D45" s="657" t="s">
        <v>286</v>
      </c>
      <c r="E45" s="658">
        <v>0.70368811300235046</v>
      </c>
      <c r="F45" s="659" t="s">
        <v>294</v>
      </c>
      <c r="G45" s="660">
        <v>6</v>
      </c>
    </row>
    <row r="46" spans="1:7" ht="12.5">
      <c r="A46" s="654" t="s">
        <v>287</v>
      </c>
      <c r="B46" s="655">
        <v>38</v>
      </c>
      <c r="C46" s="656">
        <v>43682</v>
      </c>
      <c r="D46" s="657" t="s">
        <v>282</v>
      </c>
      <c r="E46" s="658">
        <v>3.253288494859218</v>
      </c>
      <c r="F46" s="659" t="s">
        <v>290</v>
      </c>
      <c r="G46" s="660">
        <v>19</v>
      </c>
    </row>
    <row r="47" spans="1:7" ht="12.5">
      <c r="A47" s="654" t="s">
        <v>281</v>
      </c>
      <c r="B47" s="655">
        <v>39</v>
      </c>
      <c r="C47" s="656">
        <v>43683</v>
      </c>
      <c r="D47" s="657" t="s">
        <v>282</v>
      </c>
      <c r="E47" s="658">
        <v>4.8</v>
      </c>
      <c r="F47" s="659" t="s">
        <v>290</v>
      </c>
      <c r="G47" s="660">
        <v>19</v>
      </c>
    </row>
    <row r="48" spans="1:7" ht="12.5">
      <c r="A48" s="654" t="s">
        <v>284</v>
      </c>
      <c r="B48" s="655">
        <v>40</v>
      </c>
      <c r="C48" s="656">
        <v>43683</v>
      </c>
      <c r="D48" s="657" t="s">
        <v>282</v>
      </c>
      <c r="E48" s="658">
        <v>0.46</v>
      </c>
      <c r="F48" s="659" t="s">
        <v>290</v>
      </c>
      <c r="G48" s="660">
        <v>17</v>
      </c>
    </row>
    <row r="49" spans="1:7" ht="12.5">
      <c r="A49" s="654" t="s">
        <v>287</v>
      </c>
      <c r="B49" s="655">
        <v>41</v>
      </c>
      <c r="C49" s="656">
        <v>43683</v>
      </c>
      <c r="D49" s="657" t="s">
        <v>282</v>
      </c>
      <c r="E49" s="658">
        <v>3.6785272637663269</v>
      </c>
      <c r="F49" s="659" t="s">
        <v>290</v>
      </c>
      <c r="G49" s="660">
        <v>21</v>
      </c>
    </row>
    <row r="50" spans="1:7" ht="12.5">
      <c r="A50" s="654" t="s">
        <v>287</v>
      </c>
      <c r="B50" s="655">
        <v>42</v>
      </c>
      <c r="C50" s="656">
        <v>43688</v>
      </c>
      <c r="D50" s="657" t="s">
        <v>282</v>
      </c>
      <c r="E50" s="658">
        <v>2.1199248921499643</v>
      </c>
      <c r="F50" s="659" t="s">
        <v>283</v>
      </c>
      <c r="G50" s="660">
        <v>23</v>
      </c>
    </row>
    <row r="51" spans="1:7" ht="12.5">
      <c r="A51" s="654" t="s">
        <v>293</v>
      </c>
      <c r="B51" s="655">
        <v>43</v>
      </c>
      <c r="C51" s="656">
        <v>43691</v>
      </c>
      <c r="D51" s="657" t="s">
        <v>286</v>
      </c>
      <c r="E51" s="658">
        <v>0.62</v>
      </c>
      <c r="F51" s="659" t="s">
        <v>294</v>
      </c>
      <c r="G51" s="660">
        <v>8</v>
      </c>
    </row>
    <row r="52" spans="1:7" ht="12.5">
      <c r="A52" s="654" t="s">
        <v>293</v>
      </c>
      <c r="B52" s="655">
        <v>44</v>
      </c>
      <c r="C52" s="656">
        <v>43692</v>
      </c>
      <c r="D52" s="657" t="s">
        <v>286</v>
      </c>
      <c r="E52" s="658">
        <v>0.6284923046736115</v>
      </c>
      <c r="F52" s="659" t="s">
        <v>294</v>
      </c>
      <c r="G52" s="660">
        <v>10</v>
      </c>
    </row>
    <row r="53" spans="1:7" ht="12.5">
      <c r="A53" s="654" t="s">
        <v>281</v>
      </c>
      <c r="B53" s="655">
        <v>45</v>
      </c>
      <c r="C53" s="656">
        <v>43691</v>
      </c>
      <c r="D53" s="657" t="s">
        <v>282</v>
      </c>
      <c r="E53" s="658">
        <v>4</v>
      </c>
      <c r="F53" s="659" t="s">
        <v>290</v>
      </c>
      <c r="G53" s="660">
        <v>21</v>
      </c>
    </row>
    <row r="54" spans="1:7" ht="12.5">
      <c r="A54" s="654" t="s">
        <v>284</v>
      </c>
      <c r="B54" s="655">
        <v>46</v>
      </c>
      <c r="C54" s="656">
        <v>43691</v>
      </c>
      <c r="D54" s="657" t="s">
        <v>282</v>
      </c>
      <c r="E54" s="658">
        <v>0.69</v>
      </c>
      <c r="F54" s="659" t="s">
        <v>290</v>
      </c>
      <c r="G54" s="660">
        <v>19</v>
      </c>
    </row>
    <row r="55" spans="1:7" ht="12.5">
      <c r="A55" s="654" t="s">
        <v>287</v>
      </c>
      <c r="B55" s="655">
        <v>47</v>
      </c>
      <c r="C55" s="656">
        <v>43691</v>
      </c>
      <c r="D55" s="657" t="s">
        <v>282</v>
      </c>
      <c r="E55" s="658">
        <v>1.9820189794517122</v>
      </c>
      <c r="F55" s="659" t="s">
        <v>290</v>
      </c>
      <c r="G55" s="660">
        <v>25</v>
      </c>
    </row>
    <row r="56" spans="1:7" ht="12.5">
      <c r="A56" s="654" t="s">
        <v>281</v>
      </c>
      <c r="B56" s="655">
        <v>48</v>
      </c>
      <c r="C56" s="656">
        <v>43692</v>
      </c>
      <c r="D56" s="657" t="s">
        <v>282</v>
      </c>
      <c r="E56" s="658">
        <v>3.9</v>
      </c>
      <c r="F56" s="659" t="s">
        <v>290</v>
      </c>
      <c r="G56" s="660">
        <v>23</v>
      </c>
    </row>
    <row r="57" spans="1:7" ht="12.5">
      <c r="A57" s="654" t="s">
        <v>284</v>
      </c>
      <c r="B57" s="655">
        <v>49</v>
      </c>
      <c r="C57" s="656">
        <v>43692</v>
      </c>
      <c r="D57" s="657" t="s">
        <v>282</v>
      </c>
      <c r="E57" s="658">
        <v>0.8</v>
      </c>
      <c r="F57" s="659" t="s">
        <v>290</v>
      </c>
      <c r="G57" s="660">
        <v>21</v>
      </c>
    </row>
    <row r="58" spans="1:7" ht="12.5">
      <c r="A58" s="654" t="s">
        <v>287</v>
      </c>
      <c r="B58" s="655">
        <v>50</v>
      </c>
      <c r="C58" s="656">
        <v>43692</v>
      </c>
      <c r="D58" s="657" t="s">
        <v>282</v>
      </c>
      <c r="E58" s="658">
        <v>2.3592123287577058</v>
      </c>
      <c r="F58" s="659" t="s">
        <v>290</v>
      </c>
      <c r="G58" s="660">
        <v>27</v>
      </c>
    </row>
    <row r="59" spans="1:7" ht="12.5">
      <c r="A59" s="654" t="s">
        <v>288</v>
      </c>
      <c r="B59" s="655">
        <v>51</v>
      </c>
      <c r="C59" s="656">
        <v>43692</v>
      </c>
      <c r="D59" s="657" t="s">
        <v>289</v>
      </c>
      <c r="E59" s="658">
        <v>2.31</v>
      </c>
      <c r="F59" s="659" t="s">
        <v>290</v>
      </c>
      <c r="G59" s="660">
        <v>12</v>
      </c>
    </row>
    <row r="60" spans="1:7" ht="12.5">
      <c r="A60" s="654" t="s">
        <v>287</v>
      </c>
      <c r="B60" s="655">
        <v>52</v>
      </c>
      <c r="C60" s="656">
        <v>43703</v>
      </c>
      <c r="D60" s="657" t="s">
        <v>282</v>
      </c>
      <c r="E60" s="658">
        <v>4.1961944982552772</v>
      </c>
      <c r="F60" s="659" t="s">
        <v>290</v>
      </c>
      <c r="G60" s="660">
        <v>29</v>
      </c>
    </row>
    <row r="61" spans="1:7" ht="12.5">
      <c r="A61" s="654" t="s">
        <v>281</v>
      </c>
      <c r="B61" s="655">
        <v>53</v>
      </c>
      <c r="C61" s="656">
        <v>43703</v>
      </c>
      <c r="D61" s="657" t="s">
        <v>282</v>
      </c>
      <c r="E61" s="658">
        <v>6.4</v>
      </c>
      <c r="F61" s="659" t="s">
        <v>290</v>
      </c>
      <c r="G61" s="660">
        <v>25</v>
      </c>
    </row>
    <row r="62" spans="1:7" ht="12.5">
      <c r="A62" s="654" t="s">
        <v>284</v>
      </c>
      <c r="B62" s="655">
        <v>54</v>
      </c>
      <c r="C62" s="656">
        <v>43703</v>
      </c>
      <c r="D62" s="657" t="s">
        <v>282</v>
      </c>
      <c r="E62" s="658">
        <v>0.48</v>
      </c>
      <c r="F62" s="659" t="s">
        <v>290</v>
      </c>
      <c r="G62" s="660">
        <v>23</v>
      </c>
    </row>
    <row r="63" spans="1:7" ht="12.5">
      <c r="A63" s="654" t="s">
        <v>281</v>
      </c>
      <c r="B63" s="655">
        <v>55</v>
      </c>
      <c r="C63" s="656">
        <v>43704</v>
      </c>
      <c r="D63" s="657" t="s">
        <v>282</v>
      </c>
      <c r="E63" s="658">
        <v>5.4</v>
      </c>
      <c r="F63" s="659" t="s">
        <v>290</v>
      </c>
      <c r="G63" s="660">
        <v>27</v>
      </c>
    </row>
    <row r="64" spans="1:7" ht="12.5">
      <c r="A64" s="654" t="s">
        <v>284</v>
      </c>
      <c r="B64" s="655">
        <v>56</v>
      </c>
      <c r="C64" s="656">
        <v>43704</v>
      </c>
      <c r="D64" s="657" t="s">
        <v>282</v>
      </c>
      <c r="E64" s="658">
        <v>0.48</v>
      </c>
      <c r="F64" s="659" t="s">
        <v>290</v>
      </c>
      <c r="G64" s="660">
        <v>25</v>
      </c>
    </row>
    <row r="65" spans="1:9" ht="12.5">
      <c r="A65" s="654" t="s">
        <v>287</v>
      </c>
      <c r="B65" s="655">
        <v>57</v>
      </c>
      <c r="C65" s="656">
        <v>43704</v>
      </c>
      <c r="D65" s="657" t="s">
        <v>282</v>
      </c>
      <c r="E65" s="658">
        <v>3.3648637675546977</v>
      </c>
      <c r="F65" s="659" t="s">
        <v>290</v>
      </c>
      <c r="G65" s="660">
        <v>31</v>
      </c>
    </row>
    <row r="66" spans="1:9" ht="12.5">
      <c r="A66" s="654" t="s">
        <v>293</v>
      </c>
      <c r="B66" s="655">
        <v>58</v>
      </c>
      <c r="C66" s="656">
        <v>43704</v>
      </c>
      <c r="D66" s="657" t="s">
        <v>286</v>
      </c>
      <c r="E66" s="658">
        <v>0.60917144011533386</v>
      </c>
      <c r="F66" s="659" t="s">
        <v>294</v>
      </c>
      <c r="G66" s="660">
        <v>12</v>
      </c>
    </row>
    <row r="67" spans="1:9" ht="12.5">
      <c r="A67" s="654" t="s">
        <v>295</v>
      </c>
      <c r="B67" s="655">
        <v>59</v>
      </c>
      <c r="C67" s="656">
        <v>43712</v>
      </c>
      <c r="D67" s="657" t="s">
        <v>289</v>
      </c>
      <c r="E67" s="658">
        <v>0.55439149140505561</v>
      </c>
      <c r="F67" s="659" t="s">
        <v>294</v>
      </c>
      <c r="G67" s="660">
        <v>4</v>
      </c>
    </row>
    <row r="68" spans="1:9" ht="14.25" customHeight="1">
      <c r="A68" s="654" t="s">
        <v>288</v>
      </c>
      <c r="B68" s="655">
        <v>60</v>
      </c>
      <c r="C68" s="656">
        <v>43712</v>
      </c>
      <c r="D68" s="657" t="s">
        <v>289</v>
      </c>
      <c r="E68" s="658">
        <v>1.5854371554853024</v>
      </c>
      <c r="F68" s="659" t="s">
        <v>290</v>
      </c>
      <c r="G68" s="660">
        <v>14</v>
      </c>
    </row>
    <row r="69" spans="1:9" ht="12.5">
      <c r="A69" s="654" t="s">
        <v>281</v>
      </c>
      <c r="B69" s="655">
        <v>61</v>
      </c>
      <c r="C69" s="656">
        <v>43712</v>
      </c>
      <c r="D69" s="657" t="s">
        <v>282</v>
      </c>
      <c r="E69" s="658">
        <v>10</v>
      </c>
      <c r="F69" s="659" t="s">
        <v>296</v>
      </c>
      <c r="G69" s="660">
        <v>30</v>
      </c>
    </row>
    <row r="70" spans="1:9" ht="12.5">
      <c r="A70" s="654" t="s">
        <v>287</v>
      </c>
      <c r="B70" s="655">
        <v>62</v>
      </c>
      <c r="C70" s="656">
        <v>43712</v>
      </c>
      <c r="D70" s="657" t="s">
        <v>282</v>
      </c>
      <c r="E70" s="658">
        <v>10.337648659447028</v>
      </c>
      <c r="F70" s="659" t="s">
        <v>296</v>
      </c>
      <c r="G70" s="660">
        <v>34</v>
      </c>
    </row>
    <row r="71" spans="1:9" ht="12.5">
      <c r="A71" s="654" t="s">
        <v>108</v>
      </c>
      <c r="B71" s="655">
        <v>63</v>
      </c>
      <c r="C71" s="656">
        <v>43712</v>
      </c>
      <c r="D71" s="657" t="s">
        <v>297</v>
      </c>
      <c r="E71" s="658">
        <v>2.1416134250154282</v>
      </c>
      <c r="F71" s="659" t="s">
        <v>298</v>
      </c>
      <c r="G71" s="660">
        <v>4</v>
      </c>
    </row>
    <row r="72" spans="1:9" ht="12.5">
      <c r="A72" s="654" t="s">
        <v>293</v>
      </c>
      <c r="B72" s="655">
        <v>64</v>
      </c>
      <c r="C72" s="656">
        <v>43712</v>
      </c>
      <c r="D72" s="657" t="s">
        <v>286</v>
      </c>
      <c r="E72" s="658">
        <v>0.16591004065297693</v>
      </c>
      <c r="F72" s="659" t="s">
        <v>294</v>
      </c>
      <c r="G72" s="660">
        <v>14</v>
      </c>
    </row>
    <row r="73" spans="1:9" ht="12.5">
      <c r="A73" s="654" t="s">
        <v>287</v>
      </c>
      <c r="B73" s="655">
        <v>65</v>
      </c>
      <c r="C73" s="656">
        <v>43713</v>
      </c>
      <c r="D73" s="657" t="s">
        <v>282</v>
      </c>
      <c r="E73" s="658">
        <v>6.4846048308389719</v>
      </c>
      <c r="F73" s="659" t="s">
        <v>292</v>
      </c>
      <c r="G73" s="660">
        <v>37</v>
      </c>
    </row>
    <row r="74" spans="1:9" ht="14.25" customHeight="1">
      <c r="A74" s="654" t="s">
        <v>295</v>
      </c>
      <c r="B74" s="655">
        <v>66</v>
      </c>
      <c r="C74" s="656">
        <v>43713</v>
      </c>
      <c r="D74" s="657" t="s">
        <v>289</v>
      </c>
      <c r="E74" s="658">
        <v>0.29782977714808745</v>
      </c>
      <c r="F74" s="659" t="s">
        <v>294</v>
      </c>
      <c r="G74" s="660">
        <v>6</v>
      </c>
    </row>
    <row r="75" spans="1:9" ht="14.25" customHeight="1">
      <c r="A75" s="654" t="s">
        <v>288</v>
      </c>
      <c r="B75" s="655">
        <v>67</v>
      </c>
      <c r="C75" s="656">
        <v>43713</v>
      </c>
      <c r="D75" s="657" t="s">
        <v>289</v>
      </c>
      <c r="E75" s="658">
        <v>1.1211966953427617</v>
      </c>
      <c r="F75" s="659" t="s">
        <v>292</v>
      </c>
      <c r="G75" s="660">
        <v>17</v>
      </c>
    </row>
    <row r="76" spans="1:9" s="674" customFormat="1" ht="12.5">
      <c r="A76" s="654" t="s">
        <v>293</v>
      </c>
      <c r="B76" s="655">
        <v>68</v>
      </c>
      <c r="C76" s="656">
        <v>43713</v>
      </c>
      <c r="D76" s="657" t="s">
        <v>286</v>
      </c>
      <c r="E76" s="658">
        <v>9.6992912725582303E-2</v>
      </c>
      <c r="F76" s="659" t="s">
        <v>299</v>
      </c>
      <c r="G76" s="660">
        <v>17</v>
      </c>
      <c r="H76" s="675"/>
      <c r="I76" s="676"/>
    </row>
    <row r="77" spans="1:9" ht="14.25" customHeight="1">
      <c r="A77" s="654" t="s">
        <v>281</v>
      </c>
      <c r="B77" s="655">
        <v>69</v>
      </c>
      <c r="C77" s="656">
        <v>43713</v>
      </c>
      <c r="D77" s="657" t="s">
        <v>282</v>
      </c>
      <c r="E77" s="658">
        <v>7.6</v>
      </c>
      <c r="F77" s="659" t="s">
        <v>292</v>
      </c>
      <c r="G77" s="660">
        <v>33</v>
      </c>
    </row>
    <row r="78" spans="1:9" ht="14.25" customHeight="1">
      <c r="A78" s="654" t="s">
        <v>284</v>
      </c>
      <c r="B78" s="655">
        <v>70</v>
      </c>
      <c r="C78" s="656">
        <v>43713</v>
      </c>
      <c r="D78" s="657" t="s">
        <v>282</v>
      </c>
      <c r="E78" s="658">
        <v>0.64</v>
      </c>
      <c r="F78" s="659" t="s">
        <v>292</v>
      </c>
      <c r="G78" s="660">
        <v>28</v>
      </c>
    </row>
    <row r="79" spans="1:9" ht="14.25" customHeight="1">
      <c r="A79" s="654" t="s">
        <v>293</v>
      </c>
      <c r="B79" s="655">
        <v>71</v>
      </c>
      <c r="C79" s="656">
        <v>43714</v>
      </c>
      <c r="D79" s="657" t="s">
        <v>286</v>
      </c>
      <c r="E79" s="658">
        <v>0.79420867831149899</v>
      </c>
      <c r="F79" s="659" t="s">
        <v>294</v>
      </c>
      <c r="G79" s="660">
        <v>19</v>
      </c>
    </row>
    <row r="80" spans="1:9" ht="14.25" customHeight="1">
      <c r="A80" s="654" t="s">
        <v>281</v>
      </c>
      <c r="B80" s="655">
        <v>72</v>
      </c>
      <c r="C80" s="656">
        <v>43714</v>
      </c>
      <c r="D80" s="657" t="s">
        <v>282</v>
      </c>
      <c r="E80" s="658">
        <v>9.1999999999999993</v>
      </c>
      <c r="F80" s="659" t="s">
        <v>290</v>
      </c>
      <c r="G80" s="660">
        <v>35</v>
      </c>
    </row>
    <row r="81" spans="1:7" ht="14.25" customHeight="1">
      <c r="A81" s="654" t="s">
        <v>284</v>
      </c>
      <c r="B81" s="655">
        <v>73</v>
      </c>
      <c r="C81" s="656">
        <v>43714</v>
      </c>
      <c r="D81" s="657" t="s">
        <v>282</v>
      </c>
      <c r="E81" s="658">
        <v>0.93</v>
      </c>
      <c r="F81" s="659" t="s">
        <v>290</v>
      </c>
      <c r="G81" s="660">
        <v>30</v>
      </c>
    </row>
    <row r="82" spans="1:7" ht="14.25" customHeight="1">
      <c r="A82" s="654" t="s">
        <v>287</v>
      </c>
      <c r="B82" s="655">
        <v>74</v>
      </c>
      <c r="C82" s="656">
        <v>43714</v>
      </c>
      <c r="D82" s="657" t="s">
        <v>282</v>
      </c>
      <c r="E82" s="658">
        <v>5.1998562420407399</v>
      </c>
      <c r="F82" s="659" t="s">
        <v>290</v>
      </c>
      <c r="G82" s="660">
        <v>39</v>
      </c>
    </row>
    <row r="83" spans="1:7" ht="14.25" customHeight="1">
      <c r="A83" s="654" t="s">
        <v>295</v>
      </c>
      <c r="B83" s="655">
        <v>75</v>
      </c>
      <c r="C83" s="656">
        <v>43714</v>
      </c>
      <c r="D83" s="657" t="s">
        <v>289</v>
      </c>
      <c r="E83" s="658">
        <v>0.47620248183979308</v>
      </c>
      <c r="F83" s="659" t="s">
        <v>294</v>
      </c>
      <c r="G83" s="660">
        <v>8</v>
      </c>
    </row>
    <row r="84" spans="1:7" ht="14.25" customHeight="1">
      <c r="A84" s="654" t="s">
        <v>293</v>
      </c>
      <c r="B84" s="655">
        <v>76</v>
      </c>
      <c r="C84" s="656">
        <v>43720</v>
      </c>
      <c r="D84" s="657" t="s">
        <v>286</v>
      </c>
      <c r="E84" s="658">
        <v>0.64929803027590771</v>
      </c>
      <c r="F84" s="659" t="s">
        <v>294</v>
      </c>
      <c r="G84" s="660">
        <v>21</v>
      </c>
    </row>
    <row r="85" spans="1:7" ht="14.25" customHeight="1">
      <c r="A85" s="654" t="s">
        <v>293</v>
      </c>
      <c r="B85" s="655">
        <v>77</v>
      </c>
      <c r="C85" s="656">
        <v>43721</v>
      </c>
      <c r="D85" s="657" t="s">
        <v>286</v>
      </c>
      <c r="E85" s="658">
        <v>0.24291662465259584</v>
      </c>
      <c r="F85" s="659" t="s">
        <v>294</v>
      </c>
      <c r="G85" s="660">
        <v>23</v>
      </c>
    </row>
    <row r="86" spans="1:7" ht="14.25" customHeight="1">
      <c r="A86" s="654" t="s">
        <v>295</v>
      </c>
      <c r="B86" s="655">
        <v>78</v>
      </c>
      <c r="C86" s="656">
        <v>43721</v>
      </c>
      <c r="D86" s="657" t="s">
        <v>289</v>
      </c>
      <c r="E86" s="658">
        <v>0.5079336601169816</v>
      </c>
      <c r="F86" s="659" t="s">
        <v>294</v>
      </c>
      <c r="G86" s="660">
        <v>10</v>
      </c>
    </row>
    <row r="87" spans="1:7" ht="14.25" customHeight="1">
      <c r="A87" s="654" t="s">
        <v>281</v>
      </c>
      <c r="B87" s="655">
        <v>79</v>
      </c>
      <c r="C87" s="656">
        <v>43731</v>
      </c>
      <c r="D87" s="657" t="s">
        <v>282</v>
      </c>
      <c r="E87" s="658">
        <v>2.94</v>
      </c>
      <c r="F87" s="659" t="s">
        <v>300</v>
      </c>
      <c r="G87" s="660">
        <v>38</v>
      </c>
    </row>
    <row r="88" spans="1:7" ht="14.25" customHeight="1">
      <c r="A88" s="654" t="s">
        <v>284</v>
      </c>
      <c r="B88" s="655">
        <v>80</v>
      </c>
      <c r="C88" s="656">
        <v>43731</v>
      </c>
      <c r="D88" s="657" t="s">
        <v>282</v>
      </c>
      <c r="E88" s="658">
        <v>1.73</v>
      </c>
      <c r="F88" s="659" t="s">
        <v>300</v>
      </c>
      <c r="G88" s="660">
        <v>33</v>
      </c>
    </row>
    <row r="89" spans="1:7" ht="14.25" customHeight="1">
      <c r="A89" s="654" t="s">
        <v>281</v>
      </c>
      <c r="B89" s="655">
        <v>81</v>
      </c>
      <c r="C89" s="656">
        <v>43732</v>
      </c>
      <c r="D89" s="657" t="s">
        <v>282</v>
      </c>
      <c r="E89" s="658">
        <v>3.18</v>
      </c>
      <c r="F89" s="659" t="s">
        <v>290</v>
      </c>
      <c r="G89" s="660">
        <v>40</v>
      </c>
    </row>
    <row r="90" spans="1:7" ht="14.25" customHeight="1">
      <c r="A90" s="654" t="s">
        <v>293</v>
      </c>
      <c r="B90" s="655">
        <v>82</v>
      </c>
      <c r="C90" s="656">
        <v>43732</v>
      </c>
      <c r="D90" s="657" t="s">
        <v>286</v>
      </c>
      <c r="E90" s="658">
        <v>0.33564818833433535</v>
      </c>
      <c r="F90" s="659" t="s">
        <v>294</v>
      </c>
      <c r="G90" s="660">
        <v>25</v>
      </c>
    </row>
    <row r="91" spans="1:7" ht="14.25" customHeight="1">
      <c r="A91" s="654" t="s">
        <v>295</v>
      </c>
      <c r="B91" s="655">
        <v>83</v>
      </c>
      <c r="C91" s="656">
        <v>43732</v>
      </c>
      <c r="D91" s="657" t="s">
        <v>289</v>
      </c>
      <c r="E91" s="658">
        <v>0.46454815931539084</v>
      </c>
      <c r="F91" s="659" t="s">
        <v>294</v>
      </c>
      <c r="G91" s="660">
        <v>12</v>
      </c>
    </row>
    <row r="92" spans="1:7" ht="14.25" customHeight="1">
      <c r="A92" s="654" t="s">
        <v>288</v>
      </c>
      <c r="B92" s="655">
        <v>84</v>
      </c>
      <c r="C92" s="656">
        <v>43732</v>
      </c>
      <c r="D92" s="657" t="s">
        <v>289</v>
      </c>
      <c r="E92" s="658">
        <v>1.5568450000000049</v>
      </c>
      <c r="F92" s="659" t="s">
        <v>290</v>
      </c>
      <c r="G92" s="660">
        <v>19</v>
      </c>
    </row>
    <row r="93" spans="1:7" ht="14.25" customHeight="1">
      <c r="A93" s="654" t="s">
        <v>281</v>
      </c>
      <c r="B93" s="655">
        <v>85</v>
      </c>
      <c r="C93" s="656">
        <v>43733</v>
      </c>
      <c r="D93" s="657" t="s">
        <v>282</v>
      </c>
      <c r="E93" s="658">
        <v>2.68</v>
      </c>
      <c r="F93" s="659" t="s">
        <v>290</v>
      </c>
      <c r="G93" s="660">
        <v>42</v>
      </c>
    </row>
    <row r="94" spans="1:7" ht="14.25" customHeight="1">
      <c r="A94" s="654" t="s">
        <v>295</v>
      </c>
      <c r="B94" s="655">
        <v>86</v>
      </c>
      <c r="C94" s="656">
        <v>43733</v>
      </c>
      <c r="D94" s="657" t="s">
        <v>289</v>
      </c>
      <c r="E94" s="658">
        <v>0.65148560035924907</v>
      </c>
      <c r="F94" s="659" t="s">
        <v>294</v>
      </c>
      <c r="G94" s="660">
        <v>14</v>
      </c>
    </row>
    <row r="95" spans="1:7" ht="14.25" customHeight="1">
      <c r="A95" s="654" t="s">
        <v>288</v>
      </c>
      <c r="B95" s="655">
        <v>87</v>
      </c>
      <c r="C95" s="656">
        <v>43733</v>
      </c>
      <c r="D95" s="657" t="s">
        <v>289</v>
      </c>
      <c r="E95" s="658">
        <v>1.57354076131148</v>
      </c>
      <c r="F95" s="659" t="s">
        <v>292</v>
      </c>
      <c r="G95" s="660">
        <v>22</v>
      </c>
    </row>
    <row r="96" spans="1:7" ht="14.25" customHeight="1">
      <c r="A96" s="654" t="s">
        <v>284</v>
      </c>
      <c r="B96" s="655">
        <v>88</v>
      </c>
      <c r="C96" s="656">
        <v>43745</v>
      </c>
      <c r="D96" s="657" t="s">
        <v>282</v>
      </c>
      <c r="E96" s="658">
        <v>0.33</v>
      </c>
      <c r="F96" s="659" t="s">
        <v>290</v>
      </c>
      <c r="G96" s="660">
        <v>35</v>
      </c>
    </row>
    <row r="97" spans="1:7" ht="14.25" customHeight="1">
      <c r="A97" s="654" t="s">
        <v>293</v>
      </c>
      <c r="B97" s="655">
        <v>89</v>
      </c>
      <c r="C97" s="656">
        <v>43745</v>
      </c>
      <c r="D97" s="657" t="s">
        <v>286</v>
      </c>
      <c r="E97" s="658">
        <v>0.22827562097345233</v>
      </c>
      <c r="F97" s="659" t="s">
        <v>294</v>
      </c>
      <c r="G97" s="660">
        <v>27</v>
      </c>
    </row>
    <row r="98" spans="1:7" ht="14.25" customHeight="1">
      <c r="A98" s="654" t="s">
        <v>293</v>
      </c>
      <c r="B98" s="655">
        <v>90</v>
      </c>
      <c r="C98" s="656">
        <v>43753</v>
      </c>
      <c r="D98" s="657" t="s">
        <v>286</v>
      </c>
      <c r="E98" s="658">
        <v>0.14708832305854547</v>
      </c>
      <c r="F98" s="659" t="s">
        <v>294</v>
      </c>
      <c r="G98" s="660">
        <v>29</v>
      </c>
    </row>
    <row r="99" spans="1:7" ht="14.25" customHeight="1">
      <c r="A99" s="654" t="s">
        <v>293</v>
      </c>
      <c r="B99" s="655">
        <v>91</v>
      </c>
      <c r="C99" s="656">
        <v>43754</v>
      </c>
      <c r="D99" s="657" t="s">
        <v>286</v>
      </c>
      <c r="E99" s="658">
        <v>9.4126382679071401E-3</v>
      </c>
      <c r="F99" s="659" t="s">
        <v>294</v>
      </c>
      <c r="G99" s="660">
        <v>31</v>
      </c>
    </row>
    <row r="100" spans="1:7" ht="14.25" customHeight="1">
      <c r="A100" s="654" t="s">
        <v>295</v>
      </c>
      <c r="B100" s="655">
        <v>92</v>
      </c>
      <c r="C100" s="656">
        <v>43754</v>
      </c>
      <c r="D100" s="657" t="s">
        <v>289</v>
      </c>
      <c r="E100" s="658">
        <v>1.6760099207990646</v>
      </c>
      <c r="F100" s="659" t="s">
        <v>294</v>
      </c>
      <c r="G100" s="660">
        <v>16</v>
      </c>
    </row>
    <row r="101" spans="1:7" ht="14.25" customHeight="1">
      <c r="A101" s="654" t="s">
        <v>287</v>
      </c>
      <c r="B101" s="655">
        <v>93</v>
      </c>
      <c r="C101" s="656">
        <v>43759</v>
      </c>
      <c r="D101" s="657" t="s">
        <v>282</v>
      </c>
      <c r="E101" s="658">
        <v>3.0084265818923002</v>
      </c>
      <c r="F101" s="659" t="s">
        <v>290</v>
      </c>
      <c r="G101" s="660">
        <v>41</v>
      </c>
    </row>
    <row r="102" spans="1:7" ht="14.25" customHeight="1">
      <c r="A102" s="654" t="s">
        <v>287</v>
      </c>
      <c r="B102" s="655">
        <v>94</v>
      </c>
      <c r="C102" s="656">
        <v>43760</v>
      </c>
      <c r="D102" s="657" t="s">
        <v>282</v>
      </c>
      <c r="E102" s="658">
        <v>4.1211848391952373</v>
      </c>
      <c r="F102" s="659" t="s">
        <v>292</v>
      </c>
      <c r="G102" s="660">
        <v>43</v>
      </c>
    </row>
    <row r="103" spans="1:7" ht="14.25" customHeight="1">
      <c r="A103" s="654" t="s">
        <v>293</v>
      </c>
      <c r="B103" s="655">
        <v>95</v>
      </c>
      <c r="C103" s="656">
        <v>43759</v>
      </c>
      <c r="D103" s="657" t="s">
        <v>286</v>
      </c>
      <c r="E103" s="658">
        <v>0.17316980184827935</v>
      </c>
      <c r="F103" s="659" t="s">
        <v>294</v>
      </c>
      <c r="G103" s="660">
        <v>33</v>
      </c>
    </row>
    <row r="104" spans="1:7" ht="14.25" customHeight="1">
      <c r="A104" s="654" t="s">
        <v>295</v>
      </c>
      <c r="B104" s="655">
        <v>96</v>
      </c>
      <c r="C104" s="656">
        <v>43759</v>
      </c>
      <c r="D104" s="657" t="s">
        <v>289</v>
      </c>
      <c r="E104" s="658">
        <v>1.4793377789380382</v>
      </c>
      <c r="F104" s="659" t="s">
        <v>294</v>
      </c>
      <c r="G104" s="660">
        <v>18</v>
      </c>
    </row>
    <row r="105" spans="1:7" ht="14.25" customHeight="1">
      <c r="A105" s="654" t="s">
        <v>288</v>
      </c>
      <c r="B105" s="655">
        <v>97</v>
      </c>
      <c r="C105" s="656">
        <v>43759</v>
      </c>
      <c r="D105" s="657" t="s">
        <v>289</v>
      </c>
      <c r="E105" s="658">
        <v>3.792510408685057</v>
      </c>
      <c r="F105" s="659" t="s">
        <v>290</v>
      </c>
      <c r="G105" s="660">
        <v>24</v>
      </c>
    </row>
    <row r="106" spans="1:7" ht="14.25" customHeight="1">
      <c r="A106" s="654" t="s">
        <v>293</v>
      </c>
      <c r="B106" s="655">
        <v>98</v>
      </c>
      <c r="C106" s="656">
        <v>43760</v>
      </c>
      <c r="D106" s="657" t="s">
        <v>286</v>
      </c>
      <c r="E106" s="658">
        <v>3.0374231507559885E-2</v>
      </c>
      <c r="F106" s="659" t="s">
        <v>294</v>
      </c>
      <c r="G106" s="660">
        <v>35</v>
      </c>
    </row>
    <row r="107" spans="1:7" ht="14.25" customHeight="1">
      <c r="A107" s="654" t="s">
        <v>295</v>
      </c>
      <c r="B107" s="655">
        <v>99</v>
      </c>
      <c r="C107" s="656">
        <v>43760</v>
      </c>
      <c r="D107" s="657" t="s">
        <v>289</v>
      </c>
      <c r="E107" s="658">
        <v>1.8049873681598914</v>
      </c>
      <c r="F107" s="659" t="s">
        <v>294</v>
      </c>
      <c r="G107" s="660">
        <v>20</v>
      </c>
    </row>
    <row r="108" spans="1:7" ht="14.25" customHeight="1">
      <c r="A108" s="654" t="s">
        <v>288</v>
      </c>
      <c r="B108" s="655">
        <v>100</v>
      </c>
      <c r="C108" s="656">
        <v>43760</v>
      </c>
      <c r="D108" s="657" t="s">
        <v>289</v>
      </c>
      <c r="E108" s="658">
        <v>4.012952164167026</v>
      </c>
      <c r="F108" s="659" t="s">
        <v>290</v>
      </c>
      <c r="G108" s="660">
        <v>26</v>
      </c>
    </row>
    <row r="109" spans="1:7" ht="14.25" customHeight="1">
      <c r="A109" s="654" t="s">
        <v>293</v>
      </c>
      <c r="B109" s="655">
        <v>101</v>
      </c>
      <c r="C109" s="656">
        <v>43761</v>
      </c>
      <c r="D109" s="657" t="s">
        <v>286</v>
      </c>
      <c r="E109" s="658">
        <v>0.12625749225681171</v>
      </c>
      <c r="F109" s="659" t="s">
        <v>294</v>
      </c>
      <c r="G109" s="660">
        <v>37</v>
      </c>
    </row>
    <row r="110" spans="1:7" ht="14.25" customHeight="1">
      <c r="A110" s="654" t="s">
        <v>295</v>
      </c>
      <c r="B110" s="655">
        <v>102</v>
      </c>
      <c r="C110" s="656">
        <v>43761</v>
      </c>
      <c r="D110" s="657" t="s">
        <v>289</v>
      </c>
      <c r="E110" s="658">
        <v>1.2350312642714625</v>
      </c>
      <c r="F110" s="659" t="s">
        <v>294</v>
      </c>
      <c r="G110" s="660">
        <v>22</v>
      </c>
    </row>
    <row r="111" spans="1:7" ht="14.25" customHeight="1">
      <c r="A111" s="654" t="s">
        <v>288</v>
      </c>
      <c r="B111" s="655">
        <v>103</v>
      </c>
      <c r="C111" s="656">
        <v>43761</v>
      </c>
      <c r="D111" s="657" t="s">
        <v>289</v>
      </c>
      <c r="E111" s="658">
        <v>4.1223556910246248</v>
      </c>
      <c r="F111" s="659" t="s">
        <v>290</v>
      </c>
      <c r="G111" s="660">
        <v>28</v>
      </c>
    </row>
    <row r="112" spans="1:7" ht="14.25" customHeight="1">
      <c r="A112" s="654" t="s">
        <v>281</v>
      </c>
      <c r="B112" s="655">
        <v>104</v>
      </c>
      <c r="C112" s="656">
        <v>43759</v>
      </c>
      <c r="D112" s="657" t="s">
        <v>282</v>
      </c>
      <c r="E112" s="658">
        <v>0.2</v>
      </c>
      <c r="F112" s="659" t="s">
        <v>290</v>
      </c>
      <c r="G112" s="660">
        <v>44</v>
      </c>
    </row>
    <row r="113" spans="1:7" ht="14.25" customHeight="1">
      <c r="A113" s="654" t="s">
        <v>281</v>
      </c>
      <c r="B113" s="655">
        <v>105</v>
      </c>
      <c r="C113" s="656">
        <v>43760</v>
      </c>
      <c r="D113" s="657" t="s">
        <v>282</v>
      </c>
      <c r="E113" s="658">
        <v>1.34</v>
      </c>
      <c r="F113" s="659" t="s">
        <v>292</v>
      </c>
      <c r="G113" s="660">
        <v>47</v>
      </c>
    </row>
    <row r="114" spans="1:7" ht="14.25" customHeight="1">
      <c r="A114" s="654" t="s">
        <v>284</v>
      </c>
      <c r="B114" s="655">
        <v>106</v>
      </c>
      <c r="C114" s="656">
        <v>43760</v>
      </c>
      <c r="D114" s="657" t="s">
        <v>282</v>
      </c>
      <c r="E114" s="658">
        <v>0.73</v>
      </c>
      <c r="F114" s="659" t="s">
        <v>292</v>
      </c>
      <c r="G114" s="660">
        <v>38</v>
      </c>
    </row>
    <row r="115" spans="1:7" ht="14.25" customHeight="1">
      <c r="A115" s="654" t="s">
        <v>284</v>
      </c>
      <c r="B115" s="655">
        <v>107</v>
      </c>
      <c r="C115" s="656">
        <v>43761</v>
      </c>
      <c r="D115" s="657" t="s">
        <v>282</v>
      </c>
      <c r="E115" s="658">
        <v>0.55000000000000004</v>
      </c>
      <c r="F115" s="659" t="s">
        <v>290</v>
      </c>
      <c r="G115" s="660">
        <v>40</v>
      </c>
    </row>
    <row r="116" spans="1:7" ht="14.25" customHeight="1">
      <c r="A116" s="654" t="s">
        <v>284</v>
      </c>
      <c r="B116" s="655">
        <v>108</v>
      </c>
      <c r="C116" s="656">
        <v>43762</v>
      </c>
      <c r="D116" s="657" t="s">
        <v>282</v>
      </c>
      <c r="E116" s="658">
        <v>0.83</v>
      </c>
      <c r="F116" s="659" t="s">
        <v>294</v>
      </c>
      <c r="G116" s="660">
        <v>42</v>
      </c>
    </row>
    <row r="117" spans="1:7" ht="14.25" customHeight="1">
      <c r="A117" s="661"/>
      <c r="B117" s="662"/>
      <c r="C117" s="663"/>
      <c r="D117" s="664"/>
      <c r="E117" s="665"/>
      <c r="F117" s="666"/>
      <c r="G117" s="667"/>
    </row>
    <row r="118" spans="1:7" ht="14.25" customHeight="1">
      <c r="A118" s="661"/>
      <c r="B118" s="662"/>
      <c r="C118" s="663"/>
      <c r="D118" s="664"/>
      <c r="E118" s="665"/>
      <c r="F118" s="666"/>
      <c r="G118" s="667"/>
    </row>
    <row r="119" spans="1:7" ht="14.25" customHeight="1">
      <c r="A119" s="684"/>
      <c r="B119" s="685"/>
      <c r="C119" s="555"/>
      <c r="D119" s="664"/>
      <c r="E119" s="665"/>
      <c r="F119" s="666"/>
      <c r="G119" s="667"/>
    </row>
    <row r="120" spans="1:7" ht="14.25" customHeight="1">
      <c r="A120" s="684"/>
      <c r="B120" s="685"/>
      <c r="C120" s="555"/>
      <c r="D120" s="664"/>
      <c r="E120" s="665"/>
      <c r="F120" s="666"/>
      <c r="G120" s="667"/>
    </row>
    <row r="121" spans="1:7" ht="14.25" customHeight="1">
      <c r="A121" s="668" t="s">
        <v>67</v>
      </c>
      <c r="B121" s="669"/>
      <c r="C121" s="670"/>
      <c r="D121" s="664"/>
      <c r="E121" s="671"/>
      <c r="F121" s="666"/>
      <c r="G121" s="664"/>
    </row>
    <row r="122" spans="1:7" ht="18" customHeight="1">
      <c r="A122" s="672" t="s">
        <v>301</v>
      </c>
      <c r="B122" s="669"/>
      <c r="C122" s="670"/>
      <c r="D122" s="664"/>
      <c r="E122" s="671"/>
      <c r="F122" s="666"/>
      <c r="G122" s="664"/>
    </row>
    <row r="123" spans="1:7" ht="18.75" customHeight="1">
      <c r="A123" s="672" t="s">
        <v>302</v>
      </c>
      <c r="B123" s="669"/>
      <c r="C123" s="670"/>
      <c r="D123" s="664"/>
      <c r="E123" s="671"/>
      <c r="F123" s="666"/>
      <c r="G123" s="664"/>
    </row>
    <row r="124" spans="1:7" ht="14.25" customHeight="1">
      <c r="A124" s="672"/>
      <c r="B124" s="669"/>
      <c r="C124" s="670"/>
      <c r="D124" s="664"/>
      <c r="E124" s="671"/>
      <c r="F124" s="666"/>
      <c r="G124" s="664"/>
    </row>
    <row r="125" spans="1:7" ht="14.25" customHeight="1">
      <c r="A125" s="527" t="s">
        <v>76</v>
      </c>
      <c r="B125" s="673"/>
      <c r="C125" s="673"/>
      <c r="D125" s="673"/>
      <c r="E125" s="686"/>
      <c r="F125" s="673"/>
      <c r="G125" s="673"/>
    </row>
    <row r="126" spans="1:7" ht="14.25" customHeight="1">
      <c r="A126" s="527"/>
      <c r="B126" s="673"/>
      <c r="C126" s="673"/>
      <c r="D126" s="673"/>
      <c r="E126" s="686"/>
      <c r="F126" s="673"/>
      <c r="G126" s="673"/>
    </row>
  </sheetData>
  <mergeCells count="1">
    <mergeCell ref="A7:G7"/>
  </mergeCells>
  <phoneticPr fontId="0" type="noConversion"/>
  <printOptions horizontalCentered="1"/>
  <pageMargins left="0" right="0" top="0.55000000000000004" bottom="0.17" header="0.3" footer="0.15"/>
  <pageSetup paperSize="5" scale="33" orientation="landscape" cellComments="atEnd" r:id="rId1"/>
  <headerFooter alignWithMargins="0">
    <oddHeader xml:space="preserve">&amp;C&amp;"Arial,Bold"
</oddHeader>
    <oddFooter>&amp;Rpage 9 of 12
&amp;A
&amp;D  &amp;T</oddFooter>
  </headerFooter>
  <customProperties>
    <customPr name="_pios_id" r:id="rId2"/>
  </customPropertie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O74"/>
  <sheetViews>
    <sheetView topLeftCell="A24" zoomScaleNormal="100" zoomScaleSheetLayoutView="75" workbookViewId="0">
      <selection activeCell="A45" sqref="A45"/>
    </sheetView>
  </sheetViews>
  <sheetFormatPr defaultColWidth="17" defaultRowHeight="11.5"/>
  <cols>
    <col min="1" max="1" width="46.1796875" style="244" customWidth="1"/>
    <col min="2" max="3" width="11.7265625" style="244" customWidth="1"/>
    <col min="4" max="4" width="15.54296875" style="244" customWidth="1"/>
    <col min="5" max="7" width="11.7265625" style="244" customWidth="1"/>
    <col min="8" max="8" width="14.81640625" style="244" customWidth="1"/>
    <col min="9" max="9" width="11.7265625" style="244" customWidth="1"/>
    <col min="10" max="10" width="11.7265625" style="245" customWidth="1"/>
    <col min="11" max="11" width="11.7265625" style="244" customWidth="1"/>
    <col min="12" max="12" width="12.26953125" style="244" customWidth="1"/>
    <col min="13" max="13" width="11.7265625" style="244" customWidth="1"/>
    <col min="14" max="14" width="12.7265625" style="244" customWidth="1"/>
    <col min="15" max="16384" width="17" style="244"/>
  </cols>
  <sheetData>
    <row r="1" spans="1:14">
      <c r="E1" s="242" t="s">
        <v>39</v>
      </c>
    </row>
    <row r="2" spans="1:14">
      <c r="E2" s="242" t="s">
        <v>303</v>
      </c>
    </row>
    <row r="3" spans="1:14">
      <c r="D3" s="246"/>
      <c r="E3" s="247" t="str">
        <f>'Program MW '!H3</f>
        <v>December 2019</v>
      </c>
      <c r="F3" s="246"/>
    </row>
    <row r="4" spans="1:14" ht="12" thickBot="1"/>
    <row r="5" spans="1:14">
      <c r="A5" s="248"/>
      <c r="B5" s="249"/>
      <c r="C5" s="249"/>
      <c r="D5" s="249"/>
      <c r="E5" s="249"/>
      <c r="F5" s="249"/>
      <c r="G5" s="249"/>
      <c r="H5" s="249"/>
      <c r="I5" s="249"/>
      <c r="J5" s="250"/>
      <c r="K5" s="249"/>
      <c r="L5" s="249"/>
      <c r="M5" s="471"/>
      <c r="N5" s="317"/>
    </row>
    <row r="6" spans="1:14" ht="23">
      <c r="A6" s="251" t="s">
        <v>304</v>
      </c>
      <c r="B6" s="252" t="s">
        <v>42</v>
      </c>
      <c r="C6" s="252" t="s">
        <v>43</v>
      </c>
      <c r="D6" s="252" t="s">
        <v>44</v>
      </c>
      <c r="E6" s="252" t="s">
        <v>45</v>
      </c>
      <c r="F6" s="252" t="s">
        <v>31</v>
      </c>
      <c r="G6" s="252" t="s">
        <v>46</v>
      </c>
      <c r="H6" s="252" t="s">
        <v>59</v>
      </c>
      <c r="I6" s="252" t="s">
        <v>113</v>
      </c>
      <c r="J6" s="253" t="s">
        <v>114</v>
      </c>
      <c r="K6" s="252" t="s">
        <v>62</v>
      </c>
      <c r="L6" s="252" t="s">
        <v>115</v>
      </c>
      <c r="M6" s="472" t="s">
        <v>64</v>
      </c>
      <c r="N6" s="318" t="s">
        <v>305</v>
      </c>
    </row>
    <row r="7" spans="1:14">
      <c r="A7" s="254"/>
      <c r="B7" s="255"/>
      <c r="C7" s="255"/>
      <c r="D7" s="255"/>
      <c r="E7" s="255"/>
      <c r="F7" s="255"/>
      <c r="G7" s="255"/>
      <c r="H7" s="255"/>
      <c r="I7" s="255"/>
      <c r="J7" s="256"/>
      <c r="K7" s="255"/>
      <c r="L7" s="255"/>
      <c r="M7" s="473"/>
      <c r="N7" s="319"/>
    </row>
    <row r="8" spans="1:14">
      <c r="A8" s="257" t="s">
        <v>306</v>
      </c>
      <c r="B8" s="255"/>
      <c r="C8" s="255"/>
      <c r="D8" s="255"/>
      <c r="E8" s="255"/>
      <c r="F8" s="255"/>
      <c r="G8" s="255"/>
      <c r="H8" s="255"/>
      <c r="I8" s="255"/>
      <c r="J8" s="256"/>
      <c r="K8" s="255"/>
      <c r="L8" s="255"/>
      <c r="M8" s="473"/>
      <c r="N8" s="320"/>
    </row>
    <row r="9" spans="1:14">
      <c r="A9" s="444" t="s">
        <v>307</v>
      </c>
      <c r="B9" s="581">
        <v>3.992</v>
      </c>
      <c r="C9" s="582">
        <v>7.93</v>
      </c>
      <c r="D9" s="582">
        <v>6.8150000000000004</v>
      </c>
      <c r="E9" s="582">
        <v>8.9749999999999996</v>
      </c>
      <c r="F9" s="582">
        <v>8.7210000000000001</v>
      </c>
      <c r="G9" s="582">
        <v>7.3550000000000004</v>
      </c>
      <c r="H9" s="582">
        <v>11.489000000000001</v>
      </c>
      <c r="I9" s="582">
        <v>12.964</v>
      </c>
      <c r="J9" s="582">
        <v>10.179</v>
      </c>
      <c r="K9" s="582">
        <v>8.9139999999999997</v>
      </c>
      <c r="L9" s="582">
        <v>9.8740000000000006</v>
      </c>
      <c r="M9" s="583">
        <v>10.28</v>
      </c>
      <c r="N9" s="580">
        <f t="shared" ref="N9:N34" si="0">SUM(B9:M9)</f>
        <v>107.48800000000001</v>
      </c>
    </row>
    <row r="10" spans="1:14" ht="13.5">
      <c r="A10" s="444" t="s">
        <v>308</v>
      </c>
      <c r="B10" s="442">
        <v>8.7970000000000006</v>
      </c>
      <c r="C10" s="573">
        <v>94.406000000000006</v>
      </c>
      <c r="D10" s="573">
        <v>43.981999999999999</v>
      </c>
      <c r="E10" s="573">
        <v>2.6850000000000001</v>
      </c>
      <c r="F10" s="573">
        <v>73.950999999999993</v>
      </c>
      <c r="G10" s="573">
        <v>68.212000000000003</v>
      </c>
      <c r="H10" s="573">
        <v>37.917000000000002</v>
      </c>
      <c r="I10" s="573">
        <v>17.015000000000001</v>
      </c>
      <c r="J10" s="573">
        <v>56.021999999999998</v>
      </c>
      <c r="K10" s="573">
        <v>45.744999999999997</v>
      </c>
      <c r="L10" s="573">
        <v>5.7</v>
      </c>
      <c r="M10" s="584">
        <v>71.417000000000002</v>
      </c>
      <c r="N10" s="580">
        <f t="shared" si="0"/>
        <v>525.84900000000005</v>
      </c>
    </row>
    <row r="11" spans="1:14" ht="14.5">
      <c r="A11" s="444" t="s">
        <v>309</v>
      </c>
      <c r="B11" s="442">
        <v>-3.8959999999999999</v>
      </c>
      <c r="C11" s="573">
        <v>8.3930000000000007</v>
      </c>
      <c r="D11" s="573">
        <v>9.35</v>
      </c>
      <c r="E11" s="573">
        <v>3.87</v>
      </c>
      <c r="F11" s="573">
        <v>22.364000000000001</v>
      </c>
      <c r="G11" s="573">
        <v>9.7149999999999999</v>
      </c>
      <c r="H11" s="573">
        <v>-10.641999999999999</v>
      </c>
      <c r="I11" s="573">
        <v>5.66</v>
      </c>
      <c r="J11" s="573">
        <v>22.898</v>
      </c>
      <c r="K11" s="573">
        <v>10.887</v>
      </c>
      <c r="L11" s="573">
        <v>11.534000000000001</v>
      </c>
      <c r="M11" s="584">
        <v>9.7880000000000003</v>
      </c>
      <c r="N11" s="580">
        <f t="shared" si="0"/>
        <v>99.921000000000006</v>
      </c>
    </row>
    <row r="12" spans="1:14">
      <c r="A12" s="444" t="s">
        <v>310</v>
      </c>
      <c r="B12" s="442">
        <v>0</v>
      </c>
      <c r="C12" s="573">
        <v>0</v>
      </c>
      <c r="D12" s="573">
        <v>0.36</v>
      </c>
      <c r="E12" s="573">
        <v>0.58399999999999996</v>
      </c>
      <c r="F12" s="573">
        <v>0.56000000000000005</v>
      </c>
      <c r="G12" s="573">
        <v>0</v>
      </c>
      <c r="H12" s="573">
        <v>0</v>
      </c>
      <c r="I12" s="573">
        <v>0</v>
      </c>
      <c r="J12" s="573">
        <v>0</v>
      </c>
      <c r="K12" s="573">
        <v>0</v>
      </c>
      <c r="L12" s="573">
        <v>0</v>
      </c>
      <c r="M12" s="584">
        <v>0</v>
      </c>
      <c r="N12" s="580">
        <f t="shared" si="0"/>
        <v>1.504</v>
      </c>
    </row>
    <row r="13" spans="1:14" ht="13.5">
      <c r="A13" s="444" t="s">
        <v>311</v>
      </c>
      <c r="B13" s="442">
        <v>17.975999999999999</v>
      </c>
      <c r="C13" s="573">
        <v>11.595000000000001</v>
      </c>
      <c r="D13" s="573">
        <v>15.244</v>
      </c>
      <c r="E13" s="573">
        <v>14</v>
      </c>
      <c r="F13" s="573">
        <v>27.783999999999999</v>
      </c>
      <c r="G13" s="573">
        <v>12.414</v>
      </c>
      <c r="H13" s="573">
        <v>-2.97</v>
      </c>
      <c r="I13" s="573">
        <v>16.518999999999998</v>
      </c>
      <c r="J13" s="573">
        <v>13.263</v>
      </c>
      <c r="K13" s="573">
        <v>14.388999999999999</v>
      </c>
      <c r="L13" s="573">
        <v>12.055999999999999</v>
      </c>
      <c r="M13" s="584">
        <v>15.833</v>
      </c>
      <c r="N13" s="580">
        <f t="shared" si="0"/>
        <v>168.10300000000001</v>
      </c>
    </row>
    <row r="14" spans="1:14" ht="14.5">
      <c r="A14" s="445" t="s">
        <v>312</v>
      </c>
      <c r="B14" s="442">
        <v>-0.19400000000000001</v>
      </c>
      <c r="C14" s="573">
        <v>0</v>
      </c>
      <c r="D14" s="573">
        <v>0</v>
      </c>
      <c r="E14" s="573">
        <v>0</v>
      </c>
      <c r="F14" s="573">
        <v>0</v>
      </c>
      <c r="G14" s="573">
        <v>0</v>
      </c>
      <c r="H14" s="573">
        <v>0</v>
      </c>
      <c r="I14" s="573">
        <v>0</v>
      </c>
      <c r="J14" s="573">
        <v>0</v>
      </c>
      <c r="K14" s="573">
        <v>0</v>
      </c>
      <c r="L14" s="573">
        <v>0</v>
      </c>
      <c r="M14" s="584">
        <v>0</v>
      </c>
      <c r="N14" s="580">
        <f t="shared" si="0"/>
        <v>-0.19400000000000001</v>
      </c>
    </row>
    <row r="15" spans="1:14">
      <c r="A15" s="444" t="s">
        <v>313</v>
      </c>
      <c r="B15" s="442">
        <v>9.7260000000000009</v>
      </c>
      <c r="C15" s="573">
        <v>7.2779999999999996</v>
      </c>
      <c r="D15" s="573">
        <v>11.63</v>
      </c>
      <c r="E15" s="573">
        <v>6.1349999999999998</v>
      </c>
      <c r="F15" s="573">
        <v>11.103999999999999</v>
      </c>
      <c r="G15" s="573">
        <v>8.3000000000000007</v>
      </c>
      <c r="H15" s="573">
        <v>5.2439999999999998</v>
      </c>
      <c r="I15" s="573">
        <v>9.76</v>
      </c>
      <c r="J15" s="573">
        <v>3.4169999999999998</v>
      </c>
      <c r="K15" s="573">
        <v>5.548</v>
      </c>
      <c r="L15" s="573">
        <v>28.574000000000002</v>
      </c>
      <c r="M15" s="584">
        <v>3.512</v>
      </c>
      <c r="N15" s="580">
        <f t="shared" si="0"/>
        <v>110.22800000000001</v>
      </c>
    </row>
    <row r="16" spans="1:14">
      <c r="A16" s="444" t="s">
        <v>314</v>
      </c>
      <c r="B16" s="442">
        <v>13.273</v>
      </c>
      <c r="C16" s="573">
        <v>23.611000000000001</v>
      </c>
      <c r="D16" s="573">
        <v>14.292999999999999</v>
      </c>
      <c r="E16" s="573">
        <v>19.298999999999999</v>
      </c>
      <c r="F16" s="573">
        <v>39.445</v>
      </c>
      <c r="G16" s="573">
        <v>25.308</v>
      </c>
      <c r="H16" s="573">
        <v>56.316000000000003</v>
      </c>
      <c r="I16" s="573">
        <v>27.305</v>
      </c>
      <c r="J16" s="573">
        <v>15.795999999999999</v>
      </c>
      <c r="K16" s="573">
        <v>41.247999999999998</v>
      </c>
      <c r="L16" s="573">
        <v>15.824</v>
      </c>
      <c r="M16" s="584">
        <v>115.125</v>
      </c>
      <c r="N16" s="580">
        <f t="shared" si="0"/>
        <v>406.84300000000002</v>
      </c>
    </row>
    <row r="17" spans="1:15" ht="14.5">
      <c r="A17" s="444" t="s">
        <v>315</v>
      </c>
      <c r="B17" s="442">
        <v>21.32</v>
      </c>
      <c r="C17" s="573">
        <v>35.82</v>
      </c>
      <c r="D17" s="573">
        <v>36.146000000000001</v>
      </c>
      <c r="E17" s="573">
        <v>23.731999999999999</v>
      </c>
      <c r="F17" s="573">
        <v>26.366</v>
      </c>
      <c r="G17" s="573">
        <v>30.914999999999999</v>
      </c>
      <c r="H17" s="573">
        <v>40.823999999999998</v>
      </c>
      <c r="I17" s="573">
        <v>-20.094999999999999</v>
      </c>
      <c r="J17" s="573">
        <v>17.855</v>
      </c>
      <c r="K17" s="573">
        <v>18.806999999999999</v>
      </c>
      <c r="L17" s="573">
        <v>20.573</v>
      </c>
      <c r="M17" s="584">
        <v>20.760999999999999</v>
      </c>
      <c r="N17" s="580">
        <f t="shared" si="0"/>
        <v>273.024</v>
      </c>
    </row>
    <row r="18" spans="1:15" ht="14.5">
      <c r="A18" s="444" t="s">
        <v>316</v>
      </c>
      <c r="B18" s="442">
        <v>79.647999999999996</v>
      </c>
      <c r="C18" s="573">
        <v>20.718</v>
      </c>
      <c r="D18" s="573">
        <v>22.684999999999999</v>
      </c>
      <c r="E18" s="573">
        <v>23.381</v>
      </c>
      <c r="F18" s="573">
        <v>83.96</v>
      </c>
      <c r="G18" s="573">
        <v>21.596</v>
      </c>
      <c r="H18" s="573">
        <v>-99.956999999999994</v>
      </c>
      <c r="I18" s="573">
        <v>23.506</v>
      </c>
      <c r="J18" s="573">
        <v>22.391999999999999</v>
      </c>
      <c r="K18" s="573">
        <v>28.986000000000001</v>
      </c>
      <c r="L18" s="573">
        <v>24.853999999999999</v>
      </c>
      <c r="M18" s="584">
        <v>27.597999999999999</v>
      </c>
      <c r="N18" s="580">
        <f t="shared" si="0"/>
        <v>279.36700000000002</v>
      </c>
    </row>
    <row r="19" spans="1:15">
      <c r="A19" s="444" t="s">
        <v>317</v>
      </c>
      <c r="B19" s="442">
        <v>0</v>
      </c>
      <c r="C19" s="573">
        <v>0</v>
      </c>
      <c r="D19" s="573">
        <v>0</v>
      </c>
      <c r="E19" s="573">
        <v>0</v>
      </c>
      <c r="F19" s="573">
        <v>0</v>
      </c>
      <c r="G19" s="573">
        <v>0</v>
      </c>
      <c r="H19" s="573">
        <v>0</v>
      </c>
      <c r="I19" s="573">
        <v>0</v>
      </c>
      <c r="J19" s="573">
        <v>0</v>
      </c>
      <c r="K19" s="573">
        <v>0</v>
      </c>
      <c r="L19" s="573">
        <v>0</v>
      </c>
      <c r="M19" s="584">
        <v>0</v>
      </c>
      <c r="N19" s="580">
        <f t="shared" si="0"/>
        <v>0</v>
      </c>
    </row>
    <row r="20" spans="1:15" ht="14.5">
      <c r="A20" s="444" t="s">
        <v>318</v>
      </c>
      <c r="B20" s="442">
        <v>4.1109999999999998</v>
      </c>
      <c r="C20" s="573">
        <v>5.7510000000000003</v>
      </c>
      <c r="D20" s="573">
        <v>4.9039999999999999</v>
      </c>
      <c r="E20" s="573">
        <v>5.0549999999999997</v>
      </c>
      <c r="F20" s="573">
        <v>4.9279999999999999</v>
      </c>
      <c r="G20" s="573">
        <v>4.141</v>
      </c>
      <c r="H20" s="573">
        <v>2.5289999999999999</v>
      </c>
      <c r="I20" s="573">
        <v>-2.3719999999999999</v>
      </c>
      <c r="J20" s="573">
        <v>1.679</v>
      </c>
      <c r="K20" s="573">
        <v>2.0449999999999999</v>
      </c>
      <c r="L20" s="573">
        <v>2.3719999999999999</v>
      </c>
      <c r="M20" s="584">
        <v>1.0720000000000001</v>
      </c>
      <c r="N20" s="580">
        <f t="shared" si="0"/>
        <v>36.215000000000003</v>
      </c>
    </row>
    <row r="21" spans="1:15" s="246" customFormat="1" ht="14.5">
      <c r="A21" s="415" t="s">
        <v>319</v>
      </c>
      <c r="B21" s="735">
        <v>3.1850000000000001</v>
      </c>
      <c r="C21" s="738">
        <v>3.6120000000000001</v>
      </c>
      <c r="D21" s="738">
        <v>1.679</v>
      </c>
      <c r="E21" s="738">
        <v>1.2989999999999999</v>
      </c>
      <c r="F21" s="738">
        <v>-6.407</v>
      </c>
      <c r="G21" s="738">
        <v>3.3340000000000001</v>
      </c>
      <c r="H21" s="738">
        <v>0</v>
      </c>
      <c r="I21" s="738">
        <v>-1.427</v>
      </c>
      <c r="J21" s="738">
        <v>0</v>
      </c>
      <c r="K21" s="738">
        <v>0</v>
      </c>
      <c r="L21" s="738">
        <v>-4.5919999999999996</v>
      </c>
      <c r="M21" s="739">
        <v>-0.70499999999999996</v>
      </c>
      <c r="N21" s="740">
        <f t="shared" si="0"/>
        <v>-2.1999999999999242E-2</v>
      </c>
    </row>
    <row r="22" spans="1:15" ht="12.5">
      <c r="A22" s="415" t="s">
        <v>320</v>
      </c>
      <c r="B22" s="442">
        <v>0</v>
      </c>
      <c r="C22" s="573">
        <v>0</v>
      </c>
      <c r="D22" s="573">
        <v>0</v>
      </c>
      <c r="E22" s="573">
        <v>0</v>
      </c>
      <c r="F22" s="573">
        <v>0</v>
      </c>
      <c r="G22" s="573">
        <v>0</v>
      </c>
      <c r="H22" s="573">
        <v>0</v>
      </c>
      <c r="I22" s="573">
        <v>0</v>
      </c>
      <c r="J22" s="573">
        <v>0</v>
      </c>
      <c r="K22" s="573">
        <v>0</v>
      </c>
      <c r="L22" s="573">
        <v>0</v>
      </c>
      <c r="M22" s="584">
        <v>0</v>
      </c>
      <c r="N22" s="580">
        <f t="shared" si="0"/>
        <v>0</v>
      </c>
    </row>
    <row r="23" spans="1:15" ht="14.5">
      <c r="A23" s="444" t="s">
        <v>321</v>
      </c>
      <c r="B23" s="442">
        <v>123.34699999999999</v>
      </c>
      <c r="C23" s="573">
        <v>8.8780000000000001</v>
      </c>
      <c r="D23" s="573">
        <v>46.003</v>
      </c>
      <c r="E23" s="573">
        <v>-6.8890000000000002</v>
      </c>
      <c r="F23" s="573">
        <v>-36.381</v>
      </c>
      <c r="G23" s="573">
        <v>179.04900000000001</v>
      </c>
      <c r="H23" s="573">
        <v>64.644999999999996</v>
      </c>
      <c r="I23" s="573">
        <v>49.726999999999997</v>
      </c>
      <c r="J23" s="573">
        <v>489.072</v>
      </c>
      <c r="K23" s="573">
        <v>-98.034999999999997</v>
      </c>
      <c r="L23" s="573">
        <v>195.15899999999999</v>
      </c>
      <c r="M23" s="584">
        <v>208.15799999999999</v>
      </c>
      <c r="N23" s="580">
        <f t="shared" si="0"/>
        <v>1222.7329999999999</v>
      </c>
    </row>
    <row r="24" spans="1:15">
      <c r="A24" s="444" t="s">
        <v>322</v>
      </c>
      <c r="B24" s="442">
        <v>31.242000000000001</v>
      </c>
      <c r="C24" s="573">
        <v>37.570999999999998</v>
      </c>
      <c r="D24" s="573">
        <v>33.664000000000001</v>
      </c>
      <c r="E24" s="573">
        <v>22.012</v>
      </c>
      <c r="F24" s="573">
        <v>35.551000000000002</v>
      </c>
      <c r="G24" s="573">
        <v>26.681000000000001</v>
      </c>
      <c r="H24" s="573">
        <v>36.438000000000002</v>
      </c>
      <c r="I24" s="573">
        <v>43.542000000000002</v>
      </c>
      <c r="J24" s="573">
        <v>37.161999999999999</v>
      </c>
      <c r="K24" s="573">
        <v>35.729999999999997</v>
      </c>
      <c r="L24" s="573">
        <v>37.905999999999999</v>
      </c>
      <c r="M24" s="584">
        <v>36.408000000000001</v>
      </c>
      <c r="N24" s="580">
        <f t="shared" si="0"/>
        <v>413.90700000000004</v>
      </c>
    </row>
    <row r="25" spans="1:15" ht="14.5">
      <c r="A25" s="444" t="s">
        <v>323</v>
      </c>
      <c r="B25" s="442">
        <v>43.570999999999998</v>
      </c>
      <c r="C25" s="573">
        <v>187.72800000000001</v>
      </c>
      <c r="D25" s="573">
        <v>1003.871</v>
      </c>
      <c r="E25" s="573">
        <v>211.41900000000001</v>
      </c>
      <c r="F25" s="573">
        <v>200.886</v>
      </c>
      <c r="G25" s="573">
        <v>180.02500000000001</v>
      </c>
      <c r="H25" s="573">
        <v>206.42500000000001</v>
      </c>
      <c r="I25" s="573">
        <v>232.06200000000001</v>
      </c>
      <c r="J25" s="573">
        <v>195.67500000000001</v>
      </c>
      <c r="K25" s="573">
        <v>222.77500000000001</v>
      </c>
      <c r="L25" s="573">
        <v>-1424.7940000000001</v>
      </c>
      <c r="M25" s="584">
        <v>176.43899999999999</v>
      </c>
      <c r="N25" s="580">
        <f t="shared" si="0"/>
        <v>1436.0820000000003</v>
      </c>
    </row>
    <row r="26" spans="1:15" ht="14.5">
      <c r="A26" s="444" t="s">
        <v>324</v>
      </c>
      <c r="B26" s="442">
        <v>67.688000000000002</v>
      </c>
      <c r="C26" s="573">
        <v>80.075999999999993</v>
      </c>
      <c r="D26" s="573">
        <v>247.53200000000001</v>
      </c>
      <c r="E26" s="573">
        <v>-14.914</v>
      </c>
      <c r="F26" s="573">
        <v>107.962</v>
      </c>
      <c r="G26" s="573">
        <v>92.117999999999995</v>
      </c>
      <c r="H26" s="573">
        <v>-40.747999999999998</v>
      </c>
      <c r="I26" s="573">
        <v>117.488</v>
      </c>
      <c r="J26" s="573">
        <v>45.307000000000002</v>
      </c>
      <c r="K26" s="573">
        <v>-26.59</v>
      </c>
      <c r="L26" s="573">
        <v>39.143000000000001</v>
      </c>
      <c r="M26" s="584">
        <v>96.843000000000004</v>
      </c>
      <c r="N26" s="580">
        <f t="shared" si="0"/>
        <v>811.90499999999997</v>
      </c>
    </row>
    <row r="27" spans="1:15" s="259" customFormat="1">
      <c r="A27" s="444" t="s">
        <v>260</v>
      </c>
      <c r="B27" s="442">
        <v>0</v>
      </c>
      <c r="C27" s="573">
        <v>0</v>
      </c>
      <c r="D27" s="573">
        <v>0</v>
      </c>
      <c r="E27" s="573">
        <v>0</v>
      </c>
      <c r="F27" s="573">
        <v>0</v>
      </c>
      <c r="G27" s="573">
        <v>0</v>
      </c>
      <c r="H27" s="573">
        <v>100</v>
      </c>
      <c r="I27" s="573">
        <v>0</v>
      </c>
      <c r="J27" s="573">
        <v>0</v>
      </c>
      <c r="K27" s="573">
        <v>0</v>
      </c>
      <c r="L27" s="573">
        <v>0</v>
      </c>
      <c r="M27" s="584">
        <v>97.53</v>
      </c>
      <c r="N27" s="580">
        <f t="shared" si="0"/>
        <v>197.53</v>
      </c>
      <c r="O27" s="244"/>
    </row>
    <row r="28" spans="1:15" s="259" customFormat="1" ht="12.5">
      <c r="A28" s="733" t="s">
        <v>325</v>
      </c>
      <c r="B28" s="573">
        <v>0</v>
      </c>
      <c r="C28" s="573">
        <v>0</v>
      </c>
      <c r="D28" s="573">
        <v>0</v>
      </c>
      <c r="E28" s="573">
        <v>0</v>
      </c>
      <c r="F28" s="573">
        <v>0</v>
      </c>
      <c r="G28" s="573">
        <v>0</v>
      </c>
      <c r="H28" s="573">
        <v>0</v>
      </c>
      <c r="I28" s="573">
        <v>0</v>
      </c>
      <c r="J28" s="573">
        <v>0</v>
      </c>
      <c r="K28" s="573">
        <v>153.30199999999999</v>
      </c>
      <c r="L28" s="573">
        <v>44.887999999999998</v>
      </c>
      <c r="M28" s="584">
        <v>26.98</v>
      </c>
      <c r="N28" s="580">
        <f t="shared" si="0"/>
        <v>225.17</v>
      </c>
      <c r="O28" s="244"/>
    </row>
    <row r="29" spans="1:15" s="259" customFormat="1" ht="13.5">
      <c r="A29" s="444" t="s">
        <v>326</v>
      </c>
      <c r="B29" s="442">
        <v>112.672</v>
      </c>
      <c r="C29" s="573">
        <v>29.806999999999999</v>
      </c>
      <c r="D29" s="573">
        <v>84.501999999999995</v>
      </c>
      <c r="E29" s="573">
        <v>4.9450000000000003</v>
      </c>
      <c r="F29" s="573">
        <v>8.2759999999999998</v>
      </c>
      <c r="G29" s="573">
        <v>30.009</v>
      </c>
      <c r="H29" s="573">
        <v>2.4849999999999999</v>
      </c>
      <c r="I29" s="573">
        <v>27.61</v>
      </c>
      <c r="J29" s="573">
        <v>28.175000000000001</v>
      </c>
      <c r="K29" s="573">
        <v>33.133000000000003</v>
      </c>
      <c r="L29" s="573">
        <v>24.056000000000001</v>
      </c>
      <c r="M29" s="584">
        <v>194.04499999999999</v>
      </c>
      <c r="N29" s="580">
        <f t="shared" si="0"/>
        <v>579.71500000000003</v>
      </c>
    </row>
    <row r="30" spans="1:15" s="259" customFormat="1" ht="14.5">
      <c r="A30" s="444" t="s">
        <v>327</v>
      </c>
      <c r="B30" s="442">
        <v>-7.625</v>
      </c>
      <c r="C30" s="573">
        <v>-3.6829999999999998</v>
      </c>
      <c r="D30" s="573">
        <v>21.204000000000001</v>
      </c>
      <c r="E30" s="573">
        <v>-5.4820000000000002</v>
      </c>
      <c r="F30" s="573">
        <v>-11.239000000000001</v>
      </c>
      <c r="G30" s="573">
        <v>7.7110000000000003</v>
      </c>
      <c r="H30" s="573">
        <v>0</v>
      </c>
      <c r="I30" s="573">
        <v>-1.994</v>
      </c>
      <c r="J30" s="573">
        <v>4.5199999999999996</v>
      </c>
      <c r="K30" s="573">
        <v>-0.09</v>
      </c>
      <c r="L30" s="573">
        <v>7.0359999999999996</v>
      </c>
      <c r="M30" s="584">
        <v>50.508000000000003</v>
      </c>
      <c r="N30" s="580">
        <f t="shared" si="0"/>
        <v>60.866</v>
      </c>
    </row>
    <row r="31" spans="1:15" s="259" customFormat="1" ht="14.5">
      <c r="A31" s="444" t="s">
        <v>328</v>
      </c>
      <c r="B31" s="442">
        <v>1.3660000000000001</v>
      </c>
      <c r="C31" s="573">
        <v>-1.393</v>
      </c>
      <c r="D31" s="573">
        <v>1.081</v>
      </c>
      <c r="E31" s="573">
        <v>0.44400000000000001</v>
      </c>
      <c r="F31" s="573">
        <v>-3.5489999999999999</v>
      </c>
      <c r="G31" s="573">
        <v>1.8180000000000001</v>
      </c>
      <c r="H31" s="573">
        <v>0</v>
      </c>
      <c r="I31" s="573">
        <v>0</v>
      </c>
      <c r="J31" s="573">
        <v>0</v>
      </c>
      <c r="K31" s="573">
        <v>0</v>
      </c>
      <c r="L31" s="573">
        <v>0</v>
      </c>
      <c r="M31" s="584">
        <v>0</v>
      </c>
      <c r="N31" s="580">
        <f t="shared" si="0"/>
        <v>-0.2330000000000001</v>
      </c>
    </row>
    <row r="32" spans="1:15" s="259" customFormat="1">
      <c r="A32" s="444" t="s">
        <v>329</v>
      </c>
      <c r="B32" s="442">
        <v>42.610999999999997</v>
      </c>
      <c r="C32" s="573">
        <v>49.061999999999998</v>
      </c>
      <c r="D32" s="573">
        <v>60.54</v>
      </c>
      <c r="E32" s="573">
        <v>48.725000000000001</v>
      </c>
      <c r="F32" s="573">
        <v>25.727</v>
      </c>
      <c r="G32" s="573">
        <v>32.493000000000002</v>
      </c>
      <c r="H32" s="573">
        <v>20.047999999999998</v>
      </c>
      <c r="I32" s="573">
        <v>46.780999999999999</v>
      </c>
      <c r="J32" s="573">
        <v>28.314</v>
      </c>
      <c r="K32" s="573">
        <v>30.437000000000001</v>
      </c>
      <c r="L32" s="573">
        <v>29.465</v>
      </c>
      <c r="M32" s="584">
        <v>28.856000000000002</v>
      </c>
      <c r="N32" s="580">
        <f t="shared" si="0"/>
        <v>443.05900000000003</v>
      </c>
    </row>
    <row r="33" spans="1:15" s="259" customFormat="1">
      <c r="A33" s="444" t="s">
        <v>330</v>
      </c>
      <c r="B33" s="442"/>
      <c r="C33" s="573"/>
      <c r="D33" s="573"/>
      <c r="E33" s="573"/>
      <c r="F33" s="573"/>
      <c r="G33" s="573"/>
      <c r="H33" s="573"/>
      <c r="I33" s="573"/>
      <c r="J33" s="573"/>
      <c r="K33" s="573"/>
      <c r="L33" s="573"/>
      <c r="M33" s="584">
        <v>8.5</v>
      </c>
      <c r="N33" s="580">
        <f t="shared" si="0"/>
        <v>8.5</v>
      </c>
    </row>
    <row r="34" spans="1:15" s="259" customFormat="1" ht="14.5">
      <c r="A34" s="444" t="s">
        <v>331</v>
      </c>
      <c r="B34" s="585">
        <v>100.67400000000001</v>
      </c>
      <c r="C34" s="586">
        <v>188.37899999999999</v>
      </c>
      <c r="D34" s="586">
        <v>93.867999999999995</v>
      </c>
      <c r="E34" s="586">
        <v>101.17400000000001</v>
      </c>
      <c r="F34" s="586">
        <v>101.09</v>
      </c>
      <c r="G34" s="586">
        <v>-433.63099999999997</v>
      </c>
      <c r="H34" s="586">
        <v>126.238</v>
      </c>
      <c r="I34" s="586">
        <v>99.992000000000004</v>
      </c>
      <c r="J34" s="586">
        <v>99.977000000000004</v>
      </c>
      <c r="K34" s="586">
        <v>-202.624</v>
      </c>
      <c r="L34" s="586">
        <v>0</v>
      </c>
      <c r="M34" s="587">
        <v>153.21100000000001</v>
      </c>
      <c r="N34" s="580">
        <f t="shared" si="0"/>
        <v>428.34800000000007</v>
      </c>
    </row>
    <row r="35" spans="1:15" ht="12" thickBot="1">
      <c r="A35" s="474" t="s">
        <v>332</v>
      </c>
      <c r="B35" s="576">
        <f t="shared" ref="B35:N35" si="1">SUM(B9:B34)</f>
        <v>673.48399999999992</v>
      </c>
      <c r="C35" s="577">
        <f t="shared" si="1"/>
        <v>795.53899999999999</v>
      </c>
      <c r="D35" s="577">
        <f t="shared" si="1"/>
        <v>1759.3529999999996</v>
      </c>
      <c r="E35" s="577">
        <f t="shared" si="1"/>
        <v>470.44900000000007</v>
      </c>
      <c r="F35" s="577">
        <f t="shared" si="1"/>
        <v>721.09899999999993</v>
      </c>
      <c r="G35" s="577">
        <f t="shared" si="1"/>
        <v>307.5630000000001</v>
      </c>
      <c r="H35" s="577">
        <f t="shared" si="1"/>
        <v>556.28100000000006</v>
      </c>
      <c r="I35" s="577">
        <f t="shared" si="1"/>
        <v>704.04299999999989</v>
      </c>
      <c r="J35" s="577">
        <f t="shared" si="1"/>
        <v>1091.703</v>
      </c>
      <c r="K35" s="577">
        <f>SUM(K9:K34)</f>
        <v>324.60699999999997</v>
      </c>
      <c r="L35" s="577">
        <f t="shared" si="1"/>
        <v>-920.37199999999996</v>
      </c>
      <c r="M35" s="579">
        <f t="shared" si="1"/>
        <v>1352.1589999999999</v>
      </c>
      <c r="N35" s="578">
        <f t="shared" si="1"/>
        <v>7835.9080000000004</v>
      </c>
    </row>
    <row r="36" spans="1:15">
      <c r="A36" s="444"/>
      <c r="B36" s="442"/>
      <c r="C36" s="258"/>
      <c r="D36" s="258"/>
      <c r="E36" s="258"/>
      <c r="F36" s="258"/>
      <c r="G36" s="258"/>
      <c r="H36" s="258"/>
      <c r="I36" s="258"/>
      <c r="J36" s="258"/>
      <c r="K36" s="258"/>
      <c r="L36" s="258"/>
      <c r="M36" s="258"/>
      <c r="N36" s="321"/>
    </row>
    <row r="37" spans="1:15" s="259" customFormat="1">
      <c r="A37" s="443" t="s">
        <v>333</v>
      </c>
      <c r="B37" s="442"/>
      <c r="C37" s="258"/>
      <c r="D37" s="258"/>
      <c r="E37" s="258"/>
      <c r="F37" s="258"/>
      <c r="G37" s="258"/>
      <c r="H37" s="258"/>
      <c r="I37" s="258"/>
      <c r="J37" s="258"/>
      <c r="K37" s="258"/>
      <c r="L37" s="258"/>
      <c r="M37" s="258"/>
      <c r="N37" s="321"/>
      <c r="O37" s="244"/>
    </row>
    <row r="38" spans="1:15">
      <c r="A38" s="444" t="s">
        <v>307</v>
      </c>
      <c r="B38" s="442">
        <v>46.45</v>
      </c>
      <c r="C38" s="258">
        <v>9.875</v>
      </c>
      <c r="D38" s="258">
        <v>0.125</v>
      </c>
      <c r="E38" s="258">
        <v>0</v>
      </c>
      <c r="F38" s="258">
        <v>0</v>
      </c>
      <c r="G38" s="258">
        <v>0</v>
      </c>
      <c r="H38" s="258">
        <v>0</v>
      </c>
      <c r="I38" s="258">
        <v>0</v>
      </c>
      <c r="J38" s="258">
        <v>0.05</v>
      </c>
      <c r="K38" s="258">
        <v>0</v>
      </c>
      <c r="L38" s="258">
        <v>0</v>
      </c>
      <c r="M38" s="258">
        <v>260.22000000000003</v>
      </c>
      <c r="N38" s="321">
        <f t="shared" ref="N38:N49" si="2">B38+C38+D38+E38+F38+G38+H38+I38+J38+K38+L38+M38</f>
        <v>316.72000000000003</v>
      </c>
    </row>
    <row r="39" spans="1:15" s="246" customFormat="1" ht="14.5">
      <c r="A39" s="445" t="s">
        <v>334</v>
      </c>
      <c r="B39" s="735">
        <v>0</v>
      </c>
      <c r="C39" s="736">
        <v>-0.18</v>
      </c>
      <c r="D39" s="736">
        <v>0.35099999999999998</v>
      </c>
      <c r="E39" s="736">
        <v>0</v>
      </c>
      <c r="F39" s="736">
        <v>0</v>
      </c>
      <c r="G39" s="736">
        <v>0</v>
      </c>
      <c r="H39" s="736">
        <v>0</v>
      </c>
      <c r="I39" s="736">
        <v>0</v>
      </c>
      <c r="J39" s="736">
        <v>0</v>
      </c>
      <c r="K39" s="736">
        <v>0</v>
      </c>
      <c r="L39" s="736">
        <v>839.54399999999998</v>
      </c>
      <c r="M39" s="736">
        <v>-10.731999999999999</v>
      </c>
      <c r="N39" s="737">
        <f t="shared" si="2"/>
        <v>828.98300000000006</v>
      </c>
    </row>
    <row r="40" spans="1:15">
      <c r="A40" s="444" t="s">
        <v>335</v>
      </c>
      <c r="B40" s="442">
        <v>2.98</v>
      </c>
      <c r="C40" s="258">
        <v>0</v>
      </c>
      <c r="D40" s="258">
        <v>2.64</v>
      </c>
      <c r="E40" s="258">
        <v>1.919</v>
      </c>
      <c r="F40" s="258">
        <v>1.7490000000000001</v>
      </c>
      <c r="G40" s="258">
        <v>6.867</v>
      </c>
      <c r="H40" s="258">
        <v>7.7460000000000004</v>
      </c>
      <c r="I40" s="258">
        <v>6.8570000000000002</v>
      </c>
      <c r="J40" s="258">
        <v>8.4239999999999995</v>
      </c>
      <c r="K40" s="258">
        <v>6.7119999999999997</v>
      </c>
      <c r="L40" s="258">
        <v>9.3019999999999996</v>
      </c>
      <c r="M40" s="258">
        <v>8.4309999999999992</v>
      </c>
      <c r="N40" s="321">
        <f t="shared" si="2"/>
        <v>63.627000000000002</v>
      </c>
    </row>
    <row r="41" spans="1:15">
      <c r="A41" s="444" t="s">
        <v>212</v>
      </c>
      <c r="B41" s="442">
        <v>0</v>
      </c>
      <c r="C41" s="258">
        <v>0</v>
      </c>
      <c r="D41" s="258">
        <v>0</v>
      </c>
      <c r="E41" s="258">
        <v>0</v>
      </c>
      <c r="F41" s="258">
        <v>0</v>
      </c>
      <c r="G41" s="258">
        <v>0</v>
      </c>
      <c r="H41" s="258">
        <v>15.451000000000001</v>
      </c>
      <c r="I41" s="258">
        <v>8.7720000000000002</v>
      </c>
      <c r="J41" s="258">
        <v>86.093999999999994</v>
      </c>
      <c r="K41" s="258">
        <v>19.247</v>
      </c>
      <c r="L41" s="258">
        <v>14.545</v>
      </c>
      <c r="M41" s="258">
        <v>0</v>
      </c>
      <c r="N41" s="321">
        <f t="shared" si="2"/>
        <v>144.10899999999998</v>
      </c>
    </row>
    <row r="42" spans="1:15">
      <c r="A42" s="444" t="str">
        <f>A15</f>
        <v>Demand Response Auction Mechanism (DRAM)</v>
      </c>
      <c r="B42" s="442">
        <v>87.307000000000002</v>
      </c>
      <c r="C42" s="258">
        <v>14.372</v>
      </c>
      <c r="D42" s="258">
        <v>190.43299999999999</v>
      </c>
      <c r="E42" s="258">
        <v>8.4659999999999993</v>
      </c>
      <c r="F42" s="258">
        <v>6.9749999999999996</v>
      </c>
      <c r="G42" s="258">
        <v>191.91200000000001</v>
      </c>
      <c r="H42" s="258">
        <v>26.006</v>
      </c>
      <c r="I42" s="258">
        <v>0</v>
      </c>
      <c r="J42" s="258">
        <v>369.51299999999998</v>
      </c>
      <c r="K42" s="258">
        <v>264.96199999999999</v>
      </c>
      <c r="L42" s="258">
        <v>112.395</v>
      </c>
      <c r="M42" s="258">
        <v>87.48</v>
      </c>
      <c r="N42" s="321">
        <f t="shared" si="2"/>
        <v>1359.8209999999999</v>
      </c>
    </row>
    <row r="43" spans="1:15">
      <c r="A43" s="445" t="s">
        <v>336</v>
      </c>
      <c r="B43" s="442">
        <v>21.524999999999999</v>
      </c>
      <c r="C43" s="258">
        <v>24.85</v>
      </c>
      <c r="D43" s="258">
        <v>9.75</v>
      </c>
      <c r="E43" s="258">
        <v>18.75</v>
      </c>
      <c r="F43" s="258">
        <v>10.6</v>
      </c>
      <c r="G43" s="258">
        <v>19.024999999999999</v>
      </c>
      <c r="H43" s="258">
        <v>49.5</v>
      </c>
      <c r="I43" s="258">
        <v>35.6</v>
      </c>
      <c r="J43" s="258">
        <v>15</v>
      </c>
      <c r="K43" s="258">
        <v>12.4</v>
      </c>
      <c r="L43" s="258">
        <v>11.5</v>
      </c>
      <c r="M43" s="258">
        <v>15.45</v>
      </c>
      <c r="N43" s="321">
        <f t="shared" si="2"/>
        <v>243.95</v>
      </c>
    </row>
    <row r="44" spans="1:15" ht="13.5">
      <c r="A44" s="444" t="s">
        <v>337</v>
      </c>
      <c r="B44" s="442">
        <v>0</v>
      </c>
      <c r="C44" s="258">
        <v>0</v>
      </c>
      <c r="D44" s="258">
        <v>0</v>
      </c>
      <c r="E44" s="258">
        <v>0</v>
      </c>
      <c r="F44" s="258">
        <v>0</v>
      </c>
      <c r="G44" s="258">
        <v>0</v>
      </c>
      <c r="H44" s="258">
        <v>0</v>
      </c>
      <c r="I44" s="258">
        <v>0</v>
      </c>
      <c r="J44" s="258">
        <v>0</v>
      </c>
      <c r="K44" s="258">
        <v>0</v>
      </c>
      <c r="L44" s="258">
        <v>0</v>
      </c>
      <c r="M44" s="258">
        <v>4.2480000000000002</v>
      </c>
      <c r="N44" s="321">
        <f t="shared" si="2"/>
        <v>4.2480000000000002</v>
      </c>
    </row>
    <row r="45" spans="1:15">
      <c r="A45" s="444" t="s">
        <v>317</v>
      </c>
      <c r="B45" s="442">
        <v>0</v>
      </c>
      <c r="C45" s="258">
        <v>0</v>
      </c>
      <c r="D45" s="258">
        <v>0</v>
      </c>
      <c r="E45" s="258">
        <v>0</v>
      </c>
      <c r="F45" s="258">
        <v>0</v>
      </c>
      <c r="G45" s="258">
        <v>0</v>
      </c>
      <c r="H45" s="258">
        <v>0</v>
      </c>
      <c r="I45" s="258">
        <v>0</v>
      </c>
      <c r="J45" s="258">
        <v>0</v>
      </c>
      <c r="K45" s="258">
        <v>0</v>
      </c>
      <c r="L45" s="258">
        <v>0</v>
      </c>
      <c r="M45" s="258">
        <v>0</v>
      </c>
      <c r="N45" s="321">
        <f t="shared" si="2"/>
        <v>0</v>
      </c>
    </row>
    <row r="46" spans="1:15" ht="12.5">
      <c r="A46" s="415" t="s">
        <v>338</v>
      </c>
      <c r="B46" s="442">
        <v>0</v>
      </c>
      <c r="C46" s="258">
        <v>0</v>
      </c>
      <c r="D46" s="258">
        <v>0</v>
      </c>
      <c r="E46" s="258">
        <v>0</v>
      </c>
      <c r="F46" s="258">
        <v>0</v>
      </c>
      <c r="G46" s="258">
        <v>0</v>
      </c>
      <c r="H46" s="258">
        <v>0</v>
      </c>
      <c r="I46" s="258">
        <v>0</v>
      </c>
      <c r="J46" s="258">
        <v>0</v>
      </c>
      <c r="K46" s="258">
        <v>0</v>
      </c>
      <c r="L46" s="258">
        <v>0</v>
      </c>
      <c r="M46" s="258">
        <v>0</v>
      </c>
      <c r="N46" s="321">
        <f t="shared" si="2"/>
        <v>0</v>
      </c>
    </row>
    <row r="47" spans="1:15">
      <c r="A47" s="444" t="s">
        <v>339</v>
      </c>
      <c r="B47" s="442">
        <v>0</v>
      </c>
      <c r="C47" s="258">
        <v>0</v>
      </c>
      <c r="D47" s="258">
        <v>0</v>
      </c>
      <c r="E47" s="258">
        <v>0</v>
      </c>
      <c r="F47" s="258">
        <v>0</v>
      </c>
      <c r="G47" s="258">
        <v>0</v>
      </c>
      <c r="H47" s="258">
        <v>0</v>
      </c>
      <c r="I47" s="258">
        <v>0</v>
      </c>
      <c r="J47" s="258">
        <v>0</v>
      </c>
      <c r="K47" s="258">
        <v>0</v>
      </c>
      <c r="L47" s="258">
        <v>0</v>
      </c>
      <c r="M47" s="258">
        <v>0</v>
      </c>
      <c r="N47" s="321">
        <f t="shared" si="2"/>
        <v>0</v>
      </c>
    </row>
    <row r="48" spans="1:15" ht="14.5">
      <c r="A48" s="445" t="s">
        <v>340</v>
      </c>
      <c r="B48" s="442">
        <v>0</v>
      </c>
      <c r="C48" s="258">
        <v>0</v>
      </c>
      <c r="D48" s="258">
        <v>0</v>
      </c>
      <c r="E48" s="258">
        <v>-8.3000000000000007</v>
      </c>
      <c r="F48" s="258">
        <v>0</v>
      </c>
      <c r="G48" s="258">
        <v>0</v>
      </c>
      <c r="H48" s="258">
        <v>0</v>
      </c>
      <c r="I48" s="258">
        <v>0</v>
      </c>
      <c r="J48" s="258">
        <v>0</v>
      </c>
      <c r="K48" s="258">
        <v>0</v>
      </c>
      <c r="L48" s="258">
        <v>0</v>
      </c>
      <c r="M48" s="258">
        <v>0</v>
      </c>
      <c r="N48" s="321">
        <f t="shared" si="2"/>
        <v>-8.3000000000000007</v>
      </c>
    </row>
    <row r="49" spans="1:14" ht="14.5">
      <c r="A49" s="445" t="s">
        <v>341</v>
      </c>
      <c r="B49" s="442">
        <v>-121.8</v>
      </c>
      <c r="C49" s="258">
        <v>0</v>
      </c>
      <c r="D49" s="258">
        <v>0</v>
      </c>
      <c r="E49" s="258">
        <v>0</v>
      </c>
      <c r="F49" s="258">
        <v>0</v>
      </c>
      <c r="G49" s="258">
        <v>0</v>
      </c>
      <c r="H49" s="258">
        <v>0</v>
      </c>
      <c r="I49" s="258">
        <v>0</v>
      </c>
      <c r="J49" s="258">
        <v>0</v>
      </c>
      <c r="K49" s="258">
        <v>0</v>
      </c>
      <c r="L49" s="258">
        <v>0</v>
      </c>
      <c r="M49" s="258">
        <v>0</v>
      </c>
      <c r="N49" s="321">
        <f t="shared" si="2"/>
        <v>-121.8</v>
      </c>
    </row>
    <row r="50" spans="1:14" ht="12" thickBot="1">
      <c r="A50" s="439" t="s">
        <v>342</v>
      </c>
      <c r="B50" s="446">
        <f t="shared" ref="B50:N50" si="3">SUM(B38:B49)</f>
        <v>36.462000000000003</v>
      </c>
      <c r="C50" s="446">
        <f t="shared" si="3"/>
        <v>48.917000000000002</v>
      </c>
      <c r="D50" s="446">
        <f t="shared" si="3"/>
        <v>203.29900000000001</v>
      </c>
      <c r="E50" s="446">
        <f t="shared" si="3"/>
        <v>20.834999999999997</v>
      </c>
      <c r="F50" s="446">
        <f t="shared" si="3"/>
        <v>19.323999999999998</v>
      </c>
      <c r="G50" s="446">
        <f t="shared" si="3"/>
        <v>217.804</v>
      </c>
      <c r="H50" s="446">
        <f t="shared" si="3"/>
        <v>98.703000000000003</v>
      </c>
      <c r="I50" s="446">
        <f t="shared" si="3"/>
        <v>51.228999999999999</v>
      </c>
      <c r="J50" s="446">
        <f t="shared" si="3"/>
        <v>479.08099999999996</v>
      </c>
      <c r="K50" s="446">
        <f t="shared" si="3"/>
        <v>303.32099999999997</v>
      </c>
      <c r="L50" s="446">
        <f t="shared" si="3"/>
        <v>987.28599999999994</v>
      </c>
      <c r="M50" s="574">
        <f t="shared" si="3"/>
        <v>365.09700000000004</v>
      </c>
      <c r="N50" s="447">
        <f t="shared" si="3"/>
        <v>2831.3579999999993</v>
      </c>
    </row>
    <row r="51" spans="1:14" ht="20.25" customHeight="1" thickBot="1">
      <c r="A51" s="261" t="s">
        <v>343</v>
      </c>
      <c r="B51" s="260">
        <f t="shared" ref="B51:N51" si="4">B50+B35</f>
        <v>709.94599999999991</v>
      </c>
      <c r="C51" s="260">
        <f t="shared" si="4"/>
        <v>844.45600000000002</v>
      </c>
      <c r="D51" s="260">
        <f t="shared" si="4"/>
        <v>1962.6519999999996</v>
      </c>
      <c r="E51" s="260">
        <f t="shared" si="4"/>
        <v>491.28400000000005</v>
      </c>
      <c r="F51" s="260">
        <f t="shared" si="4"/>
        <v>740.42299999999989</v>
      </c>
      <c r="G51" s="260">
        <f t="shared" si="4"/>
        <v>525.36700000000008</v>
      </c>
      <c r="H51" s="260">
        <f t="shared" si="4"/>
        <v>654.98400000000004</v>
      </c>
      <c r="I51" s="260">
        <f t="shared" si="4"/>
        <v>755.27199999999993</v>
      </c>
      <c r="J51" s="260">
        <f t="shared" si="4"/>
        <v>1570.7839999999999</v>
      </c>
      <c r="K51" s="260">
        <f t="shared" si="4"/>
        <v>627.92799999999988</v>
      </c>
      <c r="L51" s="446">
        <f t="shared" si="4"/>
        <v>66.913999999999987</v>
      </c>
      <c r="M51" s="260">
        <f t="shared" si="4"/>
        <v>1717.2559999999999</v>
      </c>
      <c r="N51" s="441">
        <f t="shared" si="4"/>
        <v>10667.266</v>
      </c>
    </row>
    <row r="52" spans="1:14" ht="16.149999999999999" customHeight="1">
      <c r="A52" s="262"/>
      <c r="B52" s="260"/>
      <c r="C52" s="260"/>
      <c r="D52" s="260"/>
      <c r="E52" s="260"/>
      <c r="F52" s="260"/>
      <c r="G52" s="260"/>
      <c r="H52" s="260"/>
      <c r="I52" s="260"/>
      <c r="J52" s="263"/>
      <c r="K52" s="260"/>
      <c r="L52" s="260"/>
      <c r="M52" s="260"/>
      <c r="N52" s="440"/>
    </row>
    <row r="53" spans="1:14" ht="30.4" customHeight="1" thickBot="1">
      <c r="A53" s="264" t="s">
        <v>344</v>
      </c>
      <c r="B53" s="265">
        <f>0.76+B51</f>
        <v>710.7059999999999</v>
      </c>
      <c r="C53" s="266">
        <f>C51+2.436</f>
        <v>846.89200000000005</v>
      </c>
      <c r="D53" s="266">
        <f>D51+5.296</f>
        <v>1967.9479999999996</v>
      </c>
      <c r="E53" s="524">
        <f>E51+7.853</f>
        <v>499.13700000000006</v>
      </c>
      <c r="F53" s="266">
        <f>F51+9.074</f>
        <v>749.49699999999984</v>
      </c>
      <c r="G53" s="266">
        <f>G51+10.269</f>
        <v>535.63600000000008</v>
      </c>
      <c r="H53" s="266">
        <f>H51+10.878</f>
        <v>665.86200000000008</v>
      </c>
      <c r="I53" s="266">
        <f>I51+11.619</f>
        <v>766.89099999999996</v>
      </c>
      <c r="J53" s="266">
        <f>J51+13.009</f>
        <v>1583.7929999999999</v>
      </c>
      <c r="K53" s="266">
        <f>K51+14.062</f>
        <v>641.9899999999999</v>
      </c>
      <c r="L53" s="266">
        <f>L51+13.523</f>
        <v>80.436999999999983</v>
      </c>
      <c r="M53" s="266">
        <f>M51+13.393</f>
        <v>1730.6489999999999</v>
      </c>
      <c r="N53" s="322">
        <f>SUM(B53:M53)</f>
        <v>10779.437999999998</v>
      </c>
    </row>
    <row r="54" spans="1:14" ht="12.75" customHeight="1">
      <c r="A54" s="309"/>
      <c r="B54" s="310"/>
      <c r="C54" s="310"/>
      <c r="D54" s="310"/>
      <c r="E54" s="310"/>
      <c r="F54" s="310"/>
      <c r="G54" s="310"/>
      <c r="H54" s="310"/>
      <c r="I54" s="310"/>
      <c r="J54" s="310"/>
      <c r="K54" s="310"/>
      <c r="L54" s="310"/>
      <c r="M54" s="310"/>
      <c r="N54" s="311"/>
    </row>
    <row r="55" spans="1:14" s="259" customFormat="1" ht="16.5">
      <c r="A55" s="710" t="s">
        <v>262</v>
      </c>
      <c r="G55" s="258"/>
      <c r="H55" s="258"/>
      <c r="J55" s="381"/>
    </row>
    <row r="56" spans="1:14" s="259" customFormat="1" ht="16.5">
      <c r="A56" s="406" t="s">
        <v>345</v>
      </c>
      <c r="G56" s="258"/>
      <c r="H56" s="258"/>
      <c r="J56" s="381"/>
    </row>
    <row r="57" spans="1:14" s="246" customFormat="1" ht="16.5">
      <c r="A57" s="406" t="s">
        <v>346</v>
      </c>
      <c r="J57" s="346"/>
    </row>
    <row r="58" spans="1:14" s="246" customFormat="1" ht="16.5">
      <c r="A58" s="406" t="s">
        <v>347</v>
      </c>
      <c r="J58" s="346"/>
    </row>
    <row r="59" spans="1:14" ht="16.5">
      <c r="A59" s="406" t="s">
        <v>348</v>
      </c>
    </row>
    <row r="60" spans="1:14" ht="18.75" customHeight="1">
      <c r="A60" s="709" t="s">
        <v>349</v>
      </c>
      <c r="B60" s="643"/>
      <c r="C60" s="643"/>
      <c r="D60" s="643"/>
      <c r="E60" s="643"/>
      <c r="F60" s="643"/>
      <c r="G60" s="643"/>
      <c r="H60" s="643"/>
      <c r="I60" s="643"/>
      <c r="J60" s="643"/>
      <c r="K60" s="643"/>
      <c r="L60" s="643"/>
      <c r="M60" s="643"/>
      <c r="N60" s="643"/>
    </row>
    <row r="61" spans="1:14" ht="16.5">
      <c r="A61" s="406" t="s">
        <v>350</v>
      </c>
      <c r="B61" s="643"/>
      <c r="C61" s="643"/>
      <c r="D61" s="643"/>
      <c r="E61" s="643"/>
      <c r="F61" s="643"/>
      <c r="G61" s="643"/>
      <c r="H61" s="643"/>
      <c r="I61" s="643"/>
      <c r="J61" s="643"/>
      <c r="K61" s="643"/>
      <c r="L61" s="643"/>
      <c r="M61" s="643"/>
      <c r="N61" s="643"/>
    </row>
    <row r="62" spans="1:14" ht="22.5" customHeight="1">
      <c r="A62" s="406" t="s">
        <v>351</v>
      </c>
    </row>
    <row r="63" spans="1:14" ht="22.5" customHeight="1">
      <c r="A63" s="406" t="s">
        <v>352</v>
      </c>
    </row>
    <row r="64" spans="1:14" s="147" customFormat="1" ht="16.5">
      <c r="A64" s="711" t="s">
        <v>353</v>
      </c>
      <c r="N64" s="539"/>
    </row>
    <row r="65" spans="1:14" s="228" customFormat="1" ht="16.5">
      <c r="A65" s="712" t="s">
        <v>354</v>
      </c>
      <c r="N65" s="682"/>
    </row>
    <row r="66" spans="1:14" ht="16.5">
      <c r="A66" s="712" t="s">
        <v>355</v>
      </c>
    </row>
    <row r="67" spans="1:14" ht="16.5">
      <c r="A67" s="712" t="s">
        <v>356</v>
      </c>
    </row>
    <row r="68" spans="1:14" ht="16.5">
      <c r="A68" s="712" t="s">
        <v>357</v>
      </c>
    </row>
    <row r="69" spans="1:14" ht="16.5">
      <c r="A69" s="712" t="s">
        <v>358</v>
      </c>
    </row>
    <row r="70" spans="1:14" ht="16.5">
      <c r="A70" s="681" t="s">
        <v>359</v>
      </c>
    </row>
    <row r="71" spans="1:14" ht="16.5">
      <c r="A71" s="681" t="s">
        <v>360</v>
      </c>
    </row>
    <row r="72" spans="1:14" ht="16.5">
      <c r="A72" s="681" t="s">
        <v>361</v>
      </c>
    </row>
    <row r="73" spans="1:14" ht="13">
      <c r="A73" s="282" t="s">
        <v>76</v>
      </c>
    </row>
    <row r="74" spans="1:14" ht="16.5">
      <c r="A74" s="731" t="s">
        <v>66</v>
      </c>
      <c r="B74" s="147"/>
      <c r="C74" s="147"/>
      <c r="D74" s="147"/>
      <c r="E74" s="147"/>
      <c r="F74" s="147"/>
    </row>
  </sheetData>
  <printOptions horizontalCentered="1"/>
  <pageMargins left="0" right="0" top="0.55000000000000004" bottom="0" header="0.3" footer="0.15"/>
  <pageSetup paperSize="5" orientation="landscape" cellComments="atEnd" r:id="rId1"/>
  <headerFooter alignWithMargins="0">
    <oddHeader xml:space="preserve">&amp;C&amp;"Arial,Bold"
</oddHeader>
    <oddFooter>&amp;Rpage 10 of 12
&amp;A
&amp;D  &amp;T</oddFooter>
  </headerFooter>
  <customProperties>
    <customPr name="_pios_id" r:id="rId2"/>
  </customPropertie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2:S40"/>
  <sheetViews>
    <sheetView showGridLines="0" zoomScaleNormal="100" zoomScaleSheetLayoutView="75" workbookViewId="0">
      <selection activeCell="L18" sqref="L18"/>
    </sheetView>
  </sheetViews>
  <sheetFormatPr defaultColWidth="9.1796875" defaultRowHeight="12.5"/>
  <cols>
    <col min="1" max="1" width="39.453125" style="20" customWidth="1"/>
    <col min="2" max="2" width="11" style="20" customWidth="1"/>
    <col min="3" max="3" width="9.7265625" style="20" customWidth="1"/>
    <col min="4" max="4" width="15.54296875" style="20" customWidth="1"/>
    <col min="5" max="5" width="11.7265625" style="20" customWidth="1"/>
    <col min="6" max="8" width="11" style="20" customWidth="1"/>
    <col min="9" max="9" width="10.26953125" style="20" bestFit="1" customWidth="1"/>
    <col min="10" max="13" width="11" style="20" customWidth="1"/>
    <col min="14" max="14" width="15.7265625" style="20" bestFit="1" customWidth="1"/>
    <col min="15" max="15" width="9.7265625" style="20" bestFit="1" customWidth="1"/>
    <col min="16" max="16" width="9.1796875" style="20"/>
    <col min="17" max="17" width="22.26953125" style="20" customWidth="1"/>
    <col min="18" max="16384" width="9.1796875" style="20"/>
  </cols>
  <sheetData>
    <row r="2" spans="1:14" ht="13">
      <c r="E2" s="175" t="s">
        <v>39</v>
      </c>
    </row>
    <row r="3" spans="1:14" ht="13">
      <c r="C3" s="187"/>
      <c r="D3" s="187"/>
      <c r="E3" s="188" t="s">
        <v>362</v>
      </c>
      <c r="F3" s="187"/>
      <c r="G3" s="187"/>
    </row>
    <row r="4" spans="1:14" ht="13">
      <c r="A4" s="26"/>
      <c r="D4" s="187"/>
      <c r="E4" s="178" t="str">
        <f>'Program MW '!H3</f>
        <v>December 2019</v>
      </c>
      <c r="F4" s="187"/>
    </row>
    <row r="5" spans="1:14" ht="13">
      <c r="A5" s="26"/>
      <c r="E5" s="178"/>
    </row>
    <row r="6" spans="1:14" ht="13.5" thickBot="1">
      <c r="A6" s="26"/>
      <c r="E6" s="178"/>
    </row>
    <row r="7" spans="1:14" ht="31.9" customHeight="1">
      <c r="A7" s="27" t="s">
        <v>304</v>
      </c>
      <c r="B7" s="28" t="s">
        <v>42</v>
      </c>
      <c r="C7" s="28" t="s">
        <v>43</v>
      </c>
      <c r="D7" s="28" t="s">
        <v>44</v>
      </c>
      <c r="E7" s="28" t="s">
        <v>45</v>
      </c>
      <c r="F7" s="28" t="s">
        <v>31</v>
      </c>
      <c r="G7" s="28" t="s">
        <v>46</v>
      </c>
      <c r="H7" s="28" t="s">
        <v>59</v>
      </c>
      <c r="I7" s="28" t="s">
        <v>113</v>
      </c>
      <c r="J7" s="28" t="s">
        <v>114</v>
      </c>
      <c r="K7" s="28" t="s">
        <v>62</v>
      </c>
      <c r="L7" s="28" t="s">
        <v>115</v>
      </c>
      <c r="M7" s="28" t="s">
        <v>64</v>
      </c>
      <c r="N7" s="29" t="s">
        <v>363</v>
      </c>
    </row>
    <row r="8" spans="1:14" ht="16.5">
      <c r="A8" s="30" t="s">
        <v>364</v>
      </c>
      <c r="N8" s="31"/>
    </row>
    <row r="9" spans="1:14" ht="6" customHeight="1">
      <c r="A9" s="32"/>
      <c r="N9" s="31"/>
    </row>
    <row r="10" spans="1:14" ht="13">
      <c r="A10" s="32" t="s">
        <v>306</v>
      </c>
      <c r="N10" s="31"/>
    </row>
    <row r="11" spans="1:14">
      <c r="A11" s="33" t="s">
        <v>365</v>
      </c>
      <c r="B11" s="34">
        <v>0</v>
      </c>
      <c r="C11" s="34">
        <v>0</v>
      </c>
      <c r="D11" s="283">
        <v>0</v>
      </c>
      <c r="E11" s="283">
        <v>0</v>
      </c>
      <c r="F11" s="283">
        <v>0</v>
      </c>
      <c r="G11" s="283">
        <v>0</v>
      </c>
      <c r="H11" s="283">
        <v>0</v>
      </c>
      <c r="I11" s="283">
        <v>0</v>
      </c>
      <c r="J11" s="283">
        <v>0</v>
      </c>
      <c r="K11" s="283">
        <v>0</v>
      </c>
      <c r="L11" s="283">
        <v>0</v>
      </c>
      <c r="M11" s="283">
        <v>0</v>
      </c>
      <c r="N11" s="35">
        <f>SUM(B11:M11)</f>
        <v>0</v>
      </c>
    </row>
    <row r="12" spans="1:14" ht="14.25" customHeight="1">
      <c r="A12" s="33" t="s">
        <v>366</v>
      </c>
      <c r="B12" s="34">
        <v>2.5299999999999998</v>
      </c>
      <c r="C12" s="34">
        <v>4.0359999999999996</v>
      </c>
      <c r="D12" s="283">
        <v>3.9830000000000001</v>
      </c>
      <c r="E12" s="283">
        <v>2.8980000000000001</v>
      </c>
      <c r="F12" s="283">
        <v>4.1529999999999996</v>
      </c>
      <c r="G12" s="283">
        <v>3.2519999999999998</v>
      </c>
      <c r="H12" s="283">
        <v>2.9220000000000002</v>
      </c>
      <c r="I12" s="283">
        <v>1.9039999999999999</v>
      </c>
      <c r="J12" s="283">
        <v>2.9</v>
      </c>
      <c r="K12" s="283">
        <v>2.2120000000000002</v>
      </c>
      <c r="L12" s="283">
        <v>2.742</v>
      </c>
      <c r="M12" s="283">
        <v>1.43</v>
      </c>
      <c r="N12" s="35">
        <f>SUM(B12:M12)</f>
        <v>34.961999999999996</v>
      </c>
    </row>
    <row r="13" spans="1:14">
      <c r="A13" s="33" t="s">
        <v>109</v>
      </c>
      <c r="B13" s="34">
        <v>0</v>
      </c>
      <c r="C13" s="34">
        <v>0</v>
      </c>
      <c r="D13" s="283">
        <v>0</v>
      </c>
      <c r="E13" s="283">
        <v>0</v>
      </c>
      <c r="F13" s="283">
        <v>0</v>
      </c>
      <c r="G13" s="283">
        <v>0</v>
      </c>
      <c r="H13" s="283">
        <v>0</v>
      </c>
      <c r="I13" s="283">
        <v>0</v>
      </c>
      <c r="J13" s="283">
        <v>0</v>
      </c>
      <c r="K13" s="283">
        <v>0</v>
      </c>
      <c r="L13" s="283">
        <v>0</v>
      </c>
      <c r="M13" s="283">
        <v>0</v>
      </c>
      <c r="N13" s="35">
        <f>SUM(B13:M13)</f>
        <v>0</v>
      </c>
    </row>
    <row r="14" spans="1:14">
      <c r="A14" s="33" t="s">
        <v>367</v>
      </c>
      <c r="B14" s="34">
        <v>0</v>
      </c>
      <c r="C14" s="34">
        <v>0</v>
      </c>
      <c r="D14" s="283">
        <v>0</v>
      </c>
      <c r="E14" s="283">
        <v>0</v>
      </c>
      <c r="F14" s="283">
        <v>0</v>
      </c>
      <c r="G14" s="283">
        <v>0</v>
      </c>
      <c r="H14" s="283">
        <v>0</v>
      </c>
      <c r="I14" s="283">
        <v>0</v>
      </c>
      <c r="J14" s="283">
        <v>0</v>
      </c>
      <c r="K14" s="283">
        <v>0</v>
      </c>
      <c r="L14" s="283">
        <v>0</v>
      </c>
      <c r="M14" s="283">
        <v>0</v>
      </c>
      <c r="N14" s="35">
        <f>SUM(B14:M14)</f>
        <v>0</v>
      </c>
    </row>
    <row r="15" spans="1:14" ht="13">
      <c r="A15" s="24" t="s">
        <v>368</v>
      </c>
      <c r="B15" s="36">
        <f t="shared" ref="B15:M15" si="0">SUM(B11:B14)</f>
        <v>2.5299999999999998</v>
      </c>
      <c r="C15" s="36">
        <f t="shared" si="0"/>
        <v>4.0359999999999996</v>
      </c>
      <c r="D15" s="284">
        <f t="shared" si="0"/>
        <v>3.9830000000000001</v>
      </c>
      <c r="E15" s="284">
        <f t="shared" si="0"/>
        <v>2.8980000000000001</v>
      </c>
      <c r="F15" s="284">
        <f t="shared" si="0"/>
        <v>4.1529999999999996</v>
      </c>
      <c r="G15" s="284">
        <f t="shared" si="0"/>
        <v>3.2519999999999998</v>
      </c>
      <c r="H15" s="284">
        <f t="shared" si="0"/>
        <v>2.9220000000000002</v>
      </c>
      <c r="I15" s="284">
        <f t="shared" si="0"/>
        <v>1.9039999999999999</v>
      </c>
      <c r="J15" s="284">
        <f t="shared" si="0"/>
        <v>2.9</v>
      </c>
      <c r="K15" s="284">
        <f t="shared" si="0"/>
        <v>2.2120000000000002</v>
      </c>
      <c r="L15" s="284">
        <f t="shared" si="0"/>
        <v>2.742</v>
      </c>
      <c r="M15" s="284">
        <f t="shared" si="0"/>
        <v>1.43</v>
      </c>
      <c r="N15" s="37">
        <f>SUM(B15:M15)</f>
        <v>34.961999999999996</v>
      </c>
    </row>
    <row r="16" spans="1:14">
      <c r="A16" s="33"/>
      <c r="B16" s="34"/>
      <c r="C16" s="34"/>
      <c r="D16" s="283"/>
      <c r="E16" s="283"/>
      <c r="F16" s="283"/>
      <c r="G16" s="283"/>
      <c r="H16" s="283"/>
      <c r="I16" s="283"/>
      <c r="J16" s="283"/>
      <c r="K16" s="283"/>
      <c r="L16" s="283"/>
      <c r="M16" s="283"/>
      <c r="N16" s="35"/>
    </row>
    <row r="17" spans="1:19" ht="13">
      <c r="A17" s="32" t="s">
        <v>369</v>
      </c>
      <c r="B17" s="34"/>
      <c r="C17" s="34"/>
      <c r="D17" s="283"/>
      <c r="E17" s="283"/>
      <c r="F17" s="283"/>
      <c r="G17" s="283"/>
      <c r="H17" s="283"/>
      <c r="I17" s="283"/>
      <c r="J17" s="283"/>
      <c r="K17" s="283"/>
      <c r="L17" s="283"/>
      <c r="M17" s="283"/>
      <c r="N17" s="35"/>
    </row>
    <row r="18" spans="1:19" ht="15">
      <c r="A18" s="33" t="s">
        <v>370</v>
      </c>
      <c r="B18" s="34">
        <v>0</v>
      </c>
      <c r="C18" s="34">
        <v>0</v>
      </c>
      <c r="D18" s="283">
        <v>0</v>
      </c>
      <c r="E18" s="283">
        <v>0</v>
      </c>
      <c r="F18" s="283">
        <v>0</v>
      </c>
      <c r="G18" s="283">
        <v>0</v>
      </c>
      <c r="H18" s="289">
        <v>0</v>
      </c>
      <c r="I18" s="289">
        <v>0</v>
      </c>
      <c r="J18" s="289">
        <v>0</v>
      </c>
      <c r="K18" s="289">
        <v>0</v>
      </c>
      <c r="L18" s="289">
        <v>0</v>
      </c>
      <c r="M18" s="289">
        <v>0</v>
      </c>
      <c r="N18" s="35">
        <f>SUM(B18:M18)</f>
        <v>0</v>
      </c>
    </row>
    <row r="19" spans="1:19" ht="13">
      <c r="A19" s="24" t="s">
        <v>371</v>
      </c>
      <c r="B19" s="36">
        <f t="shared" ref="B19:M19" si="1">SUM(B18:B18)</f>
        <v>0</v>
      </c>
      <c r="C19" s="36">
        <f t="shared" si="1"/>
        <v>0</v>
      </c>
      <c r="D19" s="284">
        <f t="shared" si="1"/>
        <v>0</v>
      </c>
      <c r="E19" s="284">
        <f t="shared" si="1"/>
        <v>0</v>
      </c>
      <c r="F19" s="284">
        <f t="shared" si="1"/>
        <v>0</v>
      </c>
      <c r="G19" s="284">
        <f t="shared" si="1"/>
        <v>0</v>
      </c>
      <c r="H19" s="284">
        <f t="shared" si="1"/>
        <v>0</v>
      </c>
      <c r="I19" s="284">
        <f t="shared" si="1"/>
        <v>0</v>
      </c>
      <c r="J19" s="284">
        <f t="shared" si="1"/>
        <v>0</v>
      </c>
      <c r="K19" s="284">
        <f t="shared" si="1"/>
        <v>0</v>
      </c>
      <c r="L19" s="284">
        <f t="shared" si="1"/>
        <v>0</v>
      </c>
      <c r="M19" s="284">
        <f t="shared" si="1"/>
        <v>0</v>
      </c>
      <c r="N19" s="37">
        <f>SUM(B19:M19)</f>
        <v>0</v>
      </c>
    </row>
    <row r="20" spans="1:19" ht="13">
      <c r="A20" s="38"/>
      <c r="B20" s="34"/>
      <c r="C20" s="34"/>
      <c r="D20" s="283"/>
      <c r="E20" s="283"/>
      <c r="F20" s="283"/>
      <c r="G20" s="283"/>
      <c r="H20" s="283"/>
      <c r="I20" s="283"/>
      <c r="J20" s="283"/>
      <c r="K20" s="283"/>
      <c r="L20" s="283"/>
      <c r="M20" s="283"/>
      <c r="N20" s="35"/>
    </row>
    <row r="21" spans="1:19" ht="13">
      <c r="A21" s="32" t="s">
        <v>372</v>
      </c>
      <c r="B21" s="34" t="s">
        <v>66</v>
      </c>
      <c r="C21" s="34" t="s">
        <v>66</v>
      </c>
      <c r="D21" s="283" t="s">
        <v>66</v>
      </c>
      <c r="E21" s="283"/>
      <c r="F21" s="283" t="s">
        <v>66</v>
      </c>
      <c r="G21" s="290"/>
      <c r="H21" s="283" t="s">
        <v>66</v>
      </c>
      <c r="I21" s="283" t="s">
        <v>66</v>
      </c>
      <c r="J21" s="283" t="s">
        <v>66</v>
      </c>
      <c r="K21" s="283" t="s">
        <v>66</v>
      </c>
      <c r="L21" s="283" t="s">
        <v>66</v>
      </c>
      <c r="M21" s="283" t="s">
        <v>66</v>
      </c>
      <c r="N21" s="35" t="s">
        <v>66</v>
      </c>
    </row>
    <row r="22" spans="1:19">
      <c r="A22" s="33" t="s">
        <v>373</v>
      </c>
      <c r="B22" s="34">
        <v>0</v>
      </c>
      <c r="C22" s="34">
        <v>0</v>
      </c>
      <c r="D22" s="283">
        <v>0</v>
      </c>
      <c r="E22" s="283">
        <v>0</v>
      </c>
      <c r="F22" s="283">
        <v>0</v>
      </c>
      <c r="G22" s="283">
        <v>0</v>
      </c>
      <c r="H22" s="289">
        <v>0</v>
      </c>
      <c r="I22" s="289">
        <v>0</v>
      </c>
      <c r="J22" s="289">
        <v>0</v>
      </c>
      <c r="K22" s="289">
        <v>0</v>
      </c>
      <c r="L22" s="289">
        <v>0</v>
      </c>
      <c r="M22" s="289">
        <v>0</v>
      </c>
      <c r="N22" s="35">
        <f>SUM(B22:M22)</f>
        <v>0</v>
      </c>
    </row>
    <row r="23" spans="1:19" ht="13">
      <c r="A23" s="240" t="s">
        <v>374</v>
      </c>
      <c r="B23" s="36">
        <f t="shared" ref="B23:M23" si="2">SUM(B22:B22)</f>
        <v>0</v>
      </c>
      <c r="C23" s="36">
        <f t="shared" si="2"/>
        <v>0</v>
      </c>
      <c r="D23" s="284">
        <f t="shared" si="2"/>
        <v>0</v>
      </c>
      <c r="E23" s="284">
        <f t="shared" si="2"/>
        <v>0</v>
      </c>
      <c r="F23" s="284">
        <f t="shared" si="2"/>
        <v>0</v>
      </c>
      <c r="G23" s="284">
        <f t="shared" si="2"/>
        <v>0</v>
      </c>
      <c r="H23" s="284">
        <f t="shared" si="2"/>
        <v>0</v>
      </c>
      <c r="I23" s="284">
        <f t="shared" si="2"/>
        <v>0</v>
      </c>
      <c r="J23" s="284">
        <f t="shared" si="2"/>
        <v>0</v>
      </c>
      <c r="K23" s="284">
        <f t="shared" si="2"/>
        <v>0</v>
      </c>
      <c r="L23" s="284">
        <f t="shared" si="2"/>
        <v>0</v>
      </c>
      <c r="M23" s="284">
        <f t="shared" si="2"/>
        <v>0</v>
      </c>
      <c r="N23" s="37">
        <f>SUM(B23:M23)</f>
        <v>0</v>
      </c>
    </row>
    <row r="24" spans="1:19" ht="13">
      <c r="A24" s="40"/>
      <c r="B24" s="34"/>
      <c r="C24" s="34"/>
      <c r="D24" s="283"/>
      <c r="E24" s="283"/>
      <c r="F24" s="283"/>
      <c r="G24" s="285"/>
      <c r="H24" s="283"/>
      <c r="I24" s="285"/>
      <c r="J24" s="283"/>
      <c r="K24" s="283"/>
      <c r="L24" s="285"/>
      <c r="M24" s="283"/>
      <c r="N24" s="35"/>
    </row>
    <row r="25" spans="1:19" ht="13">
      <c r="A25" s="42" t="s">
        <v>333</v>
      </c>
      <c r="B25" s="34"/>
      <c r="C25" s="34"/>
      <c r="D25" s="283"/>
      <c r="E25" s="283"/>
      <c r="F25" s="283"/>
      <c r="G25" s="283"/>
      <c r="H25" s="283"/>
      <c r="I25" s="283"/>
      <c r="J25" s="283"/>
      <c r="K25" s="283"/>
      <c r="L25" s="283"/>
      <c r="M25" s="283"/>
      <c r="N25" s="35"/>
    </row>
    <row r="26" spans="1:19">
      <c r="A26" s="33" t="s">
        <v>375</v>
      </c>
      <c r="B26" s="39">
        <v>0</v>
      </c>
      <c r="C26" s="39">
        <v>0</v>
      </c>
      <c r="D26" s="283">
        <v>0</v>
      </c>
      <c r="E26" s="283">
        <v>0</v>
      </c>
      <c r="F26" s="283">
        <v>0</v>
      </c>
      <c r="G26" s="283">
        <v>0</v>
      </c>
      <c r="H26" s="289">
        <v>0</v>
      </c>
      <c r="I26" s="289">
        <v>0</v>
      </c>
      <c r="J26" s="289">
        <v>0</v>
      </c>
      <c r="K26" s="289">
        <v>0</v>
      </c>
      <c r="L26" s="289">
        <v>0</v>
      </c>
      <c r="M26" s="289">
        <v>0</v>
      </c>
      <c r="N26" s="35">
        <f>SUM(B26:M26)</f>
        <v>0</v>
      </c>
    </row>
    <row r="27" spans="1:19">
      <c r="A27" s="33" t="s">
        <v>108</v>
      </c>
      <c r="B27" s="39">
        <v>0</v>
      </c>
      <c r="C27" s="39">
        <v>0</v>
      </c>
      <c r="D27" s="283">
        <v>0</v>
      </c>
      <c r="E27" s="283">
        <v>0</v>
      </c>
      <c r="F27" s="283">
        <v>0</v>
      </c>
      <c r="G27" s="283">
        <v>0</v>
      </c>
      <c r="H27" s="289">
        <v>0</v>
      </c>
      <c r="I27" s="289">
        <v>0</v>
      </c>
      <c r="J27" s="289">
        <v>0</v>
      </c>
      <c r="K27" s="289">
        <v>0</v>
      </c>
      <c r="L27" s="289">
        <v>0</v>
      </c>
      <c r="M27" s="289">
        <v>0</v>
      </c>
      <c r="N27" s="35">
        <f>SUM(B27:M27)</f>
        <v>0</v>
      </c>
    </row>
    <row r="28" spans="1:19">
      <c r="A28" s="33" t="s">
        <v>109</v>
      </c>
      <c r="B28" s="39">
        <v>0</v>
      </c>
      <c r="C28" s="39">
        <v>0</v>
      </c>
      <c r="D28" s="283">
        <v>0</v>
      </c>
      <c r="E28" s="283">
        <v>0</v>
      </c>
      <c r="F28" s="283">
        <v>0</v>
      </c>
      <c r="G28" s="283">
        <v>0</v>
      </c>
      <c r="H28" s="289">
        <v>0</v>
      </c>
      <c r="I28" s="289">
        <v>0</v>
      </c>
      <c r="J28" s="289">
        <v>0</v>
      </c>
      <c r="K28" s="289">
        <v>0</v>
      </c>
      <c r="L28" s="289">
        <v>0</v>
      </c>
      <c r="M28" s="289">
        <v>0</v>
      </c>
      <c r="N28" s="35">
        <f>SUM(B28:M28)</f>
        <v>0</v>
      </c>
    </row>
    <row r="29" spans="1:19">
      <c r="A29" s="33" t="s">
        <v>367</v>
      </c>
      <c r="B29" s="39">
        <v>0</v>
      </c>
      <c r="C29" s="39">
        <v>0</v>
      </c>
      <c r="D29" s="283">
        <v>0</v>
      </c>
      <c r="E29" s="283">
        <v>0</v>
      </c>
      <c r="F29" s="283">
        <v>0</v>
      </c>
      <c r="G29" s="283">
        <v>0</v>
      </c>
      <c r="H29" s="289">
        <v>0</v>
      </c>
      <c r="I29" s="289">
        <v>0</v>
      </c>
      <c r="J29" s="289">
        <v>0</v>
      </c>
      <c r="K29" s="289">
        <v>0</v>
      </c>
      <c r="L29" s="289">
        <v>0</v>
      </c>
      <c r="M29" s="291">
        <v>0</v>
      </c>
      <c r="N29" s="35">
        <f>SUM(B29:M29)</f>
        <v>0</v>
      </c>
    </row>
    <row r="30" spans="1:19" ht="13">
      <c r="A30" s="43" t="s">
        <v>342</v>
      </c>
      <c r="B30" s="36">
        <f t="shared" ref="B30:H30" si="3">SUM(B26:B29)</f>
        <v>0</v>
      </c>
      <c r="C30" s="36">
        <f t="shared" si="3"/>
        <v>0</v>
      </c>
      <c r="D30" s="284">
        <f t="shared" si="3"/>
        <v>0</v>
      </c>
      <c r="E30" s="284">
        <f t="shared" si="3"/>
        <v>0</v>
      </c>
      <c r="F30" s="284">
        <f t="shared" si="3"/>
        <v>0</v>
      </c>
      <c r="G30" s="284">
        <f t="shared" si="3"/>
        <v>0</v>
      </c>
      <c r="H30" s="284">
        <f t="shared" si="3"/>
        <v>0</v>
      </c>
      <c r="I30" s="284">
        <f>SUM(I25:I29)</f>
        <v>0</v>
      </c>
      <c r="J30" s="284">
        <f>SUM(J26:J29)</f>
        <v>0</v>
      </c>
      <c r="K30" s="284">
        <f>SUM(K26:K29)</f>
        <v>0</v>
      </c>
      <c r="L30" s="284">
        <f>SUM(L26:L29)</f>
        <v>0</v>
      </c>
      <c r="M30" s="284">
        <f>SUM(M26:M29)</f>
        <v>0</v>
      </c>
      <c r="N30" s="37">
        <f>SUM(B30:M30)</f>
        <v>0</v>
      </c>
      <c r="O30" s="34"/>
    </row>
    <row r="31" spans="1:19" ht="10.5" customHeight="1">
      <c r="A31" s="44"/>
      <c r="B31" s="41"/>
      <c r="C31" s="41"/>
      <c r="D31" s="285"/>
      <c r="E31" s="285"/>
      <c r="F31" s="285"/>
      <c r="G31" s="285"/>
      <c r="H31" s="285"/>
      <c r="I31" s="285"/>
      <c r="J31" s="285"/>
      <c r="K31" s="285"/>
      <c r="L31" s="285"/>
      <c r="M31" s="285"/>
      <c r="N31" s="45"/>
    </row>
    <row r="32" spans="1:19" ht="15" customHeight="1">
      <c r="A32" s="24" t="s">
        <v>376</v>
      </c>
      <c r="B32" s="47">
        <v>0</v>
      </c>
      <c r="C32" s="47">
        <v>0</v>
      </c>
      <c r="D32" s="286">
        <v>0</v>
      </c>
      <c r="E32" s="286">
        <v>0</v>
      </c>
      <c r="F32" s="286">
        <v>0</v>
      </c>
      <c r="G32" s="286">
        <v>0</v>
      </c>
      <c r="H32" s="286">
        <v>0</v>
      </c>
      <c r="I32" s="286">
        <v>0</v>
      </c>
      <c r="J32" s="284">
        <v>0</v>
      </c>
      <c r="K32" s="284">
        <v>0</v>
      </c>
      <c r="L32" s="286">
        <v>0</v>
      </c>
      <c r="M32" s="292">
        <v>0</v>
      </c>
      <c r="N32" s="48">
        <f>SUM(B32:M32)</f>
        <v>0</v>
      </c>
      <c r="O32" s="39"/>
      <c r="P32" s="39"/>
      <c r="Q32" s="39"/>
      <c r="R32" s="39"/>
      <c r="S32" s="49"/>
    </row>
    <row r="33" spans="1:15" ht="28.5" customHeight="1" thickBot="1">
      <c r="A33" s="25" t="s">
        <v>377</v>
      </c>
      <c r="B33" s="50">
        <f t="shared" ref="B33:M33" si="4">B15+B19+B23+B30+B32</f>
        <v>2.5299999999999998</v>
      </c>
      <c r="C33" s="50">
        <f t="shared" si="4"/>
        <v>4.0359999999999996</v>
      </c>
      <c r="D33" s="287">
        <f t="shared" si="4"/>
        <v>3.9830000000000001</v>
      </c>
      <c r="E33" s="287">
        <f t="shared" si="4"/>
        <v>2.8980000000000001</v>
      </c>
      <c r="F33" s="287">
        <f t="shared" si="4"/>
        <v>4.1529999999999996</v>
      </c>
      <c r="G33" s="287">
        <f t="shared" si="4"/>
        <v>3.2519999999999998</v>
      </c>
      <c r="H33" s="287">
        <f t="shared" si="4"/>
        <v>2.9220000000000002</v>
      </c>
      <c r="I33" s="287">
        <f t="shared" si="4"/>
        <v>1.9039999999999999</v>
      </c>
      <c r="J33" s="287">
        <f t="shared" si="4"/>
        <v>2.9</v>
      </c>
      <c r="K33" s="287">
        <f t="shared" si="4"/>
        <v>2.2120000000000002</v>
      </c>
      <c r="L33" s="287">
        <f t="shared" si="4"/>
        <v>2.742</v>
      </c>
      <c r="M33" s="287">
        <f t="shared" si="4"/>
        <v>1.43</v>
      </c>
      <c r="N33" s="51">
        <f>SUM(B33:M33)</f>
        <v>34.961999999999996</v>
      </c>
      <c r="O33" s="34"/>
    </row>
    <row r="34" spans="1:15" ht="11.65" customHeight="1">
      <c r="A34" s="52"/>
      <c r="B34" s="53"/>
      <c r="C34" s="53"/>
      <c r="D34" s="288"/>
      <c r="E34" s="53"/>
      <c r="F34" s="53"/>
      <c r="G34" s="53"/>
      <c r="H34" s="53"/>
      <c r="I34" s="288"/>
      <c r="J34" s="288"/>
      <c r="K34" s="288"/>
      <c r="L34" s="288"/>
      <c r="M34" s="288"/>
      <c r="N34" s="53"/>
    </row>
    <row r="36" spans="1:15" ht="11.65" customHeight="1">
      <c r="A36" s="281" t="s">
        <v>76</v>
      </c>
      <c r="B36" s="34"/>
      <c r="C36" s="34"/>
      <c r="D36" s="34"/>
      <c r="E36" s="34"/>
      <c r="F36" s="34"/>
      <c r="G36" s="34"/>
      <c r="H36" s="34"/>
      <c r="I36" s="34"/>
      <c r="J36" s="34"/>
      <c r="K36" s="34"/>
      <c r="L36" s="34"/>
      <c r="M36" s="34"/>
      <c r="N36" s="34"/>
    </row>
    <row r="37" spans="1:15" ht="13.9" customHeight="1">
      <c r="A37" s="776"/>
      <c r="B37" s="776"/>
      <c r="C37" s="776"/>
      <c r="D37" s="776"/>
      <c r="E37" s="776"/>
      <c r="F37" s="776"/>
      <c r="G37" s="776"/>
      <c r="H37" s="776"/>
      <c r="I37" s="776"/>
      <c r="J37" s="776"/>
      <c r="K37" s="776"/>
      <c r="L37" s="776"/>
      <c r="M37" s="776"/>
      <c r="N37" s="776"/>
    </row>
    <row r="40" spans="1:15">
      <c r="H40" s="34"/>
    </row>
  </sheetData>
  <mergeCells count="1">
    <mergeCell ref="A37:N37"/>
  </mergeCells>
  <printOptions horizontalCentered="1"/>
  <pageMargins left="0" right="0" top="0.55000000000000004" bottom="0.17" header="0.3" footer="0.15"/>
  <pageSetup paperSize="5" scale="93" orientation="landscape" cellComments="atEnd" r:id="rId1"/>
  <headerFooter alignWithMargins="0">
    <oddHeader xml:space="preserve">&amp;C&amp;"Arial,Bold"
</oddHeader>
    <oddFooter>&amp;Rpage 11 of 12
&amp;A
&amp;D  &amp;T</oddFooter>
  </headerFooter>
  <customProperties>
    <customPr name="_pios_id" r:id="rId2"/>
  </customPropertie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3:S48"/>
  <sheetViews>
    <sheetView showGridLines="0" zoomScaleNormal="100" zoomScaleSheetLayoutView="75" workbookViewId="0">
      <selection activeCell="J37" sqref="J37"/>
    </sheetView>
  </sheetViews>
  <sheetFormatPr defaultColWidth="9.1796875" defaultRowHeight="12.5"/>
  <cols>
    <col min="1" max="1" width="53.453125" style="20" customWidth="1"/>
    <col min="2" max="2" width="11" style="20" customWidth="1"/>
    <col min="3" max="3" width="9.7265625" style="20" customWidth="1"/>
    <col min="4" max="4" width="15.54296875" style="20" customWidth="1"/>
    <col min="5" max="5" width="11.7265625" style="20" customWidth="1"/>
    <col min="6" max="8" width="11" style="20" customWidth="1"/>
    <col min="9" max="9" width="10.26953125" style="20" bestFit="1" customWidth="1"/>
    <col min="10" max="10" width="11" style="20" customWidth="1"/>
    <col min="11" max="11" width="11.54296875" style="20" customWidth="1"/>
    <col min="12" max="12" width="11" style="20" customWidth="1"/>
    <col min="13" max="13" width="12.1796875" style="20" bestFit="1" customWidth="1"/>
    <col min="14" max="14" width="15.7265625" style="20" bestFit="1" customWidth="1"/>
    <col min="15" max="15" width="9.7265625" style="20" bestFit="1" customWidth="1"/>
    <col min="16" max="16" width="22.81640625" style="20" bestFit="1" customWidth="1"/>
    <col min="17" max="17" width="22.26953125" style="20" customWidth="1"/>
    <col min="18" max="16384" width="9.1796875" style="20"/>
  </cols>
  <sheetData>
    <row r="3" spans="1:15" ht="13">
      <c r="E3" s="175" t="s">
        <v>39</v>
      </c>
    </row>
    <row r="4" spans="1:15" ht="13">
      <c r="C4" s="187"/>
      <c r="D4" s="187"/>
      <c r="E4" s="188" t="s">
        <v>378</v>
      </c>
      <c r="F4" s="187"/>
      <c r="G4" s="187"/>
    </row>
    <row r="5" spans="1:15" ht="13">
      <c r="D5" s="187"/>
      <c r="E5" s="178" t="str">
        <f>'Program MW '!H3</f>
        <v>December 2019</v>
      </c>
      <c r="F5" s="187"/>
    </row>
    <row r="6" spans="1:15" ht="13">
      <c r="E6" s="178"/>
    </row>
    <row r="7" spans="1:15" ht="13.5" thickBot="1">
      <c r="A7" s="26"/>
    </row>
    <row r="8" spans="1:15" ht="31.9" customHeight="1" thickBot="1">
      <c r="A8" s="558" t="s">
        <v>304</v>
      </c>
      <c r="B8" s="494" t="s">
        <v>42</v>
      </c>
      <c r="C8" s="28" t="s">
        <v>43</v>
      </c>
      <c r="D8" s="28" t="s">
        <v>44</v>
      </c>
      <c r="E8" s="28" t="s">
        <v>45</v>
      </c>
      <c r="F8" s="28" t="s">
        <v>31</v>
      </c>
      <c r="G8" s="28" t="s">
        <v>46</v>
      </c>
      <c r="H8" s="28" t="s">
        <v>59</v>
      </c>
      <c r="I8" s="28" t="s">
        <v>113</v>
      </c>
      <c r="J8" s="28" t="s">
        <v>114</v>
      </c>
      <c r="K8" s="28" t="s">
        <v>62</v>
      </c>
      <c r="L8" s="28" t="s">
        <v>115</v>
      </c>
      <c r="M8" s="495" t="s">
        <v>64</v>
      </c>
      <c r="N8" s="487" t="s">
        <v>363</v>
      </c>
    </row>
    <row r="9" spans="1:15" ht="26">
      <c r="A9" s="560" t="s">
        <v>379</v>
      </c>
      <c r="B9" s="557"/>
      <c r="M9" s="488"/>
      <c r="N9" s="488"/>
    </row>
    <row r="10" spans="1:15" ht="6" customHeight="1">
      <c r="A10" s="476"/>
      <c r="B10" s="557"/>
      <c r="M10" s="488"/>
      <c r="N10" s="488"/>
    </row>
    <row r="11" spans="1:15" ht="13">
      <c r="A11" s="476" t="s">
        <v>306</v>
      </c>
      <c r="B11" s="557"/>
      <c r="M11" s="488"/>
      <c r="N11" s="488"/>
    </row>
    <row r="12" spans="1:15" ht="15">
      <c r="A12" s="477" t="s">
        <v>380</v>
      </c>
      <c r="B12" s="552">
        <v>0.84299999999999997</v>
      </c>
      <c r="C12" s="34">
        <v>14.757</v>
      </c>
      <c r="D12" s="283">
        <v>7.351</v>
      </c>
      <c r="E12" s="283">
        <v>3.363</v>
      </c>
      <c r="F12" s="283">
        <v>6.6319999999999997</v>
      </c>
      <c r="G12" s="283">
        <v>4.6760000000000002</v>
      </c>
      <c r="H12" s="283">
        <v>4.7960000000000003</v>
      </c>
      <c r="I12" s="283">
        <v>5.8179999999999996</v>
      </c>
      <c r="J12" s="283">
        <v>11.448</v>
      </c>
      <c r="K12" s="283">
        <v>5.2409999999999997</v>
      </c>
      <c r="L12" s="283">
        <v>0.67100000000000004</v>
      </c>
      <c r="M12" s="497">
        <v>-0.32400000000000001</v>
      </c>
      <c r="N12" s="489">
        <f t="shared" ref="N12:N17" si="0">SUM(B12:M12)</f>
        <v>65.272000000000006</v>
      </c>
    </row>
    <row r="13" spans="1:15" ht="15">
      <c r="A13" s="477" t="s">
        <v>381</v>
      </c>
      <c r="B13" s="552">
        <v>11.128</v>
      </c>
      <c r="C13" s="34">
        <v>36.481999999999999</v>
      </c>
      <c r="D13" s="283">
        <v>18.846</v>
      </c>
      <c r="E13" s="283">
        <v>19.452000000000002</v>
      </c>
      <c r="F13" s="283">
        <v>33.902999999999999</v>
      </c>
      <c r="G13" s="283">
        <v>21.138000000000002</v>
      </c>
      <c r="H13" s="283">
        <v>27.491</v>
      </c>
      <c r="I13" s="283">
        <v>21.306000000000001</v>
      </c>
      <c r="J13" s="283">
        <v>34.637999999999998</v>
      </c>
      <c r="K13" s="283">
        <v>22.609000000000002</v>
      </c>
      <c r="L13" s="283">
        <v>55.777000000000001</v>
      </c>
      <c r="M13" s="497">
        <v>40.6</v>
      </c>
      <c r="N13" s="35">
        <f t="shared" si="0"/>
        <v>343.37000000000006</v>
      </c>
    </row>
    <row r="14" spans="1:15" ht="13">
      <c r="A14" s="477" t="s">
        <v>382</v>
      </c>
      <c r="B14" s="552">
        <v>5.9370000000000003</v>
      </c>
      <c r="C14" s="34">
        <v>5.6740000000000004</v>
      </c>
      <c r="D14" s="283">
        <v>0.995</v>
      </c>
      <c r="E14" s="283">
        <v>0</v>
      </c>
      <c r="F14" s="283">
        <v>0</v>
      </c>
      <c r="G14" s="283">
        <v>0</v>
      </c>
      <c r="H14" s="283">
        <v>0</v>
      </c>
      <c r="I14" s="283">
        <v>0</v>
      </c>
      <c r="J14" s="283">
        <v>0</v>
      </c>
      <c r="K14" s="283">
        <v>0</v>
      </c>
      <c r="L14" s="283">
        <v>0</v>
      </c>
      <c r="M14" s="497">
        <v>0</v>
      </c>
      <c r="N14" s="35">
        <f t="shared" si="0"/>
        <v>12.606</v>
      </c>
    </row>
    <row r="15" spans="1:15" ht="15">
      <c r="A15" s="477" t="s">
        <v>383</v>
      </c>
      <c r="B15" s="552">
        <v>0</v>
      </c>
      <c r="C15" s="34">
        <v>2.3570000000000002</v>
      </c>
      <c r="D15" s="283">
        <v>25.724</v>
      </c>
      <c r="E15" s="283">
        <v>30.103000000000002</v>
      </c>
      <c r="F15" s="283">
        <v>0.97099999999999997</v>
      </c>
      <c r="G15" s="283">
        <v>297.38600000000002</v>
      </c>
      <c r="H15" s="283">
        <v>-52.134</v>
      </c>
      <c r="I15" s="283">
        <v>146.26400000000001</v>
      </c>
      <c r="J15" s="283">
        <v>-0.39100000000000001</v>
      </c>
      <c r="K15" s="283">
        <v>-141.07900000000001</v>
      </c>
      <c r="L15" s="283">
        <v>96.028999999999996</v>
      </c>
      <c r="M15" s="283">
        <v>41.527999999999999</v>
      </c>
      <c r="N15" s="35">
        <f t="shared" si="0"/>
        <v>446.75799999999998</v>
      </c>
    </row>
    <row r="16" spans="1:15" ht="15">
      <c r="A16" s="561" t="s">
        <v>384</v>
      </c>
      <c r="B16" s="552">
        <v>11.414</v>
      </c>
      <c r="C16" s="34">
        <v>13.749000000000001</v>
      </c>
      <c r="D16" s="283">
        <v>3.2610000000000001</v>
      </c>
      <c r="E16" s="283">
        <v>2.9529999999999998</v>
      </c>
      <c r="F16" s="283">
        <v>-0.441</v>
      </c>
      <c r="G16" s="283">
        <v>0.752</v>
      </c>
      <c r="H16" s="283">
        <v>0.70899999999999996</v>
      </c>
      <c r="I16" s="283">
        <v>1.048</v>
      </c>
      <c r="J16" s="283">
        <v>0</v>
      </c>
      <c r="K16" s="283">
        <v>21.771999999999998</v>
      </c>
      <c r="L16" s="283">
        <v>-14.223000000000001</v>
      </c>
      <c r="M16" s="497">
        <v>0</v>
      </c>
      <c r="N16" s="489">
        <f t="shared" si="0"/>
        <v>40.994</v>
      </c>
      <c r="O16" s="34"/>
    </row>
    <row r="17" spans="1:16" ht="13">
      <c r="A17" s="559" t="s">
        <v>368</v>
      </c>
      <c r="B17" s="498">
        <f t="shared" ref="B17:M17" si="1">SUM(B12:B16)</f>
        <v>29.322000000000003</v>
      </c>
      <c r="C17" s="36">
        <f t="shared" si="1"/>
        <v>73.018999999999991</v>
      </c>
      <c r="D17" s="284">
        <f t="shared" si="1"/>
        <v>56.177</v>
      </c>
      <c r="E17" s="284">
        <f t="shared" si="1"/>
        <v>55.871000000000009</v>
      </c>
      <c r="F17" s="284">
        <f t="shared" si="1"/>
        <v>41.064999999999991</v>
      </c>
      <c r="G17" s="284">
        <f t="shared" si="1"/>
        <v>323.95200000000006</v>
      </c>
      <c r="H17" s="284">
        <f t="shared" si="1"/>
        <v>-19.138000000000002</v>
      </c>
      <c r="I17" s="284">
        <f t="shared" si="1"/>
        <v>174.43600000000001</v>
      </c>
      <c r="J17" s="284">
        <f t="shared" si="1"/>
        <v>45.695</v>
      </c>
      <c r="K17" s="284">
        <f t="shared" si="1"/>
        <v>-91.457000000000022</v>
      </c>
      <c r="L17" s="284">
        <f t="shared" si="1"/>
        <v>138.25399999999999</v>
      </c>
      <c r="M17" s="499">
        <f t="shared" si="1"/>
        <v>81.804000000000002</v>
      </c>
      <c r="N17" s="490">
        <f t="shared" si="0"/>
        <v>909.00000000000011</v>
      </c>
    </row>
    <row r="18" spans="1:16">
      <c r="A18" s="479"/>
      <c r="B18" s="496"/>
      <c r="C18" s="34"/>
      <c r="D18" s="283"/>
      <c r="E18" s="283"/>
      <c r="F18" s="283"/>
      <c r="G18" s="283"/>
      <c r="H18" s="283"/>
      <c r="I18" s="283"/>
      <c r="J18" s="283" t="s">
        <v>66</v>
      </c>
      <c r="K18" s="283"/>
      <c r="L18" s="283"/>
      <c r="M18" s="497"/>
      <c r="N18" s="489"/>
      <c r="P18" s="551"/>
    </row>
    <row r="19" spans="1:16" ht="13">
      <c r="A19" s="476" t="s">
        <v>385</v>
      </c>
      <c r="B19" s="496"/>
      <c r="C19" s="34"/>
      <c r="D19" s="283"/>
      <c r="E19" s="283"/>
      <c r="F19" s="283"/>
      <c r="G19" s="283"/>
      <c r="H19" s="283"/>
      <c r="I19" s="283"/>
      <c r="J19" s="283"/>
      <c r="K19" s="283"/>
      <c r="L19" s="283"/>
      <c r="M19" s="497"/>
      <c r="N19" s="489"/>
      <c r="P19" s="551"/>
    </row>
    <row r="20" spans="1:16" ht="13">
      <c r="A20" s="477" t="s">
        <v>386</v>
      </c>
      <c r="B20" s="496">
        <v>43.601999999999997</v>
      </c>
      <c r="C20" s="34">
        <v>43.601999999999997</v>
      </c>
      <c r="D20" s="283">
        <v>43.601999999999997</v>
      </c>
      <c r="E20" s="283">
        <v>43.601999999999997</v>
      </c>
      <c r="F20" s="283">
        <v>43.343000000000004</v>
      </c>
      <c r="G20" s="283">
        <v>43.343000000000004</v>
      </c>
      <c r="H20" s="283">
        <v>43.343000000000004</v>
      </c>
      <c r="I20" s="283">
        <v>43.343000000000004</v>
      </c>
      <c r="J20" s="283">
        <v>43.344000000000001</v>
      </c>
      <c r="K20" s="283">
        <v>43.343000000000004</v>
      </c>
      <c r="L20" s="283">
        <v>43.341999999999999</v>
      </c>
      <c r="M20" s="497">
        <v>43.343000000000004</v>
      </c>
      <c r="N20" s="489">
        <f>SUM(B20:M20)</f>
        <v>521.15200000000004</v>
      </c>
      <c r="P20" s="551"/>
    </row>
    <row r="21" spans="1:16" ht="13">
      <c r="A21" s="477" t="s">
        <v>387</v>
      </c>
      <c r="B21" s="552">
        <v>0</v>
      </c>
      <c r="C21" s="34">
        <v>0</v>
      </c>
      <c r="D21" s="646">
        <v>0</v>
      </c>
      <c r="E21" s="283">
        <v>516.10599999999999</v>
      </c>
      <c r="F21" s="283">
        <v>19.728999999999999</v>
      </c>
      <c r="G21" s="283">
        <v>19.648</v>
      </c>
      <c r="H21" s="283">
        <v>19.567</v>
      </c>
      <c r="I21" s="283">
        <v>19.486000000000001</v>
      </c>
      <c r="J21" s="283">
        <v>19.404</v>
      </c>
      <c r="K21" s="283">
        <v>19.321999999999999</v>
      </c>
      <c r="L21" s="283">
        <v>19.241</v>
      </c>
      <c r="M21" s="497">
        <v>19.16</v>
      </c>
      <c r="N21" s="489">
        <f t="shared" ref="N21:N22" si="2">SUM(B21:M21)</f>
        <v>671.66300000000001</v>
      </c>
      <c r="P21" s="551"/>
    </row>
    <row r="22" spans="1:16" ht="13">
      <c r="A22" s="477" t="s">
        <v>388</v>
      </c>
      <c r="B22" s="552">
        <v>0</v>
      </c>
      <c r="C22" s="34">
        <v>0</v>
      </c>
      <c r="D22" s="646">
        <v>0</v>
      </c>
      <c r="E22" s="283">
        <v>25.07</v>
      </c>
      <c r="F22" s="283">
        <v>2.5070000000000001</v>
      </c>
      <c r="G22" s="283">
        <v>2.5070000000000001</v>
      </c>
      <c r="H22" s="283">
        <v>2.4089999999999998</v>
      </c>
      <c r="I22" s="283">
        <v>2.4089999999999998</v>
      </c>
      <c r="J22" s="283">
        <v>2.4089999999999998</v>
      </c>
      <c r="K22" s="283">
        <v>2.4089999999999998</v>
      </c>
      <c r="L22" s="283">
        <v>2.4089999999999998</v>
      </c>
      <c r="M22" s="497">
        <v>2.4089999999999998</v>
      </c>
      <c r="N22" s="489">
        <f t="shared" si="2"/>
        <v>44.537999999999997</v>
      </c>
      <c r="P22" s="551"/>
    </row>
    <row r="23" spans="1:16" ht="13">
      <c r="A23" s="480" t="s">
        <v>389</v>
      </c>
      <c r="B23" s="496">
        <v>11.589</v>
      </c>
      <c r="C23" s="34">
        <v>11.315</v>
      </c>
      <c r="D23" s="283">
        <v>11.041</v>
      </c>
      <c r="E23" s="283">
        <v>10.766</v>
      </c>
      <c r="F23" s="283">
        <v>10.493</v>
      </c>
      <c r="G23" s="283">
        <v>10.220000000000001</v>
      </c>
      <c r="H23" s="289">
        <v>9.9469999999999992</v>
      </c>
      <c r="I23" s="289">
        <v>9.6750000000000007</v>
      </c>
      <c r="J23" s="289">
        <v>9.4019999999999992</v>
      </c>
      <c r="K23" s="289">
        <v>9.1289999999999996</v>
      </c>
      <c r="L23" s="289">
        <v>8.8569999999999993</v>
      </c>
      <c r="M23" s="500">
        <v>8.5839999999999996</v>
      </c>
      <c r="N23" s="489">
        <f>SUM(B23:M23)</f>
        <v>121.01800000000001</v>
      </c>
      <c r="P23" s="551"/>
    </row>
    <row r="24" spans="1:16" ht="13">
      <c r="A24" s="478" t="s">
        <v>371</v>
      </c>
      <c r="B24" s="498">
        <f>SUM(B20:B23)</f>
        <v>55.190999999999995</v>
      </c>
      <c r="C24" s="36">
        <f t="shared" ref="C24:M24" si="3">SUM(C20:C23)</f>
        <v>54.916999999999994</v>
      </c>
      <c r="D24" s="284">
        <f t="shared" si="3"/>
        <v>54.643000000000001</v>
      </c>
      <c r="E24" s="284">
        <f t="shared" si="3"/>
        <v>595.54399999999998</v>
      </c>
      <c r="F24" s="284">
        <f t="shared" si="3"/>
        <v>76.072000000000003</v>
      </c>
      <c r="G24" s="284">
        <f t="shared" si="3"/>
        <v>75.718000000000004</v>
      </c>
      <c r="H24" s="284">
        <f t="shared" si="3"/>
        <v>75.266000000000005</v>
      </c>
      <c r="I24" s="284">
        <f t="shared" si="3"/>
        <v>74.913000000000011</v>
      </c>
      <c r="J24" s="284">
        <f t="shared" si="3"/>
        <v>74.559000000000012</v>
      </c>
      <c r="K24" s="284">
        <f t="shared" si="3"/>
        <v>74.203000000000017</v>
      </c>
      <c r="L24" s="284">
        <f t="shared" si="3"/>
        <v>73.849000000000004</v>
      </c>
      <c r="M24" s="499">
        <f t="shared" si="3"/>
        <v>73.496000000000009</v>
      </c>
      <c r="N24" s="490">
        <f>SUM(B24:M24)</f>
        <v>1358.3709999999999</v>
      </c>
      <c r="P24" s="551"/>
    </row>
    <row r="25" spans="1:16" ht="13">
      <c r="A25" s="480"/>
      <c r="B25" s="496"/>
      <c r="C25" s="34"/>
      <c r="D25" s="283"/>
      <c r="E25" s="283"/>
      <c r="F25" s="283"/>
      <c r="G25" s="283"/>
      <c r="H25" s="283"/>
      <c r="I25" s="283"/>
      <c r="J25" s="283"/>
      <c r="K25" s="283"/>
      <c r="L25" s="283"/>
      <c r="M25" s="497"/>
      <c r="N25" s="489"/>
      <c r="P25" s="551"/>
    </row>
    <row r="26" spans="1:16" ht="13">
      <c r="A26" s="476"/>
      <c r="B26" s="496" t="s">
        <v>66</v>
      </c>
      <c r="C26" s="34" t="s">
        <v>66</v>
      </c>
      <c r="D26" s="283" t="s">
        <v>66</v>
      </c>
      <c r="E26" s="283"/>
      <c r="F26" s="283" t="s">
        <v>66</v>
      </c>
      <c r="G26" s="290"/>
      <c r="H26" s="289" t="s">
        <v>66</v>
      </c>
      <c r="I26" s="289" t="s">
        <v>66</v>
      </c>
      <c r="J26" s="289" t="s">
        <v>66</v>
      </c>
      <c r="K26" s="289" t="s">
        <v>66</v>
      </c>
      <c r="L26" s="289" t="s">
        <v>66</v>
      </c>
      <c r="M26" s="500" t="s">
        <v>66</v>
      </c>
      <c r="N26" s="489" t="s">
        <v>66</v>
      </c>
      <c r="P26" s="551"/>
    </row>
    <row r="27" spans="1:16" ht="13">
      <c r="A27" s="476" t="s">
        <v>372</v>
      </c>
      <c r="B27" s="496">
        <v>0</v>
      </c>
      <c r="C27" s="34">
        <v>0</v>
      </c>
      <c r="D27" s="283">
        <v>0</v>
      </c>
      <c r="E27" s="283">
        <v>0</v>
      </c>
      <c r="F27" s="283">
        <v>0</v>
      </c>
      <c r="G27" s="283">
        <v>0</v>
      </c>
      <c r="H27" s="289">
        <v>0</v>
      </c>
      <c r="I27" s="289">
        <v>0</v>
      </c>
      <c r="J27" s="289">
        <v>0</v>
      </c>
      <c r="K27" s="289">
        <v>0</v>
      </c>
      <c r="L27" s="289">
        <v>0</v>
      </c>
      <c r="M27" s="500">
        <v>0</v>
      </c>
      <c r="N27" s="489">
        <f>SUM(B27:M27)</f>
        <v>0</v>
      </c>
      <c r="P27" s="551"/>
    </row>
    <row r="28" spans="1:16" ht="13">
      <c r="A28" s="481" t="s">
        <v>374</v>
      </c>
      <c r="B28" s="498">
        <f t="shared" ref="B28:H28" si="4">SUM(B27:B27)</f>
        <v>0</v>
      </c>
      <c r="C28" s="36">
        <f t="shared" si="4"/>
        <v>0</v>
      </c>
      <c r="D28" s="284">
        <f t="shared" si="4"/>
        <v>0</v>
      </c>
      <c r="E28" s="284">
        <f>SUM(E27:E27)</f>
        <v>0</v>
      </c>
      <c r="F28" s="284">
        <f t="shared" si="4"/>
        <v>0</v>
      </c>
      <c r="G28" s="284">
        <f t="shared" si="4"/>
        <v>0</v>
      </c>
      <c r="H28" s="284">
        <f t="shared" si="4"/>
        <v>0</v>
      </c>
      <c r="I28" s="284">
        <f>SUM(I27:I27)</f>
        <v>0</v>
      </c>
      <c r="J28" s="284">
        <f>SUM(J27:J27)</f>
        <v>0</v>
      </c>
      <c r="K28" s="284">
        <f>SUM(K27:K27)</f>
        <v>0</v>
      </c>
      <c r="L28" s="284">
        <f>SUM(L27:L27)</f>
        <v>0</v>
      </c>
      <c r="M28" s="499">
        <f>SUM(M27:M27)</f>
        <v>0</v>
      </c>
      <c r="N28" s="490">
        <f>SUM(B28:M28)</f>
        <v>0</v>
      </c>
      <c r="P28" s="551"/>
    </row>
    <row r="29" spans="1:16" ht="13">
      <c r="A29" s="482"/>
      <c r="B29" s="496"/>
      <c r="C29" s="34"/>
      <c r="D29" s="283"/>
      <c r="E29" s="283"/>
      <c r="F29" s="283"/>
      <c r="G29" s="285"/>
      <c r="H29" s="283"/>
      <c r="I29" s="285"/>
      <c r="J29" s="283"/>
      <c r="K29" s="283"/>
      <c r="L29" s="285"/>
      <c r="M29" s="497"/>
      <c r="N29" s="489"/>
    </row>
    <row r="30" spans="1:16" ht="13">
      <c r="A30" s="483"/>
      <c r="B30" s="496"/>
      <c r="C30" s="34"/>
      <c r="D30" s="283"/>
      <c r="E30" s="283"/>
      <c r="F30" s="283"/>
      <c r="G30" s="283"/>
      <c r="H30" s="283"/>
      <c r="I30" s="283"/>
      <c r="J30" s="283"/>
      <c r="K30" s="283"/>
      <c r="L30" s="283"/>
      <c r="M30" s="497"/>
      <c r="N30" s="489"/>
    </row>
    <row r="31" spans="1:16" ht="13">
      <c r="A31" s="483" t="s">
        <v>333</v>
      </c>
      <c r="B31" s="496">
        <v>0</v>
      </c>
      <c r="C31" s="34">
        <v>0</v>
      </c>
      <c r="D31" s="283">
        <v>0</v>
      </c>
      <c r="E31" s="283">
        <v>0</v>
      </c>
      <c r="F31" s="283">
        <v>0</v>
      </c>
      <c r="G31" s="283">
        <v>0</v>
      </c>
      <c r="H31" s="289">
        <v>0</v>
      </c>
      <c r="I31" s="289">
        <v>0</v>
      </c>
      <c r="J31" s="289">
        <v>0</v>
      </c>
      <c r="K31" s="289">
        <v>0</v>
      </c>
      <c r="L31" s="289">
        <v>0</v>
      </c>
      <c r="M31" s="500">
        <v>0</v>
      </c>
      <c r="N31" s="489">
        <f>SUM(B31:M31)</f>
        <v>0</v>
      </c>
    </row>
    <row r="32" spans="1:16">
      <c r="A32" s="479"/>
      <c r="B32" s="496"/>
      <c r="C32" s="34"/>
      <c r="D32" s="283"/>
      <c r="E32" s="283"/>
      <c r="F32" s="283"/>
      <c r="G32" s="283"/>
      <c r="H32" s="289"/>
      <c r="I32" s="289"/>
      <c r="J32" s="289"/>
      <c r="K32" s="289"/>
      <c r="L32" s="289"/>
      <c r="M32" s="501"/>
      <c r="N32" s="489" t="s">
        <v>66</v>
      </c>
    </row>
    <row r="33" spans="1:19" ht="13">
      <c r="A33" s="484" t="s">
        <v>342</v>
      </c>
      <c r="B33" s="498">
        <f t="shared" ref="B33:H33" si="5">SUM(B31:B32)</f>
        <v>0</v>
      </c>
      <c r="C33" s="36">
        <f t="shared" si="5"/>
        <v>0</v>
      </c>
      <c r="D33" s="284">
        <f t="shared" si="5"/>
        <v>0</v>
      </c>
      <c r="E33" s="284">
        <f t="shared" si="5"/>
        <v>0</v>
      </c>
      <c r="F33" s="284">
        <f t="shared" si="5"/>
        <v>0</v>
      </c>
      <c r="G33" s="284">
        <f t="shared" si="5"/>
        <v>0</v>
      </c>
      <c r="H33" s="284">
        <f t="shared" si="5"/>
        <v>0</v>
      </c>
      <c r="I33" s="284">
        <f>SUM(I30:I32)</f>
        <v>0</v>
      </c>
      <c r="J33" s="284">
        <f>SUM(J31:J32)</f>
        <v>0</v>
      </c>
      <c r="K33" s="284">
        <f>SUM(K31:K32)</f>
        <v>0</v>
      </c>
      <c r="L33" s="284">
        <f>SUM(L31:L32)</f>
        <v>0</v>
      </c>
      <c r="M33" s="499">
        <f>SUM(M31:M32)</f>
        <v>0</v>
      </c>
      <c r="N33" s="490">
        <f>SUM(B33:M33)</f>
        <v>0</v>
      </c>
      <c r="O33" s="34"/>
    </row>
    <row r="34" spans="1:19" ht="10.5" customHeight="1">
      <c r="A34" s="485"/>
      <c r="B34" s="502"/>
      <c r="C34" s="41"/>
      <c r="D34" s="285"/>
      <c r="E34" s="285"/>
      <c r="F34" s="285"/>
      <c r="G34" s="285"/>
      <c r="H34" s="285"/>
      <c r="I34" s="285"/>
      <c r="J34" s="285"/>
      <c r="K34" s="285"/>
      <c r="L34" s="285"/>
      <c r="M34" s="503"/>
      <c r="N34" s="491"/>
    </row>
    <row r="35" spans="1:19" ht="15" customHeight="1">
      <c r="A35" s="478" t="s">
        <v>376</v>
      </c>
      <c r="B35" s="504">
        <v>0</v>
      </c>
      <c r="C35" s="47">
        <v>0</v>
      </c>
      <c r="D35" s="286">
        <v>0</v>
      </c>
      <c r="E35" s="286">
        <v>0</v>
      </c>
      <c r="F35" s="286">
        <v>0</v>
      </c>
      <c r="G35" s="286">
        <v>0</v>
      </c>
      <c r="H35" s="286">
        <v>0</v>
      </c>
      <c r="I35" s="286">
        <v>0</v>
      </c>
      <c r="J35" s="284">
        <v>0</v>
      </c>
      <c r="K35" s="284">
        <v>0</v>
      </c>
      <c r="L35" s="286">
        <v>0</v>
      </c>
      <c r="M35" s="505">
        <v>0</v>
      </c>
      <c r="N35" s="492">
        <f>SUM(B35:M35)</f>
        <v>0</v>
      </c>
      <c r="O35" s="39"/>
      <c r="P35" s="39"/>
      <c r="Q35" s="39"/>
      <c r="R35" s="39"/>
      <c r="S35" s="49"/>
    </row>
    <row r="36" spans="1:19" ht="15" customHeight="1" thickBot="1">
      <c r="A36" s="486" t="s">
        <v>390</v>
      </c>
      <c r="B36" s="506">
        <f t="shared" ref="B36:L36" si="6">B17+B24+B28+B33+B35</f>
        <v>84.513000000000005</v>
      </c>
      <c r="C36" s="50">
        <f t="shared" si="6"/>
        <v>127.93599999999998</v>
      </c>
      <c r="D36" s="287">
        <f t="shared" si="6"/>
        <v>110.82</v>
      </c>
      <c r="E36" s="287">
        <f t="shared" si="6"/>
        <v>651.41499999999996</v>
      </c>
      <c r="F36" s="287">
        <f t="shared" si="6"/>
        <v>117.137</v>
      </c>
      <c r="G36" s="287">
        <f t="shared" si="6"/>
        <v>399.67000000000007</v>
      </c>
      <c r="H36" s="287">
        <f>H17+H24+H28+H33+H35</f>
        <v>56.128</v>
      </c>
      <c r="I36" s="287">
        <f t="shared" si="6"/>
        <v>249.34900000000002</v>
      </c>
      <c r="J36" s="287">
        <f t="shared" si="6"/>
        <v>120.25400000000002</v>
      </c>
      <c r="K36" s="287">
        <f t="shared" si="6"/>
        <v>-17.254000000000005</v>
      </c>
      <c r="L36" s="287">
        <f t="shared" si="6"/>
        <v>212.10300000000001</v>
      </c>
      <c r="M36" s="507">
        <f>M17+M24+M28+M33+M35</f>
        <v>155.30000000000001</v>
      </c>
      <c r="N36" s="493">
        <f>SUM(B36:M36)</f>
        <v>2267.3710000000001</v>
      </c>
      <c r="O36" s="39"/>
      <c r="P36" s="39"/>
      <c r="Q36" s="39"/>
      <c r="R36" s="39"/>
      <c r="S36" s="49"/>
    </row>
    <row r="37" spans="1:19" ht="26.25" customHeight="1" thickBot="1">
      <c r="A37" s="486" t="s">
        <v>391</v>
      </c>
      <c r="B37" s="506">
        <f>B36+0.089</f>
        <v>84.602000000000004</v>
      </c>
      <c r="C37" s="50">
        <f>C36+0.316</f>
        <v>128.25199999999998</v>
      </c>
      <c r="D37" s="287">
        <f>D36+0.557</f>
        <v>111.377</v>
      </c>
      <c r="E37" s="287">
        <f>E36+1.338+0.57+10.127</f>
        <v>663.44999999999993</v>
      </c>
      <c r="F37" s="287">
        <f>F36+2.154</f>
        <v>119.291</v>
      </c>
      <c r="G37" s="287">
        <f>G36+2.657</f>
        <v>402.32700000000006</v>
      </c>
      <c r="H37" s="287">
        <f>H36+2.959</f>
        <v>59.087000000000003</v>
      </c>
      <c r="I37" s="287">
        <f>I36+3.09</f>
        <v>252.43900000000002</v>
      </c>
      <c r="J37" s="287">
        <f>J36+3.245</f>
        <v>123.49900000000002</v>
      </c>
      <c r="K37" s="287">
        <f>K36+3.146</f>
        <v>-14.108000000000004</v>
      </c>
      <c r="L37" s="287">
        <f>L36+3.054</f>
        <v>215.15700000000001</v>
      </c>
      <c r="M37" s="507">
        <f>M36+3.001</f>
        <v>158.30100000000002</v>
      </c>
      <c r="N37" s="493">
        <f>SUM(B37:M37)</f>
        <v>2303.674</v>
      </c>
      <c r="O37" s="34"/>
    </row>
    <row r="38" spans="1:19" ht="13">
      <c r="A38" s="52"/>
      <c r="B38" s="53"/>
      <c r="C38" s="53"/>
      <c r="D38" s="53"/>
      <c r="E38" s="53"/>
      <c r="F38" s="53"/>
      <c r="G38" s="53"/>
      <c r="H38" s="53"/>
      <c r="I38" s="53"/>
      <c r="J38" s="53"/>
      <c r="K38" s="53"/>
      <c r="L38" s="53"/>
      <c r="M38" s="53"/>
      <c r="N38" s="53"/>
    </row>
    <row r="39" spans="1:19" ht="16.5">
      <c r="A39" s="714" t="s">
        <v>392</v>
      </c>
      <c r="B39" s="715"/>
      <c r="C39" s="715"/>
      <c r="D39" s="715"/>
      <c r="E39" s="715"/>
      <c r="F39" s="715"/>
      <c r="G39" s="715"/>
      <c r="H39" s="715"/>
      <c r="I39" s="715"/>
      <c r="J39" s="715"/>
      <c r="K39" s="715"/>
      <c r="L39" s="715"/>
      <c r="M39" s="715"/>
      <c r="N39" s="715"/>
    </row>
    <row r="40" spans="1:19" ht="14.5" customHeight="1">
      <c r="A40" s="777" t="s">
        <v>393</v>
      </c>
      <c r="B40" s="777"/>
      <c r="C40" s="777"/>
      <c r="D40" s="777"/>
      <c r="E40" s="777"/>
      <c r="F40" s="777"/>
      <c r="G40" s="777"/>
      <c r="H40" s="777"/>
      <c r="I40" s="777"/>
      <c r="J40" s="777"/>
      <c r="K40" s="777"/>
      <c r="L40" s="777"/>
      <c r="M40" s="777"/>
      <c r="N40" s="777"/>
    </row>
    <row r="41" spans="1:19" ht="14.5" customHeight="1">
      <c r="A41" s="716" t="s">
        <v>394</v>
      </c>
      <c r="B41" s="749"/>
      <c r="C41" s="749"/>
      <c r="D41" s="749"/>
      <c r="E41" s="749"/>
      <c r="F41" s="749"/>
      <c r="G41" s="749"/>
      <c r="H41" s="749"/>
      <c r="I41" s="749"/>
      <c r="J41" s="749"/>
      <c r="K41" s="749"/>
      <c r="L41" s="749"/>
      <c r="M41" s="749"/>
      <c r="N41" s="749"/>
    </row>
    <row r="42" spans="1:19" ht="14.5" customHeight="1">
      <c r="A42" s="749" t="s">
        <v>395</v>
      </c>
      <c r="B42" s="749"/>
      <c r="C42" s="749"/>
      <c r="D42" s="749"/>
      <c r="E42" s="749"/>
      <c r="F42" s="749"/>
      <c r="G42" s="749"/>
      <c r="H42" s="749"/>
      <c r="I42" s="749"/>
      <c r="J42" s="749"/>
      <c r="K42" s="749"/>
      <c r="L42" s="749"/>
      <c r="M42" s="749"/>
      <c r="N42" s="749"/>
    </row>
    <row r="43" spans="1:19" ht="16.5">
      <c r="A43" s="717" t="s">
        <v>396</v>
      </c>
      <c r="B43" s="749"/>
      <c r="C43" s="749"/>
      <c r="D43" s="749"/>
      <c r="E43" s="749"/>
      <c r="F43" s="749"/>
      <c r="G43" s="749"/>
      <c r="H43" s="749"/>
      <c r="I43" s="749"/>
      <c r="J43" s="749"/>
      <c r="K43" s="749"/>
      <c r="L43" s="749"/>
      <c r="M43" s="749"/>
      <c r="N43" s="749"/>
    </row>
    <row r="44" spans="1:19" ht="16.5">
      <c r="A44" s="717" t="s">
        <v>397</v>
      </c>
      <c r="B44" s="749"/>
      <c r="C44" s="749"/>
      <c r="D44" s="749"/>
      <c r="E44" s="749"/>
      <c r="F44" s="749"/>
      <c r="G44" s="749"/>
      <c r="H44" s="749"/>
      <c r="I44" s="749"/>
      <c r="J44" s="749"/>
      <c r="K44" s="749"/>
      <c r="L44" s="749"/>
      <c r="M44" s="749"/>
      <c r="N44" s="749"/>
    </row>
    <row r="45" spans="1:19" ht="14.5">
      <c r="A45" s="20" t="s">
        <v>398</v>
      </c>
    </row>
    <row r="46" spans="1:19" ht="16.5">
      <c r="A46" s="749" t="s">
        <v>399</v>
      </c>
    </row>
    <row r="47" spans="1:19" ht="14.5">
      <c r="A47" s="281" t="s">
        <v>76</v>
      </c>
      <c r="E47" s="140"/>
    </row>
    <row r="48" spans="1:19">
      <c r="H48" s="34"/>
    </row>
  </sheetData>
  <mergeCells count="1">
    <mergeCell ref="A40:N40"/>
  </mergeCells>
  <printOptions horizontalCentered="1"/>
  <pageMargins left="0" right="0" top="0.55000000000000004" bottom="0.17" header="0.3" footer="0.15"/>
  <pageSetup paperSize="5" scale="86" orientation="landscape" cellComments="atEnd" r:id="rId1"/>
  <headerFooter alignWithMargins="0">
    <oddHeader xml:space="preserve">&amp;C&amp;"Arial,Bold"
</oddHeader>
    <oddFooter>&amp;Rpage 12 of 12
&amp;A
&amp;D  &amp;T</oddFooter>
  </headerFooter>
  <customProperties>
    <customPr name="_pios_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E61"/>
  <sheetViews>
    <sheetView showGridLines="0" tabSelected="1" showRuler="0" zoomScale="110" zoomScaleNormal="110" zoomScaleSheetLayoutView="80" workbookViewId="0">
      <selection activeCell="A46" sqref="A46"/>
    </sheetView>
  </sheetViews>
  <sheetFormatPr defaultColWidth="9.1796875" defaultRowHeight="12.5"/>
  <cols>
    <col min="1" max="1" width="41.7265625" style="10" customWidth="1"/>
    <col min="2" max="2" width="11.26953125" style="10" customWidth="1"/>
    <col min="3" max="3" width="12.26953125" style="10" customWidth="1"/>
    <col min="4" max="4" width="12.7265625" style="10" customWidth="1"/>
    <col min="5" max="5" width="19.7265625" style="10" customWidth="1"/>
    <col min="6" max="6" width="10.1796875" style="10" customWidth="1"/>
    <col min="7" max="7" width="9.81640625" style="10" bestFit="1" customWidth="1"/>
    <col min="8" max="8" width="11.453125" style="10" customWidth="1"/>
    <col min="9" max="9" width="11.54296875" style="10" bestFit="1" customWidth="1"/>
    <col min="10" max="10" width="10.7265625" style="10" customWidth="1"/>
    <col min="11" max="14" width="12.54296875" style="10" customWidth="1"/>
    <col min="15" max="15" width="12.453125" style="10" customWidth="1"/>
    <col min="16" max="16" width="12.54296875" style="10" customWidth="1"/>
    <col min="17" max="17" width="10.7265625" style="10" customWidth="1"/>
    <col min="18" max="18" width="11" style="10" customWidth="1"/>
    <col min="19" max="19" width="11.26953125" style="10" customWidth="1"/>
    <col min="20" max="20" width="14.1796875" style="10" hidden="1" customWidth="1"/>
    <col min="21" max="21" width="9.7265625" style="10" customWidth="1"/>
    <col min="22" max="22" width="11.453125" style="10" customWidth="1"/>
    <col min="23" max="23" width="11" style="10" customWidth="1"/>
    <col min="24" max="25" width="9.7265625" style="10" customWidth="1"/>
    <col min="26" max="26" width="12.81640625" style="10" customWidth="1"/>
    <col min="27" max="27" width="8.81640625" style="10" bestFit="1" customWidth="1"/>
    <col min="28" max="28" width="10.54296875" style="10" customWidth="1"/>
    <col min="29" max="29" width="9.81640625" style="10" bestFit="1" customWidth="1"/>
    <col min="30" max="30" width="11.1796875" style="10" customWidth="1"/>
    <col min="31" max="31" width="9.81640625" style="10" bestFit="1" customWidth="1"/>
    <col min="32" max="32" width="10.81640625" style="10" customWidth="1"/>
    <col min="33" max="33" width="12.1796875" style="10" bestFit="1" customWidth="1"/>
    <col min="34" max="34" width="12.1796875" style="10" customWidth="1"/>
    <col min="35" max="35" width="9.54296875" style="10" bestFit="1" customWidth="1"/>
    <col min="36" max="36" width="11.1796875" style="10" customWidth="1"/>
    <col min="37" max="37" width="11.7265625" style="10" bestFit="1" customWidth="1"/>
    <col min="38" max="38" width="11.7265625" style="10" customWidth="1"/>
    <col min="39" max="16384" width="9.1796875" style="10"/>
  </cols>
  <sheetData>
    <row r="1" spans="1:31" ht="13">
      <c r="H1" s="175" t="s">
        <v>39</v>
      </c>
    </row>
    <row r="2" spans="1:31" ht="14.25" customHeight="1">
      <c r="H2" s="175" t="s">
        <v>40</v>
      </c>
      <c r="Q2" s="12"/>
      <c r="R2" s="102"/>
    </row>
    <row r="3" spans="1:31" ht="14.25" customHeight="1">
      <c r="C3" s="179"/>
      <c r="E3" s="179"/>
      <c r="G3" s="179"/>
      <c r="H3" s="178" t="s">
        <v>41</v>
      </c>
      <c r="I3" s="179"/>
    </row>
    <row r="4" spans="1:31" hidden="1">
      <c r="C4" s="10">
        <v>2</v>
      </c>
      <c r="D4" s="10">
        <f>C4</f>
        <v>2</v>
      </c>
      <c r="F4" s="10">
        <f>C4+1</f>
        <v>3</v>
      </c>
      <c r="G4" s="10">
        <f>F4</f>
        <v>3</v>
      </c>
      <c r="I4" s="10">
        <f>F4+1</f>
        <v>4</v>
      </c>
      <c r="J4" s="10">
        <f>I4</f>
        <v>4</v>
      </c>
      <c r="L4" s="10">
        <f>I4+1</f>
        <v>5</v>
      </c>
      <c r="M4" s="10">
        <f>L4</f>
        <v>5</v>
      </c>
      <c r="O4" s="10">
        <f>L4+1</f>
        <v>6</v>
      </c>
      <c r="P4" s="10">
        <f>O4</f>
        <v>6</v>
      </c>
      <c r="R4" s="10">
        <f>O4+1</f>
        <v>7</v>
      </c>
      <c r="S4" s="10">
        <f>R4</f>
        <v>7</v>
      </c>
    </row>
    <row r="5" spans="1:31" ht="13">
      <c r="C5" s="103"/>
    </row>
    <row r="6" spans="1:31" ht="13">
      <c r="A6" s="104"/>
      <c r="B6" s="105"/>
      <c r="C6" s="106" t="s">
        <v>42</v>
      </c>
      <c r="D6" s="105"/>
      <c r="E6" s="105"/>
      <c r="F6" s="105" t="s">
        <v>43</v>
      </c>
      <c r="G6" s="105"/>
      <c r="H6" s="105"/>
      <c r="I6" s="105" t="s">
        <v>44</v>
      </c>
      <c r="J6" s="105"/>
      <c r="K6" s="105"/>
      <c r="L6" s="105" t="s">
        <v>45</v>
      </c>
      <c r="M6" s="105"/>
      <c r="N6" s="105"/>
      <c r="O6" s="105" t="s">
        <v>31</v>
      </c>
      <c r="P6" s="105"/>
      <c r="Q6" s="105"/>
      <c r="R6" s="105" t="s">
        <v>46</v>
      </c>
      <c r="S6" s="105"/>
      <c r="T6" s="204"/>
    </row>
    <row r="7" spans="1:31" ht="42.5">
      <c r="A7" s="205" t="s">
        <v>47</v>
      </c>
      <c r="B7" s="226" t="s">
        <v>48</v>
      </c>
      <c r="C7" s="207" t="s">
        <v>49</v>
      </c>
      <c r="D7" s="196" t="s">
        <v>50</v>
      </c>
      <c r="E7" s="206" t="s">
        <v>48</v>
      </c>
      <c r="F7" s="207" t="s">
        <v>49</v>
      </c>
      <c r="G7" s="196" t="s">
        <v>50</v>
      </c>
      <c r="H7" s="208" t="s">
        <v>48</v>
      </c>
      <c r="I7" s="207" t="s">
        <v>49</v>
      </c>
      <c r="J7" s="196" t="s">
        <v>50</v>
      </c>
      <c r="K7" s="209" t="s">
        <v>6</v>
      </c>
      <c r="L7" s="207" t="s">
        <v>49</v>
      </c>
      <c r="M7" s="196" t="s">
        <v>51</v>
      </c>
      <c r="N7" s="209" t="s">
        <v>52</v>
      </c>
      <c r="O7" s="207" t="s">
        <v>49</v>
      </c>
      <c r="P7" s="196" t="s">
        <v>51</v>
      </c>
      <c r="Q7" s="208" t="s">
        <v>6</v>
      </c>
      <c r="R7" s="207" t="s">
        <v>49</v>
      </c>
      <c r="S7" s="196" t="s">
        <v>51</v>
      </c>
      <c r="T7" s="196" t="s">
        <v>53</v>
      </c>
    </row>
    <row r="8" spans="1:31" ht="12.75" customHeight="1">
      <c r="A8" s="189" t="s">
        <v>54</v>
      </c>
      <c r="B8" s="210"/>
      <c r="C8" s="210"/>
      <c r="D8" s="211"/>
      <c r="E8" s="212"/>
      <c r="F8" s="210"/>
      <c r="G8" s="211"/>
      <c r="H8" s="212"/>
      <c r="I8" s="210"/>
      <c r="J8" s="210"/>
      <c r="K8" s="212"/>
      <c r="L8" s="210"/>
      <c r="M8" s="213"/>
      <c r="N8" s="212"/>
      <c r="O8" s="210"/>
      <c r="P8" s="213"/>
      <c r="Q8" s="212"/>
      <c r="R8" s="210"/>
      <c r="S8" s="213"/>
      <c r="T8" s="214"/>
    </row>
    <row r="9" spans="1:31">
      <c r="A9" s="101" t="s">
        <v>8</v>
      </c>
      <c r="B9" s="119">
        <v>5</v>
      </c>
      <c r="C9" s="515">
        <f>B9*(INDEX('Ex ante LI &amp; Eligibility Stats'!$A:$M,MATCH('Program MW '!$A9,'Ex ante LI &amp; Eligibility Stats'!$A:$A,0),MATCH('Program MW '!C$6,'Ex ante LI &amp; Eligibility Stats'!$A$8:$M$8,0))/1000)</f>
        <v>8.6526428699493396E-2</v>
      </c>
      <c r="D9" s="511">
        <f>B9*(INDEX('Ex post LI &amp; Eligibility Stats'!$A:$N,MATCH($A9,'Ex post LI &amp; Eligibility Stats'!$A:$A,0),MATCH('Program MW '!C$6,'Ex post LI &amp; Eligibility Stats'!$A$8:$N$8,0))/1000)</f>
        <v>2.1189744567871092</v>
      </c>
      <c r="E9" s="14">
        <v>5</v>
      </c>
      <c r="F9" s="511">
        <f>E9*(INDEX('Ex ante LI &amp; Eligibility Stats'!$A:$M,MATCH('Program MW '!$A9,'Ex ante LI &amp; Eligibility Stats'!$A:$A,0),MATCH('Program MW '!F$6,'Ex ante LI &amp; Eligibility Stats'!$A$8:$M$8,0))/1000)</f>
        <v>0.18589048194885255</v>
      </c>
      <c r="G9" s="511">
        <f>E9*(INDEX('Ex post LI &amp; Eligibility Stats'!$A:$N,MATCH($A9,'Ex post LI &amp; Eligibility Stats'!$A:$A,0),MATCH('Program MW '!F$6,'Ex post LI &amp; Eligibility Stats'!$A$8:$N$8,0))/1000)</f>
        <v>2.1189744567871092</v>
      </c>
      <c r="H9" s="14">
        <v>5</v>
      </c>
      <c r="I9" s="516">
        <f>H9*(INDEX('Ex ante LI &amp; Eligibility Stats'!$A:$M,MATCH('Program MW '!$A9,'Ex ante LI &amp; Eligibility Stats'!$A:$A,0),MATCH('Program MW '!I$6,'Ex ante LI &amp; Eligibility Stats'!$A$8:$M$8,0))/1000)</f>
        <v>0.88712742614746087</v>
      </c>
      <c r="J9" s="511">
        <f>H9*(INDEX('Ex post LI &amp; Eligibility Stats'!$A:$N,MATCH($A9,'Ex post LI &amp; Eligibility Stats'!$A:$A,0),MATCH('Program MW '!I$6,'Ex post LI &amp; Eligibility Stats'!$A$8:$N$8,0))/1000)</f>
        <v>1.8946270948648452</v>
      </c>
      <c r="K9" s="14">
        <v>5</v>
      </c>
      <c r="L9" s="511">
        <f>K9*(INDEX('Ex ante LI &amp; Eligibility Stats'!$A:$M,MATCH('Program MW '!$A9,'Ex ante LI &amp; Eligibility Stats'!$A:$A,0),MATCH('Program MW '!L$6,'Ex ante LI &amp; Eligibility Stats'!$A$8:$M$8,0))/1000)</f>
        <v>0.73273989105224624</v>
      </c>
      <c r="M9" s="511">
        <f>K9*(INDEX('Ex post LI &amp; Eligibility Stats'!$A:$N,MATCH($A9,'Ex post LI &amp; Eligibility Stats'!$A:$A,0),MATCH('Program MW '!L$6,'Ex post LI &amp; Eligibility Stats'!$A$8:$N$8,0))/1000)</f>
        <v>1.8946270948648452</v>
      </c>
      <c r="N9" s="14">
        <v>5</v>
      </c>
      <c r="O9" s="511">
        <f>N9*(INDEX('Ex ante LI &amp; Eligibility Stats'!$A:$M,MATCH('Program MW '!$A9,'Ex ante LI &amp; Eligibility Stats'!$A:$A,0),MATCH('Program MW '!O$6,'Ex ante LI &amp; Eligibility Stats'!$A$8:$M$8,0))/1000)</f>
        <v>0.80196355438232425</v>
      </c>
      <c r="P9" s="511">
        <f>N9*(INDEX('Ex post LI &amp; Eligibility Stats'!$A:$N,MATCH($A9,'Ex post LI &amp; Eligibility Stats'!$A:$A,0),MATCH('Program MW '!O$6,'Ex post LI &amp; Eligibility Stats'!$A$8:$N$8,0))/1000)</f>
        <v>1.8946270948648452</v>
      </c>
      <c r="Q9" s="141">
        <v>5</v>
      </c>
      <c r="R9" s="511">
        <f>Q9*(INDEX('Ex ante LI &amp; Eligibility Stats'!$A:$M,MATCH('Program MW '!$A9,'Ex ante LI &amp; Eligibility Stats'!$A:$A,0),MATCH('Program MW '!R$6,'Ex ante LI &amp; Eligibility Stats'!$A$8:$M$8,0))/1000)</f>
        <v>0.72158874511718751</v>
      </c>
      <c r="S9" s="512">
        <f>Q9*(INDEX('Ex post LI &amp; Eligibility Stats'!$A:$N,MATCH($A9,'Ex post LI &amp; Eligibility Stats'!$A:$A,0),MATCH('Program MW '!R$6,'Ex post LI &amp; Eligibility Stats'!$A$8:$N$8,0))/1000)</f>
        <v>1.8946270948648452</v>
      </c>
      <c r="T9" s="4">
        <v>5276</v>
      </c>
    </row>
    <row r="10" spans="1:31" ht="16.5" customHeight="1" thickBot="1">
      <c r="A10" s="215" t="s">
        <v>55</v>
      </c>
      <c r="B10" s="181">
        <f t="shared" ref="B10:S10" si="0">SUM(B9:B9)</f>
        <v>5</v>
      </c>
      <c r="C10" s="199">
        <f t="shared" si="0"/>
        <v>8.6526428699493396E-2</v>
      </c>
      <c r="D10" s="199">
        <f t="shared" si="0"/>
        <v>2.1189744567871092</v>
      </c>
      <c r="E10" s="1">
        <f t="shared" si="0"/>
        <v>5</v>
      </c>
      <c r="F10" s="267">
        <f t="shared" si="0"/>
        <v>0.18589048194885255</v>
      </c>
      <c r="G10" s="267">
        <f t="shared" si="0"/>
        <v>2.1189744567871092</v>
      </c>
      <c r="H10" s="1">
        <f t="shared" si="0"/>
        <v>5</v>
      </c>
      <c r="I10" s="267">
        <f t="shared" si="0"/>
        <v>0.88712742614746087</v>
      </c>
      <c r="J10" s="267">
        <f t="shared" si="0"/>
        <v>1.8946270948648452</v>
      </c>
      <c r="K10" s="1">
        <f>SUM(K9)</f>
        <v>5</v>
      </c>
      <c r="L10" s="273">
        <f t="shared" si="0"/>
        <v>0.73273989105224624</v>
      </c>
      <c r="M10" s="273">
        <f t="shared" si="0"/>
        <v>1.8946270948648452</v>
      </c>
      <c r="N10" s="1">
        <f t="shared" si="0"/>
        <v>5</v>
      </c>
      <c r="O10" s="267">
        <f t="shared" si="0"/>
        <v>0.80196355438232425</v>
      </c>
      <c r="P10" s="267">
        <f t="shared" si="0"/>
        <v>1.8946270948648452</v>
      </c>
      <c r="Q10" s="142">
        <f t="shared" si="0"/>
        <v>5</v>
      </c>
      <c r="R10" s="295">
        <f t="shared" si="0"/>
        <v>0.72158874511718751</v>
      </c>
      <c r="S10" s="294">
        <f t="shared" si="0"/>
        <v>1.8946270948648452</v>
      </c>
      <c r="T10" s="5"/>
    </row>
    <row r="11" spans="1:31" ht="16.5" customHeight="1" thickTop="1">
      <c r="A11" s="189" t="s">
        <v>56</v>
      </c>
      <c r="B11" s="200"/>
      <c r="C11" s="198"/>
      <c r="D11" s="201"/>
      <c r="E11" s="216"/>
      <c r="F11" s="217"/>
      <c r="G11" s="218"/>
      <c r="H11" s="216"/>
      <c r="I11" s="219"/>
      <c r="J11" s="218"/>
      <c r="K11" s="216"/>
      <c r="L11" s="219"/>
      <c r="M11" s="218"/>
      <c r="N11" s="216"/>
      <c r="O11" s="519"/>
      <c r="P11" s="520"/>
      <c r="Q11" s="220"/>
      <c r="R11" s="219"/>
      <c r="S11" s="221"/>
      <c r="T11" s="214"/>
      <c r="Y11" s="6"/>
      <c r="Z11" s="6"/>
      <c r="AA11" s="6"/>
      <c r="AB11" s="6"/>
      <c r="AC11" s="6"/>
      <c r="AD11" s="6"/>
      <c r="AE11" s="6"/>
    </row>
    <row r="12" spans="1:31">
      <c r="A12" s="58" t="s">
        <v>11</v>
      </c>
      <c r="B12" s="185">
        <v>10620</v>
      </c>
      <c r="C12" s="511">
        <f>B12*(INDEX('Ex ante LI &amp; Eligibility Stats'!$A:$M,MATCH($A12,'Ex ante LI &amp; Eligibility Stats'!$A:$A,0),MATCH('Program MW '!C$6,'Ex ante LI &amp; Eligibility Stats'!$A$8:$M$8,0))/1000)</f>
        <v>7.6900502713322636</v>
      </c>
      <c r="D12" s="510">
        <f>B12*(INDEX('Ex post LI &amp; Eligibility Stats'!$A:$N,MATCH($A12,'Ex post LI &amp; Eligibility Stats'!$A:$A,0),MATCH('Program MW '!C$6,'Ex post LI &amp; Eligibility Stats'!$A$8:$N$8,0))/1000)</f>
        <v>15.461432161331176</v>
      </c>
      <c r="E12" s="185">
        <v>14755</v>
      </c>
      <c r="F12" s="509">
        <f>E12*(INDEX('Ex ante LI &amp; Eligibility Stats'!$A:$M,MATCH($A12,'Ex ante LI &amp; Eligibility Stats'!$A:$A,0),MATCH('Program MW '!F$6,'Ex ante LI &amp; Eligibility Stats'!$A$8:$M$8,0))/1000)</f>
        <v>10.836173243835569</v>
      </c>
      <c r="G12" s="510">
        <f>E12*(INDEX('Ex post LI &amp; Eligibility Stats'!$A:$N,MATCH($A12,'Ex post LI &amp; Eligibility Stats'!$A:$A,0),MATCH('Program MW '!F$6,'Ex post LI &amp; Eligibility Stats'!$A$8:$N$8,0))/1000)</f>
        <v>21.481490728855132</v>
      </c>
      <c r="H12" s="185">
        <v>14765</v>
      </c>
      <c r="I12" s="509">
        <f>H12*(INDEX('Ex ante LI &amp; Eligibility Stats'!$A:$M,MATCH('Program MW '!$A12,'Ex ante LI &amp; Eligibility Stats'!$A:$A,0),MATCH('Program MW '!I$6,'Ex ante LI &amp; Eligibility Stats'!$A$8:$M$8,0))/1000)</f>
        <v>0</v>
      </c>
      <c r="J12" s="510">
        <f>H12*(INDEX('Ex post LI &amp; Eligibility Stats'!$A:$N,MATCH($A12,'Ex post LI &amp; Eligibility Stats'!$A:$A,0),MATCH('Program MW '!I$6,'Ex post LI &amp; Eligibility Stats'!$A$8:$N$8,0))/1000)</f>
        <v>9.2461620962638182</v>
      </c>
      <c r="K12" s="185">
        <v>14667</v>
      </c>
      <c r="L12" s="509">
        <f>K12*(INDEX('Ex ante LI &amp; Eligibility Stats'!$A:$M,MATCH('Program MW '!$A12,'Ex ante LI &amp; Eligibility Stats'!$A:$A,0),MATCH('Program MW '!L$6,'Ex ante LI &amp; Eligibility Stats'!$A$8:$M$8,0))/1000)</f>
        <v>0</v>
      </c>
      <c r="M12" s="510">
        <f>K12*(INDEX('Ex post LI &amp; Eligibility Stats'!$A:$N,MATCH($A12,'Ex post LI &amp; Eligibility Stats'!$A:$A,0),MATCH('Program MW '!L$6,'Ex post LI &amp; Eligibility Stats'!$A$8:$N$8,0))/1000)</f>
        <v>9.1847923783204486</v>
      </c>
      <c r="N12" s="650">
        <v>14662</v>
      </c>
      <c r="O12" s="511">
        <f>N12*(INDEX('Ex ante LI &amp; Eligibility Stats'!$A:$M,MATCH('Program MW '!$A12,'Ex ante LI &amp; Eligibility Stats'!$A:$A,0),MATCH('Program MW '!O$6,'Ex ante LI &amp; Eligibility Stats'!$A$8:$M$8,0))/1000)</f>
        <v>0.74176284156121441</v>
      </c>
      <c r="P12" s="511">
        <f>N12*(INDEX('Ex post LI &amp; Eligibility Stats'!$A:$N,MATCH($A12,'Ex post LI &amp; Eligibility Stats'!$A:$A,0),MATCH('Program MW '!O$6,'Ex post LI &amp; Eligibility Stats'!$A$8:$N$8,0))/1000)</f>
        <v>9.1816612702621132</v>
      </c>
      <c r="Q12" s="185">
        <v>14663</v>
      </c>
      <c r="R12" s="517">
        <f>Q12*(INDEX('Ex ante LI &amp; Eligibility Stats'!$A:$M,MATCH('Program MW '!$A12,'Ex ante LI &amp; Eligibility Stats'!$A:$A,0),MATCH('Program MW '!R$6,'Ex ante LI &amp; Eligibility Stats'!$A$8:$M$8,0))/1000)</f>
        <v>0</v>
      </c>
      <c r="S12" s="512">
        <f>Q12*(INDEX('Ex post LI &amp; Eligibility Stats'!$A:$N,MATCH($A12,'Ex post LI &amp; Eligibility Stats'!$A:$A,0),MATCH('Program MW '!R$6,'Ex post LI &amp; Eligibility Stats'!$A$8:$N$8,0))/1000)</f>
        <v>9.1822874918737796</v>
      </c>
      <c r="T12" s="7">
        <v>138123</v>
      </c>
      <c r="U12" s="6"/>
      <c r="V12" s="6"/>
      <c r="W12" s="6"/>
      <c r="X12" s="6"/>
      <c r="Y12" s="6"/>
      <c r="Z12" s="6"/>
      <c r="AA12" s="6"/>
      <c r="AB12" s="6"/>
      <c r="AC12" s="6"/>
      <c r="AD12" s="6"/>
      <c r="AE12" s="6"/>
    </row>
    <row r="13" spans="1:31">
      <c r="A13" s="238" t="s">
        <v>12</v>
      </c>
      <c r="B13" s="239">
        <v>0</v>
      </c>
      <c r="C13" s="511">
        <v>0</v>
      </c>
      <c r="D13" s="512">
        <v>0</v>
      </c>
      <c r="E13" s="239">
        <v>0</v>
      </c>
      <c r="F13" s="511">
        <v>0</v>
      </c>
      <c r="G13" s="512">
        <v>0</v>
      </c>
      <c r="H13" s="239">
        <v>0</v>
      </c>
      <c r="I13" s="511">
        <v>0</v>
      </c>
      <c r="J13" s="512">
        <v>0</v>
      </c>
      <c r="K13" s="239">
        <v>0</v>
      </c>
      <c r="L13" s="511">
        <v>0</v>
      </c>
      <c r="M13" s="512">
        <v>0</v>
      </c>
      <c r="N13" s="239">
        <v>0</v>
      </c>
      <c r="O13" s="511">
        <v>0</v>
      </c>
      <c r="P13" s="512">
        <v>0</v>
      </c>
      <c r="Q13" s="239">
        <v>0</v>
      </c>
      <c r="R13" s="517">
        <v>0</v>
      </c>
      <c r="S13" s="512">
        <v>0</v>
      </c>
      <c r="T13" s="4"/>
      <c r="U13" s="6"/>
      <c r="V13" s="6"/>
      <c r="W13" s="6"/>
      <c r="X13" s="6"/>
      <c r="Y13" s="6"/>
      <c r="Z13" s="6"/>
      <c r="AA13" s="6"/>
      <c r="AB13" s="6"/>
      <c r="AC13" s="6"/>
      <c r="AD13" s="6"/>
      <c r="AE13" s="6"/>
    </row>
    <row r="14" spans="1:31">
      <c r="A14" s="190" t="s">
        <v>14</v>
      </c>
      <c r="B14" s="186">
        <v>0</v>
      </c>
      <c r="C14" s="511">
        <v>0</v>
      </c>
      <c r="D14" s="512">
        <v>0</v>
      </c>
      <c r="E14" s="186">
        <v>0</v>
      </c>
      <c r="F14" s="511">
        <v>0</v>
      </c>
      <c r="G14" s="512">
        <v>0</v>
      </c>
      <c r="H14" s="186">
        <v>0</v>
      </c>
      <c r="I14" s="511">
        <v>0</v>
      </c>
      <c r="J14" s="512">
        <v>0</v>
      </c>
      <c r="K14" s="186">
        <v>0</v>
      </c>
      <c r="L14" s="511">
        <v>0</v>
      </c>
      <c r="M14" s="512">
        <v>0</v>
      </c>
      <c r="N14" s="186">
        <v>0</v>
      </c>
      <c r="O14" s="511">
        <v>0</v>
      </c>
      <c r="P14" s="512">
        <v>0</v>
      </c>
      <c r="Q14" s="186">
        <v>1</v>
      </c>
      <c r="R14" s="517">
        <v>0</v>
      </c>
      <c r="S14" s="512">
        <v>0</v>
      </c>
      <c r="T14" s="4"/>
      <c r="U14" s="6"/>
      <c r="V14" s="6"/>
      <c r="W14" s="6"/>
      <c r="X14" s="6"/>
      <c r="Y14" s="6"/>
      <c r="Z14" s="6"/>
      <c r="AA14" s="6"/>
      <c r="AB14" s="6"/>
      <c r="AC14" s="6"/>
      <c r="AD14" s="6"/>
      <c r="AE14" s="6"/>
    </row>
    <row r="15" spans="1:31">
      <c r="A15" s="238" t="s">
        <v>15</v>
      </c>
      <c r="B15" s="186">
        <v>0</v>
      </c>
      <c r="C15" s="511">
        <v>0</v>
      </c>
      <c r="D15" s="512">
        <v>0</v>
      </c>
      <c r="E15" s="186">
        <v>0</v>
      </c>
      <c r="F15" s="511">
        <v>0</v>
      </c>
      <c r="G15" s="512">
        <v>0</v>
      </c>
      <c r="H15" s="186">
        <v>0</v>
      </c>
      <c r="I15" s="511">
        <v>0</v>
      </c>
      <c r="J15" s="512">
        <v>0</v>
      </c>
      <c r="K15" s="186">
        <v>0</v>
      </c>
      <c r="L15" s="511">
        <v>0</v>
      </c>
      <c r="M15" s="512">
        <v>0</v>
      </c>
      <c r="N15" s="186">
        <v>0</v>
      </c>
      <c r="O15" s="511">
        <v>0</v>
      </c>
      <c r="P15" s="511">
        <v>0</v>
      </c>
      <c r="Q15" s="186">
        <v>0</v>
      </c>
      <c r="R15" s="517">
        <v>0</v>
      </c>
      <c r="S15" s="512">
        <v>0</v>
      </c>
      <c r="T15" s="4"/>
      <c r="U15" s="6"/>
      <c r="V15" s="6"/>
      <c r="W15" s="6"/>
      <c r="X15" s="6"/>
      <c r="Y15" s="6"/>
      <c r="Z15" s="6"/>
      <c r="AA15" s="6"/>
      <c r="AB15" s="6"/>
      <c r="AC15" s="6"/>
      <c r="AD15" s="6"/>
      <c r="AE15" s="6"/>
    </row>
    <row r="16" spans="1:31">
      <c r="A16" s="349" t="s">
        <v>17</v>
      </c>
      <c r="B16" s="186">
        <v>16888</v>
      </c>
      <c r="C16" s="511">
        <f>B16*(INDEX('Ex ante LI &amp; Eligibility Stats'!$A:$M,MATCH($A16,'Ex ante LI &amp; Eligibility Stats'!$A:$A,0),MATCH('Program MW '!C$6,'Ex ante LI &amp; Eligibility Stats'!$A$8:$M$8,0))/1000)</f>
        <v>0</v>
      </c>
      <c r="D16" s="512">
        <f>B16*(INDEX('Ex post LI &amp; Eligibility Stats'!$A:$N,MATCH($A16,'Ex post LI &amp; Eligibility Stats'!$A:$A,0),MATCH('Program MW '!C$6,'Ex post LI &amp; Eligibility Stats'!$A$8:$N$8,0))/1000)</f>
        <v>7.1981018452087442</v>
      </c>
      <c r="E16" s="186">
        <v>17063</v>
      </c>
      <c r="F16" s="511">
        <f>E16*(INDEX('Ex ante LI &amp; Eligibility Stats'!$A:$M,MATCH($A16,'Ex ante LI &amp; Eligibility Stats'!$A:$A,0),MATCH('Program MW '!F$6,'Ex ante LI &amp; Eligibility Stats'!$A$8:$M$8,0))/1000)</f>
        <v>0</v>
      </c>
      <c r="G16" s="512">
        <f>E16*(INDEX('Ex post LI &amp; Eligibility Stats'!$A:$N,MATCH($A16,'Ex post LI &amp; Eligibility Stats'!$A:$A,0),MATCH('Program MW '!F$6,'Ex post LI &amp; Eligibility Stats'!$A$8:$N$8,0))/1000)</f>
        <v>7.2726913657506405</v>
      </c>
      <c r="H16" s="186">
        <v>17168</v>
      </c>
      <c r="I16" s="511">
        <f>H16*(INDEX('Ex ante LI &amp; Eligibility Stats'!$A:$M,MATCH('Program MW '!$A16,'Ex ante LI &amp; Eligibility Stats'!$A:$A,0),MATCH('Program MW '!I$6,'Ex ante LI &amp; Eligibility Stats'!$A$8:$M$8,0))/1000)</f>
        <v>2.4588118769020852E-4</v>
      </c>
      <c r="J16" s="512">
        <f>H16*(INDEX('Ex post LI &amp; Eligibility Stats'!$A:$N,MATCH($A16,'Ex post LI &amp; Eligibility Stats'!$A:$A,0),MATCH('Program MW '!I$6,'Ex post LI &amp; Eligibility Stats'!$A$8:$N$8,0))/1000)</f>
        <v>2.7737791291887173</v>
      </c>
      <c r="K16" s="186">
        <v>17291</v>
      </c>
      <c r="L16" s="511">
        <f>K16*(INDEX('Ex ante LI &amp; Eligibility Stats'!$A:$M,MATCH('Program MW '!$A16,'Ex ante LI &amp; Eligibility Stats'!$A:$A,0),MATCH('Program MW '!L$6,'Ex ante LI &amp; Eligibility Stats'!$A$8:$M$8,0))/1000)</f>
        <v>2.5672644788432204</v>
      </c>
      <c r="M16" s="512">
        <f>K16*(INDEX('Ex post LI &amp; Eligibility Stats'!$A:$N,MATCH($A16,'Ex post LI &amp; Eligibility Stats'!$A:$A,0),MATCH('Program MW '!L$6,'Ex post LI &amp; Eligibility Stats'!$A$8:$N$8,0))/1000)</f>
        <v>2.7936518477867027</v>
      </c>
      <c r="N16" s="186">
        <v>17408</v>
      </c>
      <c r="O16" s="511">
        <f>N16*(INDEX('Ex ante LI &amp; Eligibility Stats'!$A:$M,MATCH('Program MW '!$A16,'Ex ante LI &amp; Eligibility Stats'!$A:$A,0),MATCH('Program MW '!O$6,'Ex ante LI &amp; Eligibility Stats'!$A$8:$M$8,0))/1000)</f>
        <v>2.7675933089497158</v>
      </c>
      <c r="P16" s="511">
        <f>N16*(INDEX('Ex post LI &amp; Eligibility Stats'!$A:$N,MATCH($A16,'Ex post LI &amp; Eligibility Stats'!$A:$A,0),MATCH('Program MW '!O$6,'Ex post LI &amp; Eligibility Stats'!$A$8:$N$8,0))/1000)</f>
        <v>2.8125551654774692</v>
      </c>
      <c r="Q16" s="186">
        <v>17804</v>
      </c>
      <c r="R16" s="517">
        <f>Q16*(INDEX('Ex ante LI &amp; Eligibility Stats'!$A:$M,MATCH('Program MW '!$A16,'Ex ante LI &amp; Eligibility Stats'!$A:$A,0),MATCH('Program MW '!R$6,'Ex ante LI &amp; Eligibility Stats'!$A$8:$M$8,0))/1000)</f>
        <v>2.7454775762541388</v>
      </c>
      <c r="S16" s="512">
        <f>Q16*(INDEX('Ex post LI &amp; Eligibility Stats'!$A:$N,MATCH($A16,'Ex post LI &amp; Eligibility Stats'!$A:$A,0),MATCH('Program MW '!R$6,'Ex post LI &amp; Eligibility Stats'!$A$8:$N$8,0))/1000)</f>
        <v>2.8765356253539101</v>
      </c>
      <c r="T16" s="4">
        <v>663393.5</v>
      </c>
      <c r="U16" s="6"/>
      <c r="V16" s="6"/>
      <c r="W16" s="6"/>
      <c r="X16" s="6"/>
      <c r="Y16" s="6"/>
      <c r="Z16" s="6"/>
      <c r="AA16" s="6"/>
      <c r="AB16" s="6"/>
      <c r="AC16" s="6"/>
      <c r="AD16" s="6"/>
      <c r="AE16" s="6"/>
    </row>
    <row r="17" spans="1:31">
      <c r="A17" s="183" t="s">
        <v>20</v>
      </c>
      <c r="B17" s="186">
        <v>1561</v>
      </c>
      <c r="C17" s="511">
        <f>B17*(INDEX('Ex ante LI &amp; Eligibility Stats'!$A:$M,MATCH($A17,'Ex ante LI &amp; Eligibility Stats'!$A:$A,0),MATCH('Program MW '!C$6,'Ex ante LI &amp; Eligibility Stats'!$A$8:$M$8,0))/1000)</f>
        <v>0</v>
      </c>
      <c r="D17" s="512">
        <f>B17*(INDEX('Ex post LI &amp; Eligibility Stats'!$A:$N,MATCH($A17,'Ex post LI &amp; Eligibility Stats'!$A:$A,0),MATCH('Program MW '!C$6,'Ex post LI &amp; Eligibility Stats'!$A$8:$N$8,0))/1000)</f>
        <v>1.9064256763458249</v>
      </c>
      <c r="E17" s="186">
        <v>1565</v>
      </c>
      <c r="F17" s="511">
        <f>E17*(INDEX('Ex ante LI &amp; Eligibility Stats'!$A:$M,MATCH($A17,'Ex ante LI &amp; Eligibility Stats'!$A:$A,0),MATCH('Program MW '!F$6,'Ex ante LI &amp; Eligibility Stats'!$A$8:$M$8,0))/1000)</f>
        <v>0</v>
      </c>
      <c r="G17" s="512">
        <f>E17*(INDEX('Ex post LI &amp; Eligibility Stats'!$A:$N,MATCH($A17,'Ex post LI &amp; Eligibility Stats'!$A:$A,0),MATCH('Program MW '!F$6,'Ex post LI &amp; Eligibility Stats'!$A$8:$N$8,0))/1000)</f>
        <v>1.9113108158111571</v>
      </c>
      <c r="H17" s="186">
        <v>1567</v>
      </c>
      <c r="I17" s="511">
        <f>H17*(INDEX('Ex ante LI &amp; Eligibility Stats'!$A:$M,MATCH('Program MW '!$A17,'Ex ante LI &amp; Eligibility Stats'!$A:$A,0),MATCH('Program MW '!I$6,'Ex ante LI &amp; Eligibility Stats'!$A$8:$M$8,0))/1000)</f>
        <v>2.2442673643438767E-5</v>
      </c>
      <c r="J17" s="512">
        <f>H17*(INDEX('Ex post LI &amp; Eligibility Stats'!$A:$N,MATCH($A17,'Ex post LI &amp; Eligibility Stats'!$A:$A,0),MATCH('Program MW '!I$6,'Ex post LI &amp; Eligibility Stats'!$A$8:$N$8,0))/1000)</f>
        <v>0.74242330313986338</v>
      </c>
      <c r="K17" s="186">
        <v>1569</v>
      </c>
      <c r="L17" s="511">
        <f>K17*(INDEX('Ex ante LI &amp; Eligibility Stats'!$A:$M,MATCH('Program MW '!$A17,'Ex ante LI &amp; Eligibility Stats'!$A:$A,0),MATCH('Program MW '!L$6,'Ex ante LI &amp; Eligibility Stats'!$A$8:$M$8,0))/1000)</f>
        <v>0.28391220845971138</v>
      </c>
      <c r="M17" s="512">
        <f>K17*(INDEX('Ex post LI &amp; Eligibility Stats'!$A:$N,MATCH($A17,'Ex post LI &amp; Eligibility Stats'!$A:$A,0),MATCH('Program MW '!L$6,'Ex post LI &amp; Eligibility Stats'!$A$8:$N$8,0))/1000)</f>
        <v>0.74337087595816564</v>
      </c>
      <c r="N17" s="186">
        <v>1570</v>
      </c>
      <c r="O17" s="511">
        <f>N17*(INDEX('Ex ante LI &amp; Eligibility Stats'!$A:$M,MATCH('Program MW '!$A17,'Ex ante LI &amp; Eligibility Stats'!$A:$A,0),MATCH('Program MW '!O$6,'Ex ante LI &amp; Eligibility Stats'!$A$8:$M$8,0))/1000)</f>
        <v>0.50066376281603642</v>
      </c>
      <c r="P17" s="511">
        <f>N17*(INDEX('Ex post LI &amp; Eligibility Stats'!$A:$N,MATCH($A17,'Ex post LI &amp; Eligibility Stats'!$A:$A,0),MATCH('Program MW '!O$6,'Ex post LI &amp; Eligibility Stats'!$A$8:$N$8,0))/1000)</f>
        <v>0.74384466236731683</v>
      </c>
      <c r="Q17" s="186">
        <v>1582</v>
      </c>
      <c r="R17" s="517">
        <f>Q17*(INDEX('Ex ante LI &amp; Eligibility Stats'!$A:$M,MATCH('Program MW '!$A17,'Ex ante LI &amp; Eligibility Stats'!$A:$A,0),MATCH('Program MW '!R$6,'Ex ante LI &amp; Eligibility Stats'!$A$8:$M$8,0))/1000)</f>
        <v>0.43335979005094349</v>
      </c>
      <c r="S17" s="512">
        <f>Q17*(INDEX('Ex post LI &amp; Eligibility Stats'!$A:$N,MATCH($A17,'Ex post LI &amp; Eligibility Stats'!$A:$A,0),MATCH('Program MW '!R$6,'Ex post LI &amp; Eligibility Stats'!$A$8:$N$8,0))/1000)</f>
        <v>0.74953009927713066</v>
      </c>
      <c r="T17" s="4"/>
      <c r="U17" s="6"/>
      <c r="V17" s="6"/>
      <c r="W17" s="6"/>
      <c r="X17" s="6"/>
      <c r="Y17" s="6"/>
      <c r="Z17" s="6"/>
      <c r="AA17" s="6"/>
      <c r="AB17" s="6"/>
      <c r="AC17" s="6"/>
      <c r="AD17" s="6"/>
      <c r="AE17" s="6"/>
    </row>
    <row r="18" spans="1:31">
      <c r="A18" s="349" t="s">
        <v>21</v>
      </c>
      <c r="B18" s="648">
        <v>10129</v>
      </c>
      <c r="C18" s="511">
        <f>B18*(INDEX('Ex ante LI &amp; Eligibility Stats'!$A:$M,MATCH($A18,'Ex ante LI &amp; Eligibility Stats'!$A:$A,0),MATCH('Program MW '!C$6,'Ex ante LI &amp; Eligibility Stats'!$A$8:$M$8,0))/1000)</f>
        <v>0</v>
      </c>
      <c r="D18" s="511">
        <f>B18*(INDEX('Ex post LI &amp; Eligibility Stats'!$A:$N,MATCH($A41,'Ex post LI &amp; Eligibility Stats'!$A:$A,0),MATCH('Program MW '!C$29,'Ex post LI &amp; Eligibility Stats'!$A$8:$N$8,0))/1000)</f>
        <v>2.4986364070499998</v>
      </c>
      <c r="E18" s="645">
        <v>10480</v>
      </c>
      <c r="F18" s="511">
        <f>E18*(INDEX('Ex ante LI &amp; Eligibility Stats'!$A:$M,MATCH($A18,'Ex ante LI &amp; Eligibility Stats'!$A:$A,0),MATCH('Program MW '!F$6,'Ex ante LI &amp; Eligibility Stats'!$A$8:$M$8,0))/1000)</f>
        <v>0</v>
      </c>
      <c r="G18" s="512">
        <f>E18*(INDEX('Ex post LI &amp; Eligibility Stats'!$A:$N,MATCH($A18,'Ex post LI &amp; Eligibility Stats'!$A:$A,0),MATCH('Program MW '!F$6,'Ex post LI &amp; Eligibility Stats'!$A$8:$N$8,0))/1000)</f>
        <v>4.3532002160000003</v>
      </c>
      <c r="H18" s="645">
        <v>10206</v>
      </c>
      <c r="I18" s="511">
        <f>H18*(INDEX('Ex ante LI &amp; Eligibility Stats'!$A:$M,MATCH('Program MW '!$A18,'Ex ante LI &amp; Eligibility Stats'!$A:$A,0),MATCH('Program MW '!I$6,'Ex ante LI &amp; Eligibility Stats'!$A$8:$M$8,0))/1000)</f>
        <v>1.4617098098591963E-4</v>
      </c>
      <c r="J18" s="512">
        <f>H18*(INDEX('Ex post LI &amp; Eligibility Stats'!$A:$N,MATCH($A18,'Ex post LI &amp; Eligibility Stats'!$A:$A,0),MATCH('Program MW '!I$6,'Ex post LI &amp; Eligibility Stats'!$A$8:$N$8,0))/1000)</f>
        <v>2.5176308786999999</v>
      </c>
      <c r="K18" s="645">
        <v>10107</v>
      </c>
      <c r="L18" s="511">
        <f>K18*(INDEX('Ex ante LI &amp; Eligibility Stats'!$A:$M,MATCH('Program MW '!$A18,'Ex ante LI &amp; Eligibility Stats'!$A:$A,0),MATCH('Program MW '!L$6,'Ex ante LI &amp; Eligibility Stats'!$A$8:$M$8,0))/1000)</f>
        <v>0</v>
      </c>
      <c r="M18" s="512">
        <f>K18*(INDEX('Ex post LI &amp; Eligibility Stats'!$A:$N,MATCH($A18,'Ex post LI &amp; Eligibility Stats'!$A:$A,0),MATCH('Program MW '!L$6,'Ex post LI &amp; Eligibility Stats'!$A$8:$N$8,0))/1000)</f>
        <v>2.4932094151499999</v>
      </c>
      <c r="N18" s="186">
        <v>9479</v>
      </c>
      <c r="O18" s="511">
        <f>N18*(INDEX('Ex ante LI &amp; Eligibility Stats'!$A:$M,MATCH('Program MW '!$A18,'Ex ante LI &amp; Eligibility Stats'!$A:$A,0),MATCH('Program MW '!O$6,'Ex ante LI &amp; Eligibility Stats'!$A$8:$M$8,0))/1000)</f>
        <v>0.64240917657000007</v>
      </c>
      <c r="P18" s="511">
        <f>N18*(INDEX('Ex post LI &amp; Eligibility Stats'!$A:$N,MATCH($A18,'Ex post LI &amp; Eligibility Stats'!$A:$A,0),MATCH('Program MW '!O$6,'Ex post LI &amp; Eligibility Stats'!$A$8:$N$8,0))/1000)</f>
        <v>2.33829346455</v>
      </c>
      <c r="Q18" s="186">
        <v>9386</v>
      </c>
      <c r="R18" s="517">
        <f>Q18*(INDEX('Ex ante LI &amp; Eligibility Stats'!$A:$M,MATCH('Program MW '!$A18,'Ex ante LI &amp; Eligibility Stats'!$A:$A,0),MATCH('Program MW '!R$6,'Ex ante LI &amp; Eligibility Stats'!$A$8:$M$8,0))/1000)</f>
        <v>0.13590591981200001</v>
      </c>
      <c r="S18" s="512">
        <f>Q18*(INDEX('Ex post LI &amp; Eligibility Stats'!$A:$N,MATCH($A18,'Ex post LI &amp; Eligibility Stats'!$A:$A,0),MATCH('Program MW '!R$6,'Ex post LI &amp; Eligibility Stats'!$A$8:$N$8,0))/1000)</f>
        <v>2.3153520897000002</v>
      </c>
      <c r="T18" s="4">
        <v>157189</v>
      </c>
      <c r="U18" s="6"/>
      <c r="V18" s="6"/>
      <c r="W18" s="6"/>
      <c r="X18" s="6"/>
      <c r="Y18" s="6"/>
      <c r="Z18" s="6"/>
      <c r="AA18" s="6"/>
      <c r="AB18" s="6"/>
      <c r="AC18" s="6"/>
      <c r="AD18" s="6"/>
      <c r="AE18" s="6"/>
    </row>
    <row r="19" spans="1:31">
      <c r="A19" s="349" t="s">
        <v>23</v>
      </c>
      <c r="B19" s="648">
        <v>3556</v>
      </c>
      <c r="C19" s="511">
        <f>B19*(INDEX('Ex ante LI &amp; Eligibility Stats'!$A:$M,MATCH($A19,'Ex ante LI &amp; Eligibility Stats'!$A:$A,0),MATCH('Program MW '!C$6,'Ex ante LI &amp; Eligibility Stats'!$A$8:$M$8,0))/1000)</f>
        <v>0</v>
      </c>
      <c r="D19" s="511">
        <f>B19*(INDEX('Ex post LI &amp; Eligibility Stats'!$A:$N,MATCH($A42,'Ex post LI &amp; Eligibility Stats'!$A:$A,0),MATCH('Program MW '!C$29,'Ex post LI &amp; Eligibility Stats'!$A$8:$N$8,0))/1000)</f>
        <v>0.42269514140000003</v>
      </c>
      <c r="E19" s="645">
        <v>3643</v>
      </c>
      <c r="F19" s="511">
        <f>E19*(INDEX('Ex ante LI &amp; Eligibility Stats'!$A:$M,MATCH($A19,'Ex ante LI &amp; Eligibility Stats'!$A:$A,0),MATCH('Program MW '!F$6,'Ex ante LI &amp; Eligibility Stats'!$A$8:$M$8,0))/1000)</f>
        <v>0</v>
      </c>
      <c r="G19" s="512">
        <f>E19*(INDEX('Ex post LI &amp; Eligibility Stats'!$A:$N,MATCH($A19,'Ex post LI &amp; Eligibility Stats'!$A:$A,0),MATCH('Program MW '!F$6,'Ex post LI &amp; Eligibility Stats'!$A$8:$N$8,0))/1000)</f>
        <v>0.75806531259999999</v>
      </c>
      <c r="H19" s="645">
        <v>3545</v>
      </c>
      <c r="I19" s="511">
        <f>H19*(INDEX('Ex ante LI &amp; Eligibility Stats'!$A:$M,MATCH('Program MW '!$A19,'Ex ante LI &amp; Eligibility Stats'!$A:$A,0),MATCH('Program MW '!I$6,'Ex ante LI &amp; Eligibility Stats'!$A$8:$M$8,0))/1000)</f>
        <v>5.0771715421819035E-5</v>
      </c>
      <c r="J19" s="512">
        <f>H19*(INDEX('Ex post LI &amp; Eligibility Stats'!$A:$N,MATCH($A19,'Ex post LI &amp; Eligibility Stats'!$A:$A,0),MATCH('Program MW '!I$6,'Ex post LI &amp; Eligibility Stats'!$A$8:$N$8,0))/1000)</f>
        <v>0.42138759175000007</v>
      </c>
      <c r="K19" s="645">
        <v>3505</v>
      </c>
      <c r="L19" s="511">
        <f>K19*(INDEX('Ex ante LI &amp; Eligibility Stats'!$A:$M,MATCH('Program MW '!$A19,'Ex ante LI &amp; Eligibility Stats'!$A:$A,0),MATCH('Program MW '!L$6,'Ex ante LI &amp; Eligibility Stats'!$A$8:$M$8,0))/1000)</f>
        <v>0.34996024401999998</v>
      </c>
      <c r="M19" s="512">
        <f>K19*(INDEX('Ex post LI &amp; Eligibility Stats'!$A:$N,MATCH($A19,'Ex post LI &amp; Eligibility Stats'!$A:$A,0),MATCH('Program MW '!L$6,'Ex post LI &amp; Eligibility Stats'!$A$8:$N$8,0))/1000)</f>
        <v>0.41663286575000003</v>
      </c>
      <c r="N19" s="186">
        <v>3457</v>
      </c>
      <c r="O19" s="511">
        <f>N19*(INDEX('Ex ante LI &amp; Eligibility Stats'!$A:$M,MATCH('Program MW '!$A19,'Ex ante LI &amp; Eligibility Stats'!$A:$A,0),MATCH('Program MW '!O$6,'Ex ante LI &amp; Eligibility Stats'!$A$8:$M$8,0))/1000)</f>
        <v>0.45185911856399991</v>
      </c>
      <c r="P19" s="511">
        <f>N19*(INDEX('Ex post LI &amp; Eligibility Stats'!$A:$N,MATCH($A19,'Ex post LI &amp; Eligibility Stats'!$A:$A,0),MATCH('Program MW '!O$6,'Ex post LI &amp; Eligibility Stats'!$A$8:$N$8,0))/1000)</f>
        <v>0.41092719455000004</v>
      </c>
      <c r="Q19" s="186">
        <v>3460</v>
      </c>
      <c r="R19" s="517">
        <f>Q19*(INDEX('Ex ante LI &amp; Eligibility Stats'!$A:$M,MATCH('Program MW '!$A19,'Ex ante LI &amp; Eligibility Stats'!$A:$A,0),MATCH('Program MW '!R$6,'Ex ante LI &amp; Eligibility Stats'!$A$8:$M$8,0))/1000)</f>
        <v>0.36572365388</v>
      </c>
      <c r="S19" s="512">
        <f>Q19*(INDEX('Ex post LI &amp; Eligibility Stats'!$A:$N,MATCH($A19,'Ex post LI &amp; Eligibility Stats'!$A:$A,0),MATCH('Program MW '!R$6,'Ex post LI &amp; Eligibility Stats'!$A$8:$N$8,0))/1000)</f>
        <v>0.41128379900000006</v>
      </c>
      <c r="T19" s="4">
        <v>157189</v>
      </c>
      <c r="U19" s="6"/>
      <c r="V19" s="6"/>
      <c r="W19" s="6"/>
      <c r="X19" s="6"/>
      <c r="Y19" s="6"/>
      <c r="Z19" s="6"/>
      <c r="AA19" s="6"/>
      <c r="AB19" s="6"/>
      <c r="AC19" s="6"/>
      <c r="AD19" s="6"/>
      <c r="AE19" s="6"/>
    </row>
    <row r="20" spans="1:31">
      <c r="A20" s="183" t="s">
        <v>24</v>
      </c>
      <c r="B20" s="186">
        <v>0</v>
      </c>
      <c r="C20" s="511">
        <f>B20*(INDEX('Ex ante LI &amp; Eligibility Stats'!$A:$M,MATCH($A20,'Ex ante LI &amp; Eligibility Stats'!$A:$A,0),MATCH('Program MW '!C$6,'Ex ante LI &amp; Eligibility Stats'!$A$8:$M$8,0))/1000)</f>
        <v>0</v>
      </c>
      <c r="D20" s="512">
        <f>B20*(INDEX('Ex post LI &amp; Eligibility Stats'!$A:$N,MATCH($A20,'Ex post LI &amp; Eligibility Stats'!$A:$A,0),MATCH('Program MW '!C$6,'Ex post LI &amp; Eligibility Stats'!$A$8:$N$8,0))/1000)</f>
        <v>0</v>
      </c>
      <c r="E20" s="186">
        <v>0</v>
      </c>
      <c r="F20" s="511">
        <f>E20*(INDEX('Ex ante LI &amp; Eligibility Stats'!$A:$M,MATCH($A20,'Ex ante LI &amp; Eligibility Stats'!$A:$A,0),MATCH('Program MW '!F$6,'Ex ante LI &amp; Eligibility Stats'!$A$8:$M$8,0))/1000)</f>
        <v>0</v>
      </c>
      <c r="G20" s="512">
        <f>E20*(INDEX('Ex post LI &amp; Eligibility Stats'!$A:$N,MATCH($A20,'Ex post LI &amp; Eligibility Stats'!$A:$A,0),MATCH('Program MW '!F$6,'Ex post LI &amp; Eligibility Stats'!$A$8:$N$8,0))/1000)</f>
        <v>0</v>
      </c>
      <c r="H20" s="186">
        <v>0</v>
      </c>
      <c r="I20" s="511">
        <f>H20*(INDEX('Ex ante LI &amp; Eligibility Stats'!$A:$M,MATCH('Program MW '!$A20,'Ex ante LI &amp; Eligibility Stats'!$A:$A,0),MATCH('Program MW '!I$6,'Ex ante LI &amp; Eligibility Stats'!$A$8:$M$8,0))/1000)</f>
        <v>0</v>
      </c>
      <c r="J20" s="512">
        <f>H20*(INDEX('Ex post LI &amp; Eligibility Stats'!$A:$N,MATCH($A20,'Ex post LI &amp; Eligibility Stats'!$A:$A,0),MATCH('Program MW '!I$6,'Ex post LI &amp; Eligibility Stats'!$A$8:$N$8,0))/1000)</f>
        <v>0</v>
      </c>
      <c r="K20" s="186">
        <v>0</v>
      </c>
      <c r="L20" s="511">
        <f>K20*(INDEX('Ex ante LI &amp; Eligibility Stats'!$A:$M,MATCH('Program MW '!$A20,'Ex ante LI &amp; Eligibility Stats'!$A:$A,0),MATCH('Program MW '!L$6,'Ex ante LI &amp; Eligibility Stats'!$A$8:$M$8,0))/1000)</f>
        <v>0</v>
      </c>
      <c r="M20" s="512">
        <f>K20*(INDEX('Ex post LI &amp; Eligibility Stats'!$A:$N,MATCH($A20,'Ex post LI &amp; Eligibility Stats'!$A:$A,0),MATCH('Program MW '!L$6,'Ex post LI &amp; Eligibility Stats'!$A$8:$N$8,0))/1000)</f>
        <v>0</v>
      </c>
      <c r="N20" s="186">
        <v>11</v>
      </c>
      <c r="O20" s="511">
        <f>N20*(INDEX('Ex ante LI &amp; Eligibility Stats'!$A:$M,MATCH('Program MW '!$A20,'Ex ante LI &amp; Eligibility Stats'!$A:$A,0),MATCH('Program MW '!O$6,'Ex ante LI &amp; Eligibility Stats'!$A$8:$M$8,0))/1000)</f>
        <v>3.0750665000000003E-2</v>
      </c>
      <c r="P20" s="511">
        <f>N20*(INDEX('Ex post LI &amp; Eligibility Stats'!$A:$N,MATCH($A20,'Ex post LI &amp; Eligibility Stats'!$A:$A,0),MATCH('Program MW '!O$6,'Ex post LI &amp; Eligibility Stats'!$A$8:$N$8,0))/1000)</f>
        <v>7.6421828107545553E-2</v>
      </c>
      <c r="Q20" s="186">
        <v>11</v>
      </c>
      <c r="R20" s="517">
        <f>Q20*(INDEX('Ex ante LI &amp; Eligibility Stats'!$A:$M,MATCH('Program MW '!$A20,'Ex ante LI &amp; Eligibility Stats'!$A:$A,0),MATCH('Program MW '!R$6,'Ex ante LI &amp; Eligibility Stats'!$A$8:$M$8,0))/1000)</f>
        <v>3.0750665000000003E-2</v>
      </c>
      <c r="S20" s="512">
        <f>Q20*(INDEX('Ex post LI &amp; Eligibility Stats'!$A:$N,MATCH($A20,'Ex post LI &amp; Eligibility Stats'!$A:$A,0),MATCH('Program MW '!R$6,'Ex post LI &amp; Eligibility Stats'!$A$8:$N$8,0))/1000)</f>
        <v>7.6421828107545553E-2</v>
      </c>
      <c r="T20" s="4">
        <v>18875</v>
      </c>
      <c r="U20" s="6"/>
      <c r="V20" s="6"/>
      <c r="W20" s="6"/>
      <c r="X20" s="6"/>
      <c r="Y20" s="6"/>
      <c r="Z20" s="6"/>
      <c r="AA20" s="6"/>
      <c r="AB20" s="6"/>
      <c r="AC20" s="6"/>
      <c r="AD20" s="6"/>
      <c r="AE20" s="6"/>
    </row>
    <row r="21" spans="1:31">
      <c r="A21" s="183" t="s">
        <v>25</v>
      </c>
      <c r="B21" s="186">
        <v>0</v>
      </c>
      <c r="C21" s="511">
        <f>B21*(INDEX('Ex ante LI &amp; Eligibility Stats'!$A:$M,MATCH($A21,'Ex ante LI &amp; Eligibility Stats'!$A:$A,0),MATCH('Program MW '!C$6,'Ex ante LI &amp; Eligibility Stats'!$A$8:$M$8,0))/1000)</f>
        <v>0</v>
      </c>
      <c r="D21" s="512">
        <f>B21*(INDEX('Ex post LI &amp; Eligibility Stats'!$A:$N,MATCH($A21,'Ex post LI &amp; Eligibility Stats'!$A:$A,0),MATCH('Program MW '!C$6,'Ex post LI &amp; Eligibility Stats'!$A$8:$N$8,0))/1000)</f>
        <v>0</v>
      </c>
      <c r="E21" s="186">
        <v>0</v>
      </c>
      <c r="F21" s="511">
        <f>E21*(INDEX('Ex ante LI &amp; Eligibility Stats'!$A:$M,MATCH($A21,'Ex ante LI &amp; Eligibility Stats'!$A:$A,0),MATCH('Program MW '!F$6,'Ex ante LI &amp; Eligibility Stats'!$A$8:$M$8,0))/1000)</f>
        <v>0</v>
      </c>
      <c r="G21" s="512">
        <f>E21*(INDEX('Ex post LI &amp; Eligibility Stats'!$A:$N,MATCH($A21,'Ex post LI &amp; Eligibility Stats'!$A:$A,0),MATCH('Program MW '!F$6,'Ex post LI &amp; Eligibility Stats'!$A$8:$N$8,0))/1000)</f>
        <v>0</v>
      </c>
      <c r="H21" s="186">
        <v>0</v>
      </c>
      <c r="I21" s="511">
        <f>H21*(INDEX('Ex ante LI &amp; Eligibility Stats'!$A:$M,MATCH('Program MW '!$A21,'Ex ante LI &amp; Eligibility Stats'!$A:$A,0),MATCH('Program MW '!I$6,'Ex ante LI &amp; Eligibility Stats'!$A$8:$M$8,0))/1000)</f>
        <v>0</v>
      </c>
      <c r="J21" s="512">
        <f>H21*(INDEX('Ex post LI &amp; Eligibility Stats'!$A:$N,MATCH($A21,'Ex post LI &amp; Eligibility Stats'!$A:$A,0),MATCH('Program MW '!I$6,'Ex post LI &amp; Eligibility Stats'!$A$8:$N$8,0))/1000)</f>
        <v>0</v>
      </c>
      <c r="K21" s="186">
        <v>0</v>
      </c>
      <c r="L21" s="511">
        <f>K21*(INDEX('Ex ante LI &amp; Eligibility Stats'!$A:$M,MATCH('Program MW '!$A21,'Ex ante LI &amp; Eligibility Stats'!$A:$A,0),MATCH('Program MW '!L$6,'Ex ante LI &amp; Eligibility Stats'!$A$8:$M$8,0))/1000)</f>
        <v>0</v>
      </c>
      <c r="M21" s="512">
        <f>K21*(INDEX('Ex post LI &amp; Eligibility Stats'!$A:$N,MATCH($A21,'Ex post LI &amp; Eligibility Stats'!$A:$A,0),MATCH('Program MW '!L$6,'Ex post LI &amp; Eligibility Stats'!$A$8:$N$8,0))/1000)</f>
        <v>0</v>
      </c>
      <c r="N21" s="186">
        <v>185</v>
      </c>
      <c r="O21" s="511">
        <f>N21*(INDEX('Ex ante LI &amp; Eligibility Stats'!$A:$M,MATCH('Program MW '!$A21,'Ex ante LI &amp; Eligibility Stats'!$A:$A,0),MATCH('Program MW '!O$6,'Ex ante LI &amp; Eligibility Stats'!$A$8:$M$8,0))/1000)</f>
        <v>2.5718449139999997</v>
      </c>
      <c r="P21" s="511">
        <f>N21*(INDEX('Ex post LI &amp; Eligibility Stats'!$A:$N,MATCH($A21,'Ex post LI &amp; Eligibility Stats'!$A:$A,0),MATCH('Program MW '!O$6,'Ex post LI &amp; Eligibility Stats'!$A$8:$N$8,0))/1000)</f>
        <v>3.4387183333333331</v>
      </c>
      <c r="Q21" s="186">
        <v>184</v>
      </c>
      <c r="R21" s="517">
        <f>Q21*(INDEX('Ex ante LI &amp; Eligibility Stats'!$A:$M,MATCH('Program MW '!$A21,'Ex ante LI &amp; Eligibility Stats'!$A:$A,0),MATCH('Program MW '!R$6,'Ex ante LI &amp; Eligibility Stats'!$A$8:$M$8,0))/1000)</f>
        <v>2.5579430495999995</v>
      </c>
      <c r="S21" s="512">
        <f>Q21*(INDEX('Ex post LI &amp; Eligibility Stats'!$A:$N,MATCH($A21,'Ex post LI &amp; Eligibility Stats'!$A:$A,0),MATCH('Program MW '!R$6,'Ex post LI &amp; Eligibility Stats'!$A$8:$N$8,0))/1000)</f>
        <v>3.4201306666666667</v>
      </c>
      <c r="T21" s="4">
        <v>18875</v>
      </c>
      <c r="U21" s="6"/>
      <c r="V21" s="6"/>
      <c r="W21" s="6"/>
      <c r="X21" s="6"/>
      <c r="Y21" s="6"/>
      <c r="Z21" s="6"/>
      <c r="AA21" s="6"/>
      <c r="AB21" s="6"/>
      <c r="AC21" s="6"/>
      <c r="AD21" s="6"/>
      <c r="AE21" s="6"/>
    </row>
    <row r="22" spans="1:31">
      <c r="A22" s="183" t="s">
        <v>26</v>
      </c>
      <c r="B22" s="186">
        <v>113095</v>
      </c>
      <c r="C22" s="511">
        <f>B22*(INDEX('Ex ante LI &amp; Eligibility Stats'!$A:$M,MATCH($A22,'Ex ante LI &amp; Eligibility Stats'!$A:$A,0),MATCH('Program MW '!C$6,'Ex ante LI &amp; Eligibility Stats'!$A$8:$M$8,0))/1000)</f>
        <v>0.29095085273255605</v>
      </c>
      <c r="D22" s="512">
        <f>B22*(INDEX('Ex post LI &amp; Eligibility Stats'!$A:$N,MATCH($A22,'Ex post LI &amp; Eligibility Stats'!$A:$A,0),MATCH('Program MW '!C$6,'Ex post LI &amp; Eligibility Stats'!$A$8:$N$8,0))/1000)</f>
        <v>4.4173744553141292</v>
      </c>
      <c r="E22" s="186">
        <v>113078</v>
      </c>
      <c r="F22" s="511">
        <f>E22*(INDEX('Ex ante LI &amp; Eligibility Stats'!$A:$M,MATCH($A22,'Ex ante LI &amp; Eligibility Stats'!$A:$A,0),MATCH('Program MW '!F$6,'Ex ante LI &amp; Eligibility Stats'!$A$8:$M$8,0))/1000)</f>
        <v>0.28767567983909359</v>
      </c>
      <c r="G22" s="512">
        <f>E22*(INDEX('Ex post LI &amp; Eligibility Stats'!$A:$N,MATCH($A22,'Ex post LI &amp; Eligibility Stats'!$A:$A,0),MATCH('Program MW '!F$6,'Ex post LI &amp; Eligibility Stats'!$A$8:$N$8,0))/1000)</f>
        <v>4.4167104527875782</v>
      </c>
      <c r="H22" s="186">
        <v>112959</v>
      </c>
      <c r="I22" s="511">
        <f>H22*(INDEX('Ex ante LI &amp; Eligibility Stats'!$A:$M,MATCH('Program MW '!$A22,'Ex ante LI &amp; Eligibility Stats'!$A:$A,0),MATCH('Program MW '!I$6,'Ex ante LI &amp; Eligibility Stats'!$A$8:$M$8,0))/1000)</f>
        <v>1.1138916288328069</v>
      </c>
      <c r="J22" s="512">
        <f>H22*(INDEX('Ex post LI &amp; Eligibility Stats'!$A:$N,MATCH($A22,'Ex post LI &amp; Eligibility Stats'!$A:$A,0),MATCH('Program MW '!I$6,'Ex post LI &amp; Eligibility Stats'!$A$8:$N$8,0))/1000)</f>
        <v>2.7662892258716183</v>
      </c>
      <c r="K22" s="186">
        <v>112813</v>
      </c>
      <c r="L22" s="511">
        <f>K22*(INDEX('Ex ante LI &amp; Eligibility Stats'!$A:$M,MATCH('Program MW '!$A22,'Ex ante LI &amp; Eligibility Stats'!$A:$A,0),MATCH('Program MW '!L$6,'Ex ante LI &amp; Eligibility Stats'!$A$8:$M$8,0))/1000)</f>
        <v>1.5241332127338307</v>
      </c>
      <c r="M22" s="512">
        <f>K22*(INDEX('Ex post LI &amp; Eligibility Stats'!$A:$N,MATCH($A22,'Ex post LI &amp; Eligibility Stats'!$A:$A,0),MATCH('Program MW '!L$6,'Ex post LI &amp; Eligibility Stats'!$A$8:$N$8,0))/1000)</f>
        <v>2.7627137849861882</v>
      </c>
      <c r="N22" s="186">
        <v>112626</v>
      </c>
      <c r="O22" s="511">
        <f>N22*(INDEX('Ex ante LI &amp; Eligibility Stats'!$A:$M,MATCH('Program MW '!$A22,'Ex ante LI &amp; Eligibility Stats'!$A:$A,0),MATCH('Program MW '!O$6,'Ex ante LI &amp; Eligibility Stats'!$A$8:$M$8,0))/1000)</f>
        <v>1.6670473909731174</v>
      </c>
      <c r="P22" s="512">
        <f>N22*(INDEX('Ex post LI &amp; Eligibility Stats'!$A:$N,MATCH($A22,'Ex post LI &amp; Eligibility Stats'!$A:$A,0),MATCH('Program MW '!O$6,'Ex post LI &amp; Eligibility Stats'!$A$8:$N$8,0))/1000)</f>
        <v>2.7581342819343022</v>
      </c>
      <c r="Q22" s="186">
        <v>112506</v>
      </c>
      <c r="R22" s="517">
        <f>Q22*(INDEX('Ex ante LI &amp; Eligibility Stats'!$A:$M,MATCH('Program MW '!$A22,'Ex ante LI &amp; Eligibility Stats'!$A:$A,0),MATCH('Program MW '!R$6,'Ex ante LI &amp; Eligibility Stats'!$A$8:$M$8,0))/1000)</f>
        <v>1.5330505649675896</v>
      </c>
      <c r="S22" s="512">
        <f>Q22*(INDEX('Ex post LI &amp; Eligibility Stats'!$A:$N,MATCH($A22,'Ex post LI &amp; Eligibility Stats'!$A:$A,0),MATCH('Program MW '!R$6,'Ex post LI &amp; Eligibility Stats'!$A$8:$N$8,0))/1000)</f>
        <v>2.7551955633983329</v>
      </c>
      <c r="T22" s="4"/>
      <c r="U22" s="6"/>
      <c r="V22" s="6"/>
      <c r="W22" s="6"/>
      <c r="X22" s="6"/>
      <c r="Y22" s="6"/>
      <c r="Z22" s="6"/>
      <c r="AA22" s="6"/>
      <c r="AB22" s="6"/>
      <c r="AC22" s="6"/>
      <c r="AD22" s="6"/>
      <c r="AE22" s="6"/>
    </row>
    <row r="23" spans="1:31">
      <c r="A23" s="268" t="s">
        <v>27</v>
      </c>
      <c r="B23" s="348">
        <v>9351</v>
      </c>
      <c r="C23" s="513">
        <f>B23*(INDEX('Ex ante LI &amp; Eligibility Stats'!$A:$M,MATCH($A23,'Ex ante LI &amp; Eligibility Stats'!$A:$A,0),MATCH('Program MW '!C$6,'Ex ante LI &amp; Eligibility Stats'!$A$8:$M$8,0))/1000)</f>
        <v>0.48369170230409364</v>
      </c>
      <c r="D23" s="514">
        <f>B23*(INDEX('Ex post LI &amp; Eligibility Stats'!$A:$N,MATCH($A23,'Ex post LI &amp; Eligibility Stats'!$A:$A,0),MATCH('Program MW '!C$6,'Ex post LI &amp; Eligibility Stats'!$A$8:$N$8,0))/1000)</f>
        <v>1.713045807659626</v>
      </c>
      <c r="E23" s="348">
        <v>9697</v>
      </c>
      <c r="F23" s="511">
        <f>E23*(INDEX('Ex ante LI &amp; Eligibility Stats'!$A:$M,MATCH($A23,'Ex ante LI &amp; Eligibility Stats'!$A:$A,0),MATCH('Program MW '!F$6,'Ex ante LI &amp; Eligibility Stats'!$A$8:$M$8,0))/1000)</f>
        <v>0.42081314309348233</v>
      </c>
      <c r="G23" s="512">
        <f>E23*(INDEX('Ex post LI &amp; Eligibility Stats'!$A:$N,MATCH($A23,'Ex post LI &amp; Eligibility Stats'!$A:$A,0),MATCH('Program MW '!F$6,'Ex post LI &amp; Eligibility Stats'!$A$8:$N$8,0))/1000)</f>
        <v>1.7764308840632439</v>
      </c>
      <c r="H23" s="348">
        <v>10255</v>
      </c>
      <c r="I23" s="511">
        <f>H23*(INDEX('Ex ante LI &amp; Eligibility Stats'!$A:$M,MATCH('Program MW '!$A23,'Ex ante LI &amp; Eligibility Stats'!$A:$A,0),MATCH('Program MW '!I$6,'Ex ante LI &amp; Eligibility Stats'!$A$8:$M$8,0))/1000)</f>
        <v>0.3491134318113327</v>
      </c>
      <c r="J23" s="512">
        <f>H23*(INDEX('Ex post LI &amp; Eligibility Stats'!$A:$N,MATCH($A23,'Ex post LI &amp; Eligibility Stats'!$A:$A,0),MATCH('Program MW '!I$6,'Ex post LI &amp; Eligibility Stats'!$A$8:$N$8,0))/1000)</f>
        <v>2.190801266338676</v>
      </c>
      <c r="K23" s="348">
        <v>11373</v>
      </c>
      <c r="L23" s="511">
        <f>K23*(INDEX('Ex ante LI &amp; Eligibility Stats'!$A:$M,MATCH('Program MW '!$A23,'Ex ante LI &amp; Eligibility Stats'!$A:$A,0),MATCH('Program MW '!L$6,'Ex ante LI &amp; Eligibility Stats'!$A$8:$M$8,0))/1000)</f>
        <v>0.41708317386545246</v>
      </c>
      <c r="M23" s="512">
        <f>K23*(INDEX('Ex post LI &amp; Eligibility Stats'!$A:$N,MATCH($A23,'Ex post LI &amp; Eligibility Stats'!$A:$A,0),MATCH('Program MW '!L$6,'Ex post LI &amp; Eligibility Stats'!$A$8:$N$8,0))/1000)</f>
        <v>2.4296423990316689</v>
      </c>
      <c r="N23" s="348">
        <v>12300</v>
      </c>
      <c r="O23" s="511">
        <f>N23*(INDEX('Ex ante LI &amp; Eligibility Stats'!$A:$M,MATCH('Program MW '!$A23,'Ex ante LI &amp; Eligibility Stats'!$A:$A,0),MATCH('Program MW '!O$6,'Ex ante LI &amp; Eligibility Stats'!$A$8:$M$8,0))/1000)</f>
        <v>0.51349497858434912</v>
      </c>
      <c r="P23" s="512">
        <f>N23*(INDEX('Ex post LI &amp; Eligibility Stats'!$A:$N,MATCH($A23,'Ex post LI &amp; Eligibility Stats'!$A:$A,0),MATCH('Program MW '!O$6,'Ex post LI &amp; Eligibility Stats'!$A$8:$N$8,0))/1000)</f>
        <v>2.6276797246187922</v>
      </c>
      <c r="Q23" s="348">
        <v>12961</v>
      </c>
      <c r="R23" s="517">
        <f>Q23*(INDEX('Ex ante LI &amp; Eligibility Stats'!$A:$M,MATCH('Program MW '!$A23,'Ex ante LI &amp; Eligibility Stats'!$A:$A,0),MATCH('Program MW '!R$6,'Ex ante LI &amp; Eligibility Stats'!$A$8:$M$8,0))/1000)</f>
        <v>0.59470202846154574</v>
      </c>
      <c r="S23" s="512">
        <f>Q23*(INDEX('Ex post LI &amp; Eligibility Stats'!$A:$N,MATCH($A23,'Ex post LI &amp; Eligibility Stats'!$A:$A,0),MATCH('Program MW '!R$6,'Ex post LI &amp; Eligibility Stats'!$A$8:$N$8,0))/1000)</f>
        <v>2.7688908057548103</v>
      </c>
      <c r="T23" s="4"/>
      <c r="U23" s="6"/>
      <c r="V23" s="6"/>
      <c r="W23" s="6"/>
      <c r="X23" s="6"/>
      <c r="Y23" s="6"/>
      <c r="Z23" s="6"/>
      <c r="AA23" s="6"/>
      <c r="AB23" s="6"/>
      <c r="AC23" s="6"/>
      <c r="AD23" s="6"/>
      <c r="AE23" s="6"/>
    </row>
    <row r="24" spans="1:31" ht="21.75" customHeight="1" thickBot="1">
      <c r="A24" s="215" t="s">
        <v>57</v>
      </c>
      <c r="B24" s="184">
        <f t="shared" ref="B24:S24" si="1">SUM(B12:B23)</f>
        <v>165200</v>
      </c>
      <c r="C24" s="203">
        <f t="shared" si="1"/>
        <v>8.4646928263689141</v>
      </c>
      <c r="D24" s="202">
        <f t="shared" si="1"/>
        <v>33.617711494309503</v>
      </c>
      <c r="E24" s="1">
        <f>SUM(E12:E23)</f>
        <v>170281</v>
      </c>
      <c r="F24" s="275">
        <f t="shared" si="1"/>
        <v>11.544662066768145</v>
      </c>
      <c r="G24" s="276">
        <f t="shared" si="1"/>
        <v>41.969899775867752</v>
      </c>
      <c r="H24" s="1">
        <f t="shared" si="1"/>
        <v>170465</v>
      </c>
      <c r="I24" s="275">
        <f t="shared" si="1"/>
        <v>1.463470327201881</v>
      </c>
      <c r="J24" s="276">
        <f t="shared" si="1"/>
        <v>20.658473491252693</v>
      </c>
      <c r="K24" s="1">
        <f t="shared" si="1"/>
        <v>171325</v>
      </c>
      <c r="L24" s="275">
        <f t="shared" si="1"/>
        <v>5.1423533179222147</v>
      </c>
      <c r="M24" s="276">
        <f t="shared" si="1"/>
        <v>20.824013566983172</v>
      </c>
      <c r="N24" s="1">
        <f t="shared" si="1"/>
        <v>171698</v>
      </c>
      <c r="O24" s="277">
        <f t="shared" si="1"/>
        <v>9.8874261570184334</v>
      </c>
      <c r="P24" s="280">
        <f t="shared" si="1"/>
        <v>24.388235925200874</v>
      </c>
      <c r="Q24" s="1">
        <f t="shared" si="1"/>
        <v>172558</v>
      </c>
      <c r="R24" s="293">
        <f t="shared" si="1"/>
        <v>8.3969132480262161</v>
      </c>
      <c r="S24" s="296">
        <f t="shared" si="1"/>
        <v>24.555627969132171</v>
      </c>
      <c r="T24" s="5"/>
      <c r="U24" s="6"/>
      <c r="V24" s="6"/>
      <c r="W24" s="6"/>
      <c r="X24" s="6"/>
      <c r="Y24" s="6"/>
      <c r="Z24" s="6"/>
      <c r="AA24" s="6"/>
      <c r="AB24" s="6"/>
      <c r="AC24" s="6"/>
      <c r="AD24" s="6"/>
      <c r="AE24" s="6"/>
    </row>
    <row r="25" spans="1:31" ht="14" thickTop="1" thickBot="1">
      <c r="A25" s="222" t="s">
        <v>58</v>
      </c>
      <c r="B25" s="2">
        <f>+B10+B24</f>
        <v>165205</v>
      </c>
      <c r="C25" s="203">
        <f t="shared" ref="C25:S25" si="2">+C10+C24</f>
        <v>8.551219255068407</v>
      </c>
      <c r="D25" s="345">
        <f t="shared" si="2"/>
        <v>35.736685951096611</v>
      </c>
      <c r="E25" s="2">
        <f t="shared" si="2"/>
        <v>170286</v>
      </c>
      <c r="F25" s="203">
        <f t="shared" si="2"/>
        <v>11.730552548716998</v>
      </c>
      <c r="G25" s="203">
        <f t="shared" si="2"/>
        <v>44.088874232654859</v>
      </c>
      <c r="H25" s="2">
        <f t="shared" si="2"/>
        <v>170470</v>
      </c>
      <c r="I25" s="203">
        <f t="shared" si="2"/>
        <v>2.3505977533493416</v>
      </c>
      <c r="J25" s="202">
        <f t="shared" si="2"/>
        <v>22.553100586117537</v>
      </c>
      <c r="K25" s="2">
        <f t="shared" si="2"/>
        <v>171330</v>
      </c>
      <c r="L25" s="203">
        <f t="shared" si="2"/>
        <v>5.8750932089744605</v>
      </c>
      <c r="M25" s="202">
        <f t="shared" si="2"/>
        <v>22.718640661848017</v>
      </c>
      <c r="N25" s="2">
        <f t="shared" si="2"/>
        <v>171703</v>
      </c>
      <c r="O25" s="278">
        <f t="shared" si="2"/>
        <v>10.689389711400757</v>
      </c>
      <c r="P25" s="279">
        <f t="shared" si="2"/>
        <v>26.282863020065719</v>
      </c>
      <c r="Q25" s="2">
        <f t="shared" si="2"/>
        <v>172563</v>
      </c>
      <c r="R25" s="298">
        <f t="shared" si="2"/>
        <v>9.1185019931434041</v>
      </c>
      <c r="S25" s="297">
        <f t="shared" si="2"/>
        <v>26.450255063997016</v>
      </c>
      <c r="T25" s="8"/>
      <c r="U25" s="6"/>
      <c r="V25" s="6"/>
      <c r="W25" s="6"/>
      <c r="X25" s="6"/>
      <c r="Y25" s="6"/>
      <c r="Z25" s="6"/>
      <c r="AA25" s="6"/>
      <c r="AB25" s="6"/>
      <c r="AC25" s="6"/>
      <c r="AD25" s="6"/>
      <c r="AE25" s="6"/>
    </row>
    <row r="26" spans="1:31" ht="13.5" thickTop="1">
      <c r="A26" s="172"/>
      <c r="B26" s="109"/>
      <c r="C26" s="107"/>
      <c r="D26" s="108"/>
      <c r="E26" s="109"/>
      <c r="F26" s="107"/>
      <c r="G26" s="110"/>
      <c r="H26" s="109"/>
      <c r="I26" s="107"/>
      <c r="J26" s="110"/>
      <c r="K26" s="109"/>
      <c r="L26" s="107"/>
      <c r="M26" s="110"/>
      <c r="N26" s="109"/>
      <c r="O26" s="107"/>
      <c r="P26" s="110"/>
      <c r="Q26" s="109"/>
      <c r="R26" s="107"/>
      <c r="S26" s="110"/>
      <c r="T26" s="9"/>
      <c r="U26" s="6"/>
      <c r="V26" s="6"/>
      <c r="W26" s="6"/>
      <c r="X26" s="6"/>
      <c r="Y26" s="6"/>
      <c r="Z26" s="6"/>
      <c r="AA26" s="6"/>
      <c r="AB26" s="6"/>
      <c r="AC26" s="6"/>
      <c r="AD26" s="6"/>
      <c r="AE26" s="6"/>
    </row>
    <row r="27" spans="1:31">
      <c r="B27" s="57"/>
      <c r="C27" s="57"/>
      <c r="D27" s="57"/>
      <c r="E27" s="57"/>
      <c r="F27" s="57"/>
      <c r="G27" s="57"/>
      <c r="H27" s="57"/>
      <c r="I27" s="57"/>
      <c r="J27" s="57"/>
      <c r="K27" s="57"/>
      <c r="L27" s="57"/>
      <c r="M27" s="57"/>
      <c r="N27" s="57"/>
      <c r="O27" s="57"/>
      <c r="P27" s="57"/>
      <c r="Q27" s="57"/>
      <c r="R27" s="57"/>
      <c r="S27" s="57"/>
    </row>
    <row r="28" spans="1:31" hidden="1">
      <c r="B28" s="57"/>
      <c r="C28" s="57">
        <f>C4+6</f>
        <v>8</v>
      </c>
      <c r="D28" s="57">
        <f>D4+6</f>
        <v>8</v>
      </c>
      <c r="E28" s="57"/>
      <c r="F28" s="57">
        <f>F4+6</f>
        <v>9</v>
      </c>
      <c r="G28" s="57">
        <f>G4+6</f>
        <v>9</v>
      </c>
      <c r="H28" s="57"/>
      <c r="I28" s="57">
        <f>I4+6</f>
        <v>10</v>
      </c>
      <c r="J28" s="57">
        <f>J4+6</f>
        <v>10</v>
      </c>
      <c r="K28" s="57"/>
      <c r="L28" s="57">
        <f>L4+6</f>
        <v>11</v>
      </c>
      <c r="M28" s="57">
        <f>M4+6</f>
        <v>11</v>
      </c>
      <c r="N28" s="57"/>
      <c r="O28" s="57">
        <f>O4+6</f>
        <v>12</v>
      </c>
      <c r="P28" s="57">
        <f>P4+6</f>
        <v>12</v>
      </c>
      <c r="Q28" s="57"/>
      <c r="R28" s="57">
        <f>R4+6</f>
        <v>13</v>
      </c>
      <c r="S28" s="57">
        <f>S4+6</f>
        <v>13</v>
      </c>
    </row>
    <row r="29" spans="1:31" ht="13">
      <c r="A29" s="104"/>
      <c r="B29" s="677"/>
      <c r="C29" s="677" t="s">
        <v>59</v>
      </c>
      <c r="D29" s="314"/>
      <c r="E29" s="677"/>
      <c r="F29" s="677" t="s">
        <v>60</v>
      </c>
      <c r="G29" s="677"/>
      <c r="H29" s="677"/>
      <c r="I29" s="677" t="s">
        <v>61</v>
      </c>
      <c r="J29" s="677"/>
      <c r="K29" s="677"/>
      <c r="L29" s="677" t="s">
        <v>62</v>
      </c>
      <c r="M29" s="677"/>
      <c r="N29" s="677"/>
      <c r="O29" s="677" t="s">
        <v>63</v>
      </c>
      <c r="P29" s="677"/>
      <c r="Q29" s="677"/>
      <c r="R29" s="677" t="s">
        <v>64</v>
      </c>
      <c r="S29" s="677"/>
      <c r="T29" s="172"/>
      <c r="U29" s="172"/>
    </row>
    <row r="30" spans="1:31" ht="42.5">
      <c r="A30" s="189" t="s">
        <v>47</v>
      </c>
      <c r="B30" s="212" t="s">
        <v>6</v>
      </c>
      <c r="C30" s="207" t="s">
        <v>49</v>
      </c>
      <c r="D30" s="196" t="s">
        <v>51</v>
      </c>
      <c r="E30" s="212" t="s">
        <v>6</v>
      </c>
      <c r="F30" s="207" t="s">
        <v>49</v>
      </c>
      <c r="G30" s="196" t="s">
        <v>51</v>
      </c>
      <c r="H30" s="212" t="s">
        <v>6</v>
      </c>
      <c r="I30" s="207" t="s">
        <v>49</v>
      </c>
      <c r="J30" s="196" t="s">
        <v>51</v>
      </c>
      <c r="K30" s="212" t="s">
        <v>65</v>
      </c>
      <c r="L30" s="207" t="s">
        <v>49</v>
      </c>
      <c r="M30" s="196" t="s">
        <v>51</v>
      </c>
      <c r="N30" s="212" t="s">
        <v>6</v>
      </c>
      <c r="O30" s="207" t="s">
        <v>49</v>
      </c>
      <c r="P30" s="196" t="s">
        <v>51</v>
      </c>
      <c r="Q30" s="212" t="s">
        <v>6</v>
      </c>
      <c r="R30" s="207" t="s">
        <v>49</v>
      </c>
      <c r="S30" s="196" t="s">
        <v>51</v>
      </c>
      <c r="T30" s="196" t="s">
        <v>53</v>
      </c>
      <c r="V30" s="11"/>
    </row>
    <row r="31" spans="1:31" ht="13">
      <c r="A31" s="189" t="s">
        <v>54</v>
      </c>
      <c r="B31" s="212"/>
      <c r="C31" s="210"/>
      <c r="D31" s="213"/>
      <c r="E31" s="212"/>
      <c r="F31" s="210"/>
      <c r="G31" s="213"/>
      <c r="H31" s="212"/>
      <c r="I31" s="210"/>
      <c r="J31" s="210"/>
      <c r="K31" s="212"/>
      <c r="L31" s="210"/>
      <c r="M31" s="213"/>
      <c r="N31" s="212"/>
      <c r="O31" s="210"/>
      <c r="P31" s="213"/>
      <c r="Q31" s="212"/>
      <c r="R31" s="210"/>
      <c r="S31" s="213"/>
      <c r="T31" s="214"/>
    </row>
    <row r="32" spans="1:31">
      <c r="A32" s="101" t="s">
        <v>8</v>
      </c>
      <c r="B32" s="144">
        <v>5</v>
      </c>
      <c r="C32" s="515">
        <f>B32*(INDEX('Ex ante LI &amp; Eligibility Stats'!$A:$M,MATCH($A32,'Ex ante LI &amp; Eligibility Stats'!$A:$A,0),MATCH('Program MW '!C$29,'Ex ante LI &amp; Eligibility Stats'!$A$8:$M$8,0))/1000)</f>
        <v>0.72086717987060556</v>
      </c>
      <c r="D32" s="516">
        <f>B32*(INDEX('Ex post LI &amp; Eligibility Stats'!$A:$N,MATCH($A32,'Ex post LI &amp; Eligibility Stats'!$A:$A,0),MATCH('Program MW '!C$29,'Ex post LI &amp; Eligibility Stats'!$A$8:$N$8,0))/1000)</f>
        <v>1.8946270948648452</v>
      </c>
      <c r="E32" s="141">
        <v>5</v>
      </c>
      <c r="F32" s="511">
        <f>E32*(INDEX('Ex ante LI &amp; Eligibility Stats'!$A:$M,MATCH($A32,'Ex ante LI &amp; Eligibility Stats'!$A:$A,0),MATCH('Program MW '!F$29,'Ex ante LI &amp; Eligibility Stats'!$A$8:$M$8,0))/1000)</f>
        <v>0.71795072937011717</v>
      </c>
      <c r="G32" s="511">
        <f>E32*(INDEX('Ex post LI &amp; Eligibility Stats'!$A:$N,MATCH($A32,'Ex post LI &amp; Eligibility Stats'!$A:$A,0),MATCH('Program MW '!F$29,'Ex post LI &amp; Eligibility Stats'!$A$8:$N$8,0))/1000)</f>
        <v>1.8946270948648452</v>
      </c>
      <c r="H32" s="141">
        <v>5</v>
      </c>
      <c r="I32" s="516">
        <f>H32*(INDEX('Ex ante LI &amp; Eligibility Stats'!$A:$M,MATCH($A32,'Ex ante LI &amp; Eligibility Stats'!$A:$A,0),MATCH('Program MW '!I$29,'Ex ante LI &amp; Eligibility Stats'!$A$8:$M$8,0))/1000)</f>
        <v>0.78246205902099608</v>
      </c>
      <c r="J32" s="516">
        <f>H32*(INDEX('Ex post LI &amp; Eligibility Stats'!$A:$N,MATCH($A32,'Ex post LI &amp; Eligibility Stats'!$A:$A,0),MATCH('Program MW '!I$29,'Ex post LI &amp; Eligibility Stats'!$A$8:$N$8,0))/1000)</f>
        <v>1.8946270948648452</v>
      </c>
      <c r="K32" s="143">
        <v>5</v>
      </c>
      <c r="L32" s="721">
        <f>K32*(INDEX('Ex ante LI &amp; Eligibility Stats'!$A:$M,MATCH($A32,'Ex ante LI &amp; Eligibility Stats'!$A:$A,0),MATCH('Program MW '!L$29,'Ex ante LI &amp; Eligibility Stats'!$A$8:$M$8,0))/1000)</f>
        <v>0.59286257171630852</v>
      </c>
      <c r="M32" s="511">
        <f>K32*(INDEX('Ex post LI &amp; Eligibility Stats'!$A:$N,MATCH($A32,'Ex post LI &amp; Eligibility Stats'!$A:$A,0),MATCH('Program MW '!L$29,'Ex post LI &amp; Eligibility Stats'!$A$8:$N$8,0))/1000)</f>
        <v>1.8946270948648452</v>
      </c>
      <c r="N32" s="141">
        <v>4</v>
      </c>
      <c r="O32" s="511">
        <f>N32*(INDEX('Ex ante LI &amp; Eligibility Stats'!$A:$M,MATCH($A32,'Ex ante LI &amp; Eligibility Stats'!$A:$A,0),MATCH('Program MW '!O$29,'Ex ante LI &amp; Eligibility Stats'!$A$8:$M$8,0))/1000)</f>
        <v>0.53334015502929688</v>
      </c>
      <c r="P32" s="511">
        <f>N32*(INDEX('Ex post LI &amp; Eligibility Stats'!$A:$N,MATCH($A32,'Ex post LI &amp; Eligibility Stats'!$A:$A,0),MATCH('Program MW '!O$29,'Ex post LI &amp; Eligibility Stats'!$A$8:$N$8,0))/1000)</f>
        <v>1.5157016758918762</v>
      </c>
      <c r="Q32" s="141">
        <v>4</v>
      </c>
      <c r="R32" s="511">
        <f>Q32*(INDEX('Ex ante LI &amp; Eligibility Stats'!$A:$M,MATCH($A32,'Ex ante LI &amp; Eligibility Stats'!$A:$A,0),MATCH('Program MW '!R$29,'Ex ante LI &amp; Eligibility Stats'!$A$8:$M$8,0))/1000)</f>
        <v>0.61446790161132814</v>
      </c>
      <c r="S32" s="512">
        <f>Q32*(INDEX('Ex post LI &amp; Eligibility Stats'!$A:$N,MATCH($A32,'Ex post LI &amp; Eligibility Stats'!$A:$A,0),MATCH('Program MW '!R$29,'Ex post LI &amp; Eligibility Stats'!$A$8:$N$8,0))/1000)</f>
        <v>1.5157016758918762</v>
      </c>
      <c r="T32" s="4">
        <v>5276</v>
      </c>
    </row>
    <row r="33" spans="1:31" ht="13.5" thickBot="1">
      <c r="A33" s="215" t="s">
        <v>55</v>
      </c>
      <c r="B33" s="182">
        <f t="shared" ref="B33:K33" si="3">SUM(B32:B32)</f>
        <v>5</v>
      </c>
      <c r="C33" s="323">
        <f t="shared" si="3"/>
        <v>0.72086717987060556</v>
      </c>
      <c r="D33" s="324">
        <f t="shared" si="3"/>
        <v>1.8946270948648452</v>
      </c>
      <c r="E33" s="142">
        <f t="shared" si="3"/>
        <v>5</v>
      </c>
      <c r="F33" s="332">
        <f t="shared" si="3"/>
        <v>0.71795072937011717</v>
      </c>
      <c r="G33" s="333">
        <f t="shared" si="3"/>
        <v>1.8946270948648452</v>
      </c>
      <c r="H33" s="142">
        <f t="shared" si="3"/>
        <v>5</v>
      </c>
      <c r="I33" s="323">
        <f t="shared" si="3"/>
        <v>0.78246205902099608</v>
      </c>
      <c r="J33" s="324">
        <f t="shared" si="3"/>
        <v>1.8946270948648452</v>
      </c>
      <c r="K33" s="142">
        <f t="shared" si="3"/>
        <v>5</v>
      </c>
      <c r="L33" s="722">
        <f t="shared" ref="L33:S33" si="4">SUM(L32:L32)</f>
        <v>0.59286257171630852</v>
      </c>
      <c r="M33" s="324">
        <f t="shared" si="4"/>
        <v>1.8946270948648452</v>
      </c>
      <c r="N33" s="142">
        <f t="shared" si="4"/>
        <v>4</v>
      </c>
      <c r="O33" s="323">
        <f>SUM(O32:O32)</f>
        <v>0.53334015502929688</v>
      </c>
      <c r="P33" s="324">
        <f t="shared" si="4"/>
        <v>1.5157016758918762</v>
      </c>
      <c r="Q33" s="142">
        <f t="shared" si="4"/>
        <v>4</v>
      </c>
      <c r="R33" s="323">
        <f t="shared" si="4"/>
        <v>0.61446790161132814</v>
      </c>
      <c r="S33" s="324">
        <f t="shared" si="4"/>
        <v>1.5157016758918762</v>
      </c>
      <c r="T33" s="5"/>
    </row>
    <row r="34" spans="1:31" ht="13.5" thickTop="1">
      <c r="A34" s="189" t="s">
        <v>56</v>
      </c>
      <c r="B34" s="220"/>
      <c r="C34" s="219"/>
      <c r="D34" s="218"/>
      <c r="E34" s="220"/>
      <c r="F34" s="219"/>
      <c r="G34" s="218"/>
      <c r="H34" s="220"/>
      <c r="I34" s="219"/>
      <c r="J34" s="218"/>
      <c r="K34" s="220"/>
      <c r="L34" s="723"/>
      <c r="M34" s="218"/>
      <c r="N34" s="220"/>
      <c r="O34" s="219"/>
      <c r="P34" s="218"/>
      <c r="Q34" s="220"/>
      <c r="R34" s="219"/>
      <c r="S34" s="221"/>
      <c r="T34" s="214"/>
    </row>
    <row r="35" spans="1:31">
      <c r="A35" s="58" t="s">
        <v>11</v>
      </c>
      <c r="B35" s="141">
        <v>14663</v>
      </c>
      <c r="C35" s="511">
        <f>B35*(INDEX('Ex ante LI &amp; Eligibility Stats'!$A:$M,MATCH($A35,'Ex ante LI &amp; Eligibility Stats'!$A:$A,0),MATCH('Program MW '!C$29,'Ex ante LI &amp; Eligibility Stats'!$A$8:$M$8,0))/1000)</f>
        <v>3.8460097489190295</v>
      </c>
      <c r="D35" s="511">
        <f>B35*(INDEX('Ex post LI &amp; Eligibility Stats'!$A:$N,MATCH($A35,'Ex post LI &amp; Eligibility Stats'!$A:$A,0),MATCH('Program MW '!C$29,'Ex post LI &amp; Eligibility Stats'!$A$8:$N$8,0))/1000)</f>
        <v>9.1822874918737796</v>
      </c>
      <c r="E35" s="141">
        <v>14663</v>
      </c>
      <c r="F35" s="517">
        <f>E35*(INDEX('Ex ante LI &amp; Eligibility Stats'!$A:$M,MATCH($A35,'Ex ante LI &amp; Eligibility Stats'!$A:$A,0),MATCH('Program MW '!F$29,'Ex ante LI &amp; Eligibility Stats'!$A$8:$M$8,0))/1000)</f>
        <v>3.8002462313992016</v>
      </c>
      <c r="G35" s="517">
        <f>E35*(INDEX('Ex post LI &amp; Eligibility Stats'!$A:$N,MATCH($A35,'Ex post LI &amp; Eligibility Stats'!$A:$A,0),MATCH('Program MW '!F$29,'Ex post LI &amp; Eligibility Stats'!$A$8:$N$8,0))/1000)</f>
        <v>9.1822874918737796</v>
      </c>
      <c r="H35" s="141">
        <v>14663</v>
      </c>
      <c r="I35" s="517">
        <f>H35*(INDEX('Ex ante LI &amp; Eligibility Stats'!$A:$M,MATCH($A35,'Ex ante LI &amp; Eligibility Stats'!$A:$A,0),MATCH('Program MW '!I$29,'Ex ante LI &amp; Eligibility Stats'!$A$8:$M$8,0))/1000)</f>
        <v>6.8983871413727247</v>
      </c>
      <c r="J35" s="511">
        <f>H35*(INDEX('Ex post LI &amp; Eligibility Stats'!$A:$N,MATCH($A35,'Ex post LI &amp; Eligibility Stats'!$A:$A,0),MATCH('Program MW '!I$29,'Ex post LI &amp; Eligibility Stats'!$A$8:$N$8,0))/1000)</f>
        <v>9.1822874918737796</v>
      </c>
      <c r="K35" s="141">
        <v>14663</v>
      </c>
      <c r="L35" s="721">
        <f>K35*(INDEX('Ex ante LI &amp; Eligibility Stats'!$A:$M,MATCH($A35,'Ex ante LI &amp; Eligibility Stats'!$A:$A,0),MATCH('Program MW '!L$29,'Ex ante LI &amp; Eligibility Stats'!$A$8:$M$8,0))/1000)</f>
        <v>2.0898698909030151</v>
      </c>
      <c r="M35" s="511">
        <f>K35*(INDEX('Ex post LI &amp; Eligibility Stats'!$A:$N,MATCH($A35,'Ex post LI &amp; Eligibility Stats'!$A:$A,0),MATCH('Program MW '!L$29,'Ex post LI &amp; Eligibility Stats'!$A$8:$N$8,0))/1000)</f>
        <v>9.1822874918737796</v>
      </c>
      <c r="N35" s="141">
        <v>14663</v>
      </c>
      <c r="O35" s="511">
        <f>N35*(INDEX('Ex ante LI &amp; Eligibility Stats'!$A:$M,MATCH($A35,'Ex ante LI &amp; Eligibility Stats'!$A:$A,0),MATCH('Program MW '!O$29,'Ex ante LI &amp; Eligibility Stats'!$A$8:$M$8,0))/1000)</f>
        <v>0</v>
      </c>
      <c r="P35" s="510">
        <f>N35*(INDEX('Ex post LI &amp; Eligibility Stats'!$A:$N,MATCH($A35,'Ex post LI &amp; Eligibility Stats'!$A:$A,0),MATCH('Program MW '!O$29,'Ex post LI &amp; Eligibility Stats'!$A$8:$N$8,0))/1000)</f>
        <v>9.1822874918737796</v>
      </c>
      <c r="Q35" s="141">
        <v>14371</v>
      </c>
      <c r="R35" s="511">
        <f>Q35*(INDEX('Ex ante LI &amp; Eligibility Stats'!$A:$M,MATCH($A35,'Ex ante LI &amp; Eligibility Stats'!$A:$A,0),MATCH('Program MW '!R$29,'Ex ante LI &amp; Eligibility Stats'!$A$8:$M$8,0))/1000)</f>
        <v>0</v>
      </c>
      <c r="S35" s="512">
        <f>Q35*(INDEX('Ex post LI &amp; Eligibility Stats'!$A:$N,MATCH($A35,'Ex post LI &amp; Eligibility Stats'!$A:$A,0),MATCH('Program MW '!R$29,'Ex post LI &amp; Eligibility Stats'!$A$8:$N$8,0))/1000)</f>
        <v>8.9994307812670051</v>
      </c>
      <c r="T35" s="7">
        <v>138123</v>
      </c>
    </row>
    <row r="36" spans="1:31">
      <c r="A36" s="58" t="s">
        <v>12</v>
      </c>
      <c r="B36" s="141">
        <v>0</v>
      </c>
      <c r="C36" s="511">
        <v>0</v>
      </c>
      <c r="D36" s="512">
        <v>0</v>
      </c>
      <c r="E36" s="141">
        <v>0</v>
      </c>
      <c r="F36" s="517">
        <v>0</v>
      </c>
      <c r="G36" s="518">
        <v>0</v>
      </c>
      <c r="H36" s="141">
        <v>0</v>
      </c>
      <c r="I36" s="511">
        <v>0</v>
      </c>
      <c r="J36" s="512">
        <v>0</v>
      </c>
      <c r="K36" s="141">
        <v>0</v>
      </c>
      <c r="L36" s="721">
        <v>0</v>
      </c>
      <c r="M36" s="512">
        <v>0</v>
      </c>
      <c r="N36" s="141">
        <v>0</v>
      </c>
      <c r="O36" s="511">
        <v>0</v>
      </c>
      <c r="P36" s="512">
        <v>0</v>
      </c>
      <c r="Q36" s="141">
        <v>0</v>
      </c>
      <c r="R36" s="511">
        <v>0</v>
      </c>
      <c r="S36" s="512">
        <v>0</v>
      </c>
      <c r="T36" s="4"/>
    </row>
    <row r="37" spans="1:31">
      <c r="A37" s="58" t="str">
        <f>A14</f>
        <v>Over Generation Pilot</v>
      </c>
      <c r="B37" s="141">
        <v>1</v>
      </c>
      <c r="C37" s="511">
        <v>0</v>
      </c>
      <c r="D37" s="512">
        <v>0</v>
      </c>
      <c r="E37" s="141">
        <v>1</v>
      </c>
      <c r="F37" s="517">
        <v>0</v>
      </c>
      <c r="G37" s="518">
        <v>0</v>
      </c>
      <c r="H37" s="141">
        <v>1</v>
      </c>
      <c r="I37" s="511">
        <v>0</v>
      </c>
      <c r="J37" s="512">
        <v>0</v>
      </c>
      <c r="K37" s="141">
        <v>1</v>
      </c>
      <c r="L37" s="721">
        <v>0</v>
      </c>
      <c r="M37" s="512">
        <v>0</v>
      </c>
      <c r="N37" s="141">
        <v>1</v>
      </c>
      <c r="O37" s="511">
        <v>0</v>
      </c>
      <c r="P37" s="512">
        <v>0</v>
      </c>
      <c r="Q37" s="141">
        <v>1</v>
      </c>
      <c r="R37" s="511">
        <v>0</v>
      </c>
      <c r="S37" s="512">
        <v>0</v>
      </c>
      <c r="T37" s="4"/>
    </row>
    <row r="38" spans="1:31">
      <c r="A38" s="238" t="str">
        <f>A15</f>
        <v>Small Business Energy Management Pilot</v>
      </c>
      <c r="B38" s="141">
        <v>0</v>
      </c>
      <c r="C38" s="511">
        <v>0</v>
      </c>
      <c r="D38" s="512">
        <v>0</v>
      </c>
      <c r="E38" s="141">
        <v>0</v>
      </c>
      <c r="F38" s="511">
        <v>0</v>
      </c>
      <c r="G38" s="512">
        <v>0</v>
      </c>
      <c r="H38" s="141">
        <v>0</v>
      </c>
      <c r="I38" s="511">
        <v>0</v>
      </c>
      <c r="J38" s="512">
        <v>0</v>
      </c>
      <c r="K38" s="141">
        <v>0</v>
      </c>
      <c r="L38" s="721">
        <v>0</v>
      </c>
      <c r="M38" s="512">
        <v>0</v>
      </c>
      <c r="N38" s="141">
        <v>0</v>
      </c>
      <c r="O38" s="511">
        <v>0</v>
      </c>
      <c r="P38" s="511">
        <v>0</v>
      </c>
      <c r="Q38" s="141">
        <v>0</v>
      </c>
      <c r="R38" s="517">
        <v>0</v>
      </c>
      <c r="S38" s="512">
        <v>0</v>
      </c>
      <c r="T38" s="4"/>
      <c r="U38" s="6"/>
      <c r="V38" s="6"/>
      <c r="W38" s="6"/>
      <c r="X38" s="6"/>
      <c r="Y38" s="6"/>
      <c r="Z38" s="6"/>
      <c r="AA38" s="6"/>
      <c r="AB38" s="6"/>
      <c r="AC38" s="6"/>
      <c r="AD38" s="6"/>
      <c r="AE38" s="6"/>
    </row>
    <row r="39" spans="1:31">
      <c r="A39" s="350" t="s">
        <v>17</v>
      </c>
      <c r="B39" s="141">
        <v>18496</v>
      </c>
      <c r="C39" s="511">
        <f>B39*(INDEX('Ex ante LI &amp; Eligibility Stats'!$A:$M,MATCH($A39,'Ex ante LI &amp; Eligibility Stats'!$A:$A,0),MATCH('Program MW '!C$29,'Ex ante LI &amp; Eligibility Stats'!$A$8:$M$8,0))/1000)</f>
        <v>3.1148819710599231</v>
      </c>
      <c r="D39" s="511">
        <f>B39*(INDEX('Ex post LI &amp; Eligibility Stats'!$A:$N,MATCH($A39,'Ex post LI &amp; Eligibility Stats'!$A:$A,0),MATCH('Program MW '!C$29,'Ex post LI &amp; Eligibility Stats'!$A$8:$N$8,0))/1000)</f>
        <v>2.9883398633198111</v>
      </c>
      <c r="E39" s="141">
        <v>18589</v>
      </c>
      <c r="F39" s="517">
        <f>E39*(INDEX('Ex ante LI &amp; Eligibility Stats'!$A:$M,MATCH($A39,'Ex ante LI &amp; Eligibility Stats'!$A:$A,0),MATCH('Program MW '!F$29,'Ex ante LI &amp; Eligibility Stats'!$A$8:$M$8,0))/1000)</f>
        <v>3.3159180381537614</v>
      </c>
      <c r="G39" s="517">
        <f>E39*(INDEX('Ex post LI &amp; Eligibility Stats'!$A:$N,MATCH($A39,'Ex post LI &amp; Eligibility Stats'!$A:$A,0),MATCH('Program MW '!F$29,'Ex post LI &amp; Eligibility Stats'!$A$8:$N$8,0))/1000)</f>
        <v>3.0033655773817025</v>
      </c>
      <c r="H39" s="141">
        <v>18636</v>
      </c>
      <c r="I39" s="511">
        <f>H39*(INDEX('Ex ante LI &amp; Eligibility Stats'!$A:$M,MATCH($A39,'Ex ante LI &amp; Eligibility Stats'!$A:$A,0),MATCH('Program MW '!I$29,'Ex ante LI &amp; Eligibility Stats'!$A$8:$M$8,0))/1000)</f>
        <v>3.4949954886640793</v>
      </c>
      <c r="J39" s="511">
        <f>H39*(INDEX('Ex post LI &amp; Eligibility Stats'!$A:$N,MATCH($A39,'Ex post LI &amp; Eligibility Stats'!$A:$A,0),MATCH('Program MW '!I$29,'Ex post LI &amp; Eligibility Stats'!$A$8:$N$8,0))/1000)</f>
        <v>3.0109592178215832</v>
      </c>
      <c r="K39" s="141">
        <v>18799</v>
      </c>
      <c r="L39" s="721">
        <f>K39*(INDEX('Ex ante LI &amp; Eligibility Stats'!$A:$M,MATCH($A39,'Ex ante LI &amp; Eligibility Stats'!$A:$A,0),MATCH('Program MW '!L$29,'Ex ante LI &amp; Eligibility Stats'!$A$8:$M$8,0))/1000)</f>
        <v>3.0646896115493338</v>
      </c>
      <c r="M39" s="511">
        <f>K39*(INDEX('Ex post LI &amp; Eligibility Stats'!$A:$N,MATCH($A39,'Ex post LI &amp; Eligibility Stats'!$A:$A,0),MATCH('Program MW '!L$29,'Ex post LI &amp; Eligibility Stats'!$A$8:$N$8,0))/1000)</f>
        <v>3.0372946091343604</v>
      </c>
      <c r="N39" s="141">
        <v>18901</v>
      </c>
      <c r="O39" s="511">
        <f>N39*(INDEX('Ex ante LI &amp; Eligibility Stats'!$A:$M,MATCH($A39,'Ex ante LI &amp; Eligibility Stats'!$A:$A,0),MATCH('Program MW '!O$29,'Ex ante LI &amp; Eligibility Stats'!$A$8:$M$8,0))/1000)</f>
        <v>2.7070132388936578E-4</v>
      </c>
      <c r="P39" s="512">
        <f>N39*(INDEX('Ex post LI &amp; Eligibility Stats'!$A:$N,MATCH($A39,'Ex post LI &amp; Eligibility Stats'!$A:$A,0),MATCH('Program MW '!O$29,'Ex post LI &amp; Eligibility Stats'!$A$8:$N$8,0))/1000)</f>
        <v>3.0537744245570799</v>
      </c>
      <c r="Q39" s="141">
        <v>19161</v>
      </c>
      <c r="R39" s="511">
        <f>Q39*(INDEX('Ex ante LI &amp; Eligibility Stats'!$A:$M,MATCH($A39,'Ex ante LI &amp; Eligibility Stats'!$A:$A,0),MATCH('Program MW '!R$29,'Ex ante LI &amp; Eligibility Stats'!$A$8:$M$8,0))/1000)</f>
        <v>2.7442506042241877E-4</v>
      </c>
      <c r="S39" s="512">
        <f>Q39*(INDEX('Ex post LI &amp; Eligibility Stats'!$A:$N,MATCH($A39,'Ex post LI &amp; Eligibility Stats'!$A:$A,0),MATCH('Program MW '!R$29,'Ex post LI &amp; Eligibility Stats'!$A$8:$N$8,0))/1000)</f>
        <v>3.095781797203228</v>
      </c>
      <c r="T39" s="4">
        <v>663393.5</v>
      </c>
    </row>
    <row r="40" spans="1:31">
      <c r="A40" s="350" t="s">
        <v>20</v>
      </c>
      <c r="B40" s="141">
        <v>1589</v>
      </c>
      <c r="C40" s="511">
        <f>B40*(INDEX('Ex ante LI &amp; Eligibility Stats'!$A:$M,MATCH($A40,'Ex ante LI &amp; Eligibility Stats'!$A:$A,0),MATCH('Program MW '!C$29,'Ex ante LI &amp; Eligibility Stats'!$A$8:$M$8,0))/1000)</f>
        <v>0.80974281091409617</v>
      </c>
      <c r="D40" s="511">
        <f>B40*(INDEX('Ex post LI &amp; Eligibility Stats'!$A:$N,MATCH($A40,'Ex post LI &amp; Eligibility Stats'!$A:$A,0),MATCH('Program MW '!C$29,'Ex post LI &amp; Eligibility Stats'!$A$8:$N$8,0))/1000)</f>
        <v>0.75284660414118876</v>
      </c>
      <c r="E40" s="141">
        <v>1594</v>
      </c>
      <c r="F40" s="517">
        <f>E40*(INDEX('Ex ante LI &amp; Eligibility Stats'!$A:$M,MATCH($A40,'Ex ante LI &amp; Eligibility Stats'!$A:$A,0),MATCH('Program MW '!F$29,'Ex ante LI &amp; Eligibility Stats'!$A$8:$M$8,0))/1000)</f>
        <v>1.1071306865150343</v>
      </c>
      <c r="G40" s="517">
        <f>E40*(INDEX('Ex post LI &amp; Eligibility Stats'!$A:$N,MATCH($A40,'Ex post LI &amp; Eligibility Stats'!$A:$A,0),MATCH('Program MW '!F$29,'Ex post LI &amp; Eligibility Stats'!$A$8:$N$8,0))/1000)</f>
        <v>0.75521553618694459</v>
      </c>
      <c r="H40" s="141">
        <v>1606</v>
      </c>
      <c r="I40" s="511">
        <f>H40*(INDEX('Ex ante LI &amp; Eligibility Stats'!$A:$M,MATCH($A40,'Ex ante LI &amp; Eligibility Stats'!$A:$A,0),MATCH('Program MW '!I$29,'Ex ante LI &amp; Eligibility Stats'!$A$8:$M$8,0))/1000)</f>
        <v>1.1367756852192339</v>
      </c>
      <c r="J40" s="511">
        <f>H40*(INDEX('Ex post LI &amp; Eligibility Stats'!$A:$N,MATCH($A40,'Ex post LI &amp; Eligibility Stats'!$A:$A,0),MATCH('Program MW '!I$29,'Ex post LI &amp; Eligibility Stats'!$A$8:$N$8,0))/1000)</f>
        <v>0.76090097309675842</v>
      </c>
      <c r="K40" s="141">
        <v>1610</v>
      </c>
      <c r="L40" s="721">
        <f>K40*(INDEX('Ex ante LI &amp; Eligibility Stats'!$A:$M,MATCH($A40,'Ex ante LI &amp; Eligibility Stats'!$A:$A,0),MATCH('Program MW '!L$29,'Ex ante LI &amp; Eligibility Stats'!$A$8:$M$8,0))/1000)</f>
        <v>0.76166788316973277</v>
      </c>
      <c r="M40" s="511">
        <f>K40*(INDEX('Ex post LI &amp; Eligibility Stats'!$A:$N,MATCH($A40,'Ex post LI &amp; Eligibility Stats'!$A:$A,0),MATCH('Program MW '!L$29,'Ex post LI &amp; Eligibility Stats'!$A$8:$N$8,0))/1000)</f>
        <v>0.76279611873336306</v>
      </c>
      <c r="N40" s="141">
        <v>1615</v>
      </c>
      <c r="O40" s="511">
        <f>N40*(INDEX('Ex ante LI &amp; Eligibility Stats'!$A:$M,MATCH($A40,'Ex ante LI &amp; Eligibility Stats'!$A:$A,0),MATCH('Program MW '!O$29,'Ex ante LI &amp; Eligibility Stats'!$A$8:$M$8,0))/1000)</f>
        <v>2.3130132695694711E-5</v>
      </c>
      <c r="P40" s="512">
        <f>N40*(INDEX('Ex post LI &amp; Eligibility Stats'!$A:$N,MATCH($A40,'Ex post LI &amp; Eligibility Stats'!$A:$A,0),MATCH('Program MW '!O$29,'Ex post LI &amp; Eligibility Stats'!$A$8:$N$8,0))/1000)</f>
        <v>0.76516505077911889</v>
      </c>
      <c r="Q40" s="141">
        <v>1618</v>
      </c>
      <c r="R40" s="511">
        <f>Q40*(INDEX('Ex ante LI &amp; Eligibility Stats'!$A:$M,MATCH($A40,'Ex ante LI &amp; Eligibility Stats'!$A:$A,0),MATCH('Program MW '!R$29,'Ex ante LI &amp; Eligibility Stats'!$A$8:$M$8,0))/1000)</f>
        <v>2.3173098886460706E-5</v>
      </c>
      <c r="S40" s="512">
        <f>Q40*(INDEX('Ex post LI &amp; Eligibility Stats'!$A:$N,MATCH($A40,'Ex post LI &amp; Eligibility Stats'!$A:$A,0),MATCH('Program MW '!R$29,'Ex post LI &amp; Eligibility Stats'!$A$8:$N$8,0))/1000)</f>
        <v>0.76658641000657235</v>
      </c>
      <c r="T40" s="4"/>
    </row>
    <row r="41" spans="1:31">
      <c r="A41" s="350" t="s">
        <v>21</v>
      </c>
      <c r="B41" s="141">
        <v>9410</v>
      </c>
      <c r="C41" s="511">
        <f>B41*(INDEX('Ex ante LI &amp; Eligibility Stats'!$A:$M,MATCH($A41,'Ex ante LI &amp; Eligibility Stats'!$A:$A,0),MATCH('Program MW '!C$29,'Ex ante LI &amp; Eligibility Stats'!$A$8:$M$8,0))/1000)</f>
        <v>2.456235388320001</v>
      </c>
      <c r="D41" s="511">
        <f>B41*(INDEX('Ex post LI &amp; Eligibility Stats'!$A:$N,MATCH($A41,'Ex post LI &amp; Eligibility Stats'!$A:$A,0),MATCH('Program MW '!C$29,'Ex post LI &amp; Eligibility Stats'!$A$8:$N$8,0))/1000)</f>
        <v>2.3212724444999999</v>
      </c>
      <c r="E41" s="141">
        <v>9151</v>
      </c>
      <c r="F41" s="517">
        <f>E41*(INDEX('Ex ante LI &amp; Eligibility Stats'!$A:$M,MATCH($A41,'Ex ante LI &amp; Eligibility Stats'!$A:$A,0),MATCH('Program MW '!F$29,'Ex ante LI &amp; Eligibility Stats'!$A$8:$M$8,0))/1000)</f>
        <v>3.5481516926659999</v>
      </c>
      <c r="G41" s="517">
        <f>E41*(INDEX('Ex post LI &amp; Eligibility Stats'!$A:$N,MATCH($A41,'Ex post LI &amp; Eligibility Stats'!$A:$A,0),MATCH('Program MW '!F$29,'Ex post LI &amp; Eligibility Stats'!$A$8:$N$8,0))/1000)</f>
        <v>2.25738194895</v>
      </c>
      <c r="H41" s="141">
        <v>9113</v>
      </c>
      <c r="I41" s="517">
        <f>H41*(INDEX('Ex ante LI &amp; Eligibility Stats'!$A:$M,MATCH($A41,'Ex ante LI &amp; Eligibility Stats'!$A:$A,0),MATCH('Program MW '!I$29,'Ex ante LI &amp; Eligibility Stats'!$A$8:$M$8,0))/1000)</f>
        <v>4.347504225922</v>
      </c>
      <c r="J41" s="511">
        <f>H41*(INDEX('Ex post LI &amp; Eligibility Stats'!$A:$N,MATCH($A41,'Ex post LI &amp; Eligibility Stats'!$A:$A,0),MATCH('Program MW '!I$29,'Ex post LI &amp; Eligibility Stats'!$A$8:$N$8,0))/1000)</f>
        <v>2.24800805385</v>
      </c>
      <c r="K41" s="141">
        <v>9281</v>
      </c>
      <c r="L41" s="721">
        <f>K41*(INDEX('Ex ante LI &amp; Eligibility Stats'!$A:$M,MATCH($A41,'Ex ante LI &amp; Eligibility Stats'!$A:$A,0),MATCH('Program MW '!L$29,'Ex ante LI &amp; Eligibility Stats'!$A$8:$M$8,0))/1000)</f>
        <v>2.4331173918439997</v>
      </c>
      <c r="M41" s="511">
        <f>K41*(INDEX('Ex post LI &amp; Eligibility Stats'!$A:$N,MATCH($A41,'Ex post LI &amp; Eligibility Stats'!$A:$A,0),MATCH('Program MW '!L$29,'Ex post LI &amp; Eligibility Stats'!$A$8:$N$8,0))/1000)</f>
        <v>2.28945053745</v>
      </c>
      <c r="N41" s="141">
        <v>9030</v>
      </c>
      <c r="O41" s="511">
        <f>N41*(INDEX('Ex ante LI &amp; Eligibility Stats'!$A:$M,MATCH($A41,'Ex ante LI &amp; Eligibility Stats'!$A:$A,0),MATCH('Program MW '!O$29,'Ex ante LI &amp; Eligibility Stats'!$A$8:$M$8,0))/1000)</f>
        <v>1.2932823420564905E-4</v>
      </c>
      <c r="P41" s="512">
        <f>N41*(INDEX('Ex post LI &amp; Eligibility Stats'!$A:$N,MATCH($A41,'Ex post LI &amp; Eligibility Stats'!$A:$A,0),MATCH('Program MW '!O$29,'Ex post LI &amp; Eligibility Stats'!$A$8:$N$8,0))/1000)</f>
        <v>2.2275334935000002</v>
      </c>
      <c r="Q41" s="141">
        <v>8825</v>
      </c>
      <c r="R41" s="511">
        <f>Q41*(INDEX('Ex ante LI &amp; Eligibility Stats'!$A:$M,MATCH($A41,'Ex ante LI &amp; Eligibility Stats'!$A:$A,0),MATCH('Program MW '!R$29,'Ex ante LI &amp; Eligibility Stats'!$A$8:$M$8,0))/1000)</f>
        <v>1.2639221116997264E-4</v>
      </c>
      <c r="S41" s="512">
        <f>Q41*(INDEX('Ex post LI &amp; Eligibility Stats'!$A:$N,MATCH($A41,'Ex post LI &amp; Eligibility Stats'!$A:$A,0),MATCH('Program MW '!R$29,'Ex post LI &amp; Eligibility Stats'!$A$8:$N$8,0))/1000)</f>
        <v>2.1769637962499999</v>
      </c>
      <c r="T41" s="4">
        <v>157189</v>
      </c>
    </row>
    <row r="42" spans="1:31">
      <c r="A42" s="350" t="s">
        <v>23</v>
      </c>
      <c r="B42" s="141">
        <v>3467</v>
      </c>
      <c r="C42" s="511">
        <f>B42*(INDEX('Ex ante LI &amp; Eligibility Stats'!$A:$M,MATCH($A42,'Ex ante LI &amp; Eligibility Stats'!$A:$A,0),MATCH('Program MW '!C$29,'Ex ante LI &amp; Eligibility Stats'!$A$8:$M$8,0))/1000)</f>
        <v>0.70711409293599981</v>
      </c>
      <c r="D42" s="511">
        <f>B42*(INDEX('Ex post LI &amp; Eligibility Stats'!$A:$N,MATCH($A42,'Ex post LI &amp; Eligibility Stats'!$A:$A,0),MATCH('Program MW '!C$29,'Ex post LI &amp; Eligibility Stats'!$A$8:$N$8,0))/1000)</f>
        <v>0.41211587605000005</v>
      </c>
      <c r="E42" s="141">
        <v>3438</v>
      </c>
      <c r="F42" s="517">
        <f>E42*(INDEX('Ex ante LI &amp; Eligibility Stats'!$A:$M,MATCH($A42,'Ex ante LI &amp; Eligibility Stats'!$A:$A,0),MATCH('Program MW '!F$29,'Ex ante LI &amp; Eligibility Stats'!$A$8:$M$8,0))/1000)</f>
        <v>0.85267887735600012</v>
      </c>
      <c r="G42" s="517">
        <f>E42*(INDEX('Ex post LI &amp; Eligibility Stats'!$A:$N,MATCH($A42,'Ex post LI &amp; Eligibility Stats'!$A:$A,0),MATCH('Program MW '!F$29,'Ex post LI &amp; Eligibility Stats'!$A$8:$N$8,0))/1000)</f>
        <v>0.40866869970000003</v>
      </c>
      <c r="H42" s="141">
        <v>3375</v>
      </c>
      <c r="I42" s="511">
        <f>H42*(INDEX('Ex ante LI &amp; Eligibility Stats'!$A:$M,MATCH($A42,'Ex ante LI &amp; Eligibility Stats'!$A:$A,0),MATCH('Program MW '!I$29,'Ex ante LI &amp; Eligibility Stats'!$A$8:$M$8,0))/1000)</f>
        <v>1.0073143327499998</v>
      </c>
      <c r="J42" s="511">
        <f>H42*(INDEX('Ex post LI &amp; Eligibility Stats'!$A:$N,MATCH($A42,'Ex post LI &amp; Eligibility Stats'!$A:$A,0),MATCH('Program MW '!I$29,'Ex post LI &amp; Eligibility Stats'!$A$8:$N$8,0))/1000)</f>
        <v>0.40118000625000005</v>
      </c>
      <c r="K42" s="141">
        <v>3376</v>
      </c>
      <c r="L42" s="721">
        <f>K42*(INDEX('Ex ante LI &amp; Eligibility Stats'!$A:$M,MATCH($A42,'Ex ante LI &amp; Eligibility Stats'!$A:$A,0),MATCH('Program MW '!L$29,'Ex ante LI &amp; Eligibility Stats'!$A$8:$M$8,0))/1000)</f>
        <v>0.680805902016</v>
      </c>
      <c r="M42" s="511">
        <f>K42*(INDEX('Ex post LI &amp; Eligibility Stats'!$A:$N,MATCH($A42,'Ex post LI &amp; Eligibility Stats'!$A:$A,0),MATCH('Program MW '!L$29,'Ex post LI &amp; Eligibility Stats'!$A$8:$N$8,0))/1000)</f>
        <v>0.40129887440000006</v>
      </c>
      <c r="N42" s="141">
        <v>3370</v>
      </c>
      <c r="O42" s="511">
        <f>N42*(INDEX('Ex ante LI &amp; Eligibility Stats'!$A:$M,MATCH($A42,'Ex ante LI &amp; Eligibility Stats'!$A:$A,0),MATCH('Program MW '!O$29,'Ex ante LI &amp; Eligibility Stats'!$A$8:$M$8,0))/1000)</f>
        <v>4.8265354293802581E-5</v>
      </c>
      <c r="P42" s="512">
        <f>N42*(INDEX('Ex post LI &amp; Eligibility Stats'!$A:$N,MATCH($A42,'Ex post LI &amp; Eligibility Stats'!$A:$A,0),MATCH('Program MW '!O$29,'Ex post LI &amp; Eligibility Stats'!$A$8:$N$8,0))/1000)</f>
        <v>0.40058566550000002</v>
      </c>
      <c r="Q42" s="141">
        <v>3199</v>
      </c>
      <c r="R42" s="511">
        <f>Q42*(INDEX('Ex ante LI &amp; Eligibility Stats'!$A:$M,MATCH($A42,'Ex ante LI &amp; Eligibility Stats'!$A:$A,0),MATCH('Program MW '!R$29,'Ex ante LI &amp; Eligibility Stats'!$A$8:$M$8,0))/1000)</f>
        <v>4.5816281420140788E-5</v>
      </c>
      <c r="S42" s="512">
        <f>Q42*(INDEX('Ex post LI &amp; Eligibility Stats'!$A:$N,MATCH($A42,'Ex post LI &amp; Eligibility Stats'!$A:$A,0),MATCH('Program MW '!R$29,'Ex post LI &amp; Eligibility Stats'!$A$8:$N$8,0))/1000)</f>
        <v>0.38025921185000006</v>
      </c>
      <c r="T42" s="4">
        <v>157189</v>
      </c>
    </row>
    <row r="43" spans="1:31">
      <c r="A43" s="101" t="s">
        <v>24</v>
      </c>
      <c r="B43" s="141">
        <v>5</v>
      </c>
      <c r="C43" s="511">
        <f>B43*(INDEX('Ex ante LI &amp; Eligibility Stats'!$A:$M,MATCH($A43,'Ex ante LI &amp; Eligibility Stats'!$A:$A,0),MATCH('Program MW '!C$29,'Ex ante LI &amp; Eligibility Stats'!$A$8:$M$8,0))/1000)</f>
        <v>1.3977575000000001E-2</v>
      </c>
      <c r="D43" s="511">
        <f>B43*(INDEX('Ex post LI &amp; Eligibility Stats'!$A:$N,MATCH($A43,'Ex post LI &amp; Eligibility Stats'!$A:$A,0),MATCH('Program MW '!C$29,'Ex post LI &amp; Eligibility Stats'!$A$8:$N$8,0))/1000)</f>
        <v>3.473719459433889E-2</v>
      </c>
      <c r="E43" s="141">
        <v>12</v>
      </c>
      <c r="F43" s="517">
        <f>E43*(INDEX('Ex ante LI &amp; Eligibility Stats'!$A:$M,MATCH($A43,'Ex ante LI &amp; Eligibility Stats'!$A:$A,0),MATCH('Program MW '!F$29,'Ex ante LI &amp; Eligibility Stats'!$A$8:$M$8,0))/1000)</f>
        <v>3.3546180000000002E-2</v>
      </c>
      <c r="G43" s="517">
        <f>E43*(INDEX('Ex post LI &amp; Eligibility Stats'!$A:$N,MATCH($A43,'Ex post LI &amp; Eligibility Stats'!$A:$A,0),MATCH('Program MW '!F$29,'Ex post LI &amp; Eligibility Stats'!$A$8:$N$8,0))/1000)</f>
        <v>8.3369267026413341E-2</v>
      </c>
      <c r="H43" s="141">
        <v>10</v>
      </c>
      <c r="I43" s="511">
        <f>H43*(INDEX('Ex ante LI &amp; Eligibility Stats'!$A:$M,MATCH($A43,'Ex ante LI &amp; Eligibility Stats'!$A:$A,0),MATCH('Program MW '!I$29,'Ex ante LI &amp; Eligibility Stats'!$A$8:$M$8,0))/1000)</f>
        <v>2.7955150000000002E-2</v>
      </c>
      <c r="J43" s="511">
        <f>H43*(INDEX('Ex post LI &amp; Eligibility Stats'!$A:$N,MATCH($A43,'Ex post LI &amp; Eligibility Stats'!$A:$A,0),MATCH('Program MW '!I$29,'Ex post LI &amp; Eligibility Stats'!$A$8:$N$8,0))/1000)</f>
        <v>6.9474389188677779E-2</v>
      </c>
      <c r="K43" s="141">
        <v>10</v>
      </c>
      <c r="L43" s="721">
        <f>K43*(INDEX('Ex ante LI &amp; Eligibility Stats'!$A:$M,MATCH($A43,'Ex ante LI &amp; Eligibility Stats'!$A:$A,0),MATCH('Program MW '!L$29,'Ex ante LI &amp; Eligibility Stats'!$A$8:$M$8,0))/1000)</f>
        <v>2.7955150000000002E-2</v>
      </c>
      <c r="M43" s="511">
        <f>K43*(INDEX('Ex post LI &amp; Eligibility Stats'!$A:$N,MATCH($A43,'Ex post LI &amp; Eligibility Stats'!$A:$A,0),MATCH('Program MW '!L$29,'Ex post LI &amp; Eligibility Stats'!$A$8:$N$8,0))/1000)</f>
        <v>6.9474389188677779E-2</v>
      </c>
      <c r="N43" s="141">
        <v>0</v>
      </c>
      <c r="O43" s="511">
        <f>N43*(INDEX('Ex ante LI &amp; Eligibility Stats'!$A:$M,MATCH($A43,'Ex ante LI &amp; Eligibility Stats'!$A:$A,0),MATCH('Program MW '!O$29,'Ex ante LI &amp; Eligibility Stats'!$A$8:$M$8,0))/1000)</f>
        <v>0</v>
      </c>
      <c r="P43" s="512">
        <f>N43*(INDEX('Ex post LI &amp; Eligibility Stats'!$A:$N,MATCH($A43,'Ex post LI &amp; Eligibility Stats'!$A:$A,0),MATCH('Program MW '!O$29,'Ex post LI &amp; Eligibility Stats'!$A$8:$N$8,0))/1000)</f>
        <v>0</v>
      </c>
      <c r="Q43" s="141">
        <v>0</v>
      </c>
      <c r="R43" s="511">
        <f>Q43*(INDEX('Ex ante LI &amp; Eligibility Stats'!$A:$M,MATCH($A43,'Ex ante LI &amp; Eligibility Stats'!$A:$A,0),MATCH('Program MW '!R$29,'Ex ante LI &amp; Eligibility Stats'!$A$8:$M$8,0))/1000)</f>
        <v>0</v>
      </c>
      <c r="S43" s="512">
        <f>Q43*(INDEX('Ex post LI &amp; Eligibility Stats'!$A:$N,MATCH($A43,'Ex post LI &amp; Eligibility Stats'!$A:$A,0),MATCH('Program MW '!R$29,'Ex post LI &amp; Eligibility Stats'!$A$8:$N$8,0))/1000)</f>
        <v>0</v>
      </c>
      <c r="T43" s="4">
        <v>18875</v>
      </c>
      <c r="V43" s="734" t="s">
        <v>66</v>
      </c>
    </row>
    <row r="44" spans="1:31">
      <c r="A44" s="101" t="s">
        <v>25</v>
      </c>
      <c r="B44" s="141">
        <v>156</v>
      </c>
      <c r="C44" s="511">
        <f>B44*(INDEX('Ex ante LI &amp; Eligibility Stats'!$A:$M,MATCH($A44,'Ex ante LI &amp; Eligibility Stats'!$A:$A,0),MATCH('Program MW '!C$29,'Ex ante LI &amp; Eligibility Stats'!$A$8:$M$8,0))/1000)</f>
        <v>2.1686908463999996</v>
      </c>
      <c r="D44" s="511">
        <f>B44*(INDEX('Ex post LI &amp; Eligibility Stats'!$A:$N,MATCH($A44,'Ex post LI &amp; Eligibility Stats'!$A:$A,0),MATCH('Program MW '!C$29,'Ex post LI &amp; Eligibility Stats'!$A$8:$N$8,0))/1000)</f>
        <v>2.8996759999999999</v>
      </c>
      <c r="E44" s="141">
        <v>182</v>
      </c>
      <c r="F44" s="517">
        <f>E44*(INDEX('Ex ante LI &amp; Eligibility Stats'!$A:$M,MATCH($A44,'Ex ante LI &amp; Eligibility Stats'!$A:$A,0),MATCH('Program MW '!F$29,'Ex ante LI &amp; Eligibility Stats'!$A$8:$M$8,0))/1000)</f>
        <v>2.5301393207999996</v>
      </c>
      <c r="G44" s="517">
        <f>E44*(INDEX('Ex post LI &amp; Eligibility Stats'!$A:$N,MATCH($A44,'Ex post LI &amp; Eligibility Stats'!$A:$A,0),MATCH('Program MW '!F$29,'Ex post LI &amp; Eligibility Stats'!$A$8:$N$8,0))/1000)</f>
        <v>3.3829553333333333</v>
      </c>
      <c r="H44" s="141">
        <v>184</v>
      </c>
      <c r="I44" s="511">
        <f>H44*(INDEX('Ex ante LI &amp; Eligibility Stats'!$A:$M,MATCH($A44,'Ex ante LI &amp; Eligibility Stats'!$A:$A,0),MATCH('Program MW '!I$29,'Ex ante LI &amp; Eligibility Stats'!$A$8:$M$8,0))/1000)</f>
        <v>2.5579430495999995</v>
      </c>
      <c r="J44" s="511">
        <f>H44*(INDEX('Ex post LI &amp; Eligibility Stats'!$A:$N,MATCH($A44,'Ex post LI &amp; Eligibility Stats'!$A:$A,0),MATCH('Program MW '!I$29,'Ex post LI &amp; Eligibility Stats'!$A$8:$N$8,0))/1000)</f>
        <v>3.4201306666666667</v>
      </c>
      <c r="K44" s="141">
        <v>182</v>
      </c>
      <c r="L44" s="721">
        <f>K44*(INDEX('Ex ante LI &amp; Eligibility Stats'!$A:$M,MATCH($A44,'Ex ante LI &amp; Eligibility Stats'!$A:$A,0),MATCH('Program MW '!L$29,'Ex ante LI &amp; Eligibility Stats'!$A$8:$M$8,0))/1000)</f>
        <v>2.5301393207999996</v>
      </c>
      <c r="M44" s="511">
        <f>K44*(INDEX('Ex post LI &amp; Eligibility Stats'!$A:$N,MATCH($A44,'Ex post LI &amp; Eligibility Stats'!$A:$A,0),MATCH('Program MW '!L$29,'Ex post LI &amp; Eligibility Stats'!$A$8:$N$8,0))/1000)</f>
        <v>3.3829553333333333</v>
      </c>
      <c r="N44" s="141">
        <v>0</v>
      </c>
      <c r="O44" s="511">
        <f>N44*(INDEX('Ex ante LI &amp; Eligibility Stats'!$A:$M,MATCH($A44,'Ex ante LI &amp; Eligibility Stats'!$A:$A,0),MATCH('Program MW '!O$29,'Ex ante LI &amp; Eligibility Stats'!$A$8:$M$8,0))/1000)</f>
        <v>0</v>
      </c>
      <c r="P44" s="512">
        <f>N44*(INDEX('Ex post LI &amp; Eligibility Stats'!$A:$N,MATCH($A44,'Ex post LI &amp; Eligibility Stats'!$A:$A,0),MATCH('Program MW '!O$29,'Ex post LI &amp; Eligibility Stats'!$A$8:$N$8,0))/1000)</f>
        <v>0</v>
      </c>
      <c r="Q44" s="141">
        <v>0</v>
      </c>
      <c r="R44" s="511">
        <f>Q44*(INDEX('Ex ante LI &amp; Eligibility Stats'!$A:$M,MATCH($A44,'Ex ante LI &amp; Eligibility Stats'!$A:$A,0),MATCH('Program MW '!R$29,'Ex ante LI &amp; Eligibility Stats'!$A$8:$M$8,0))/1000)</f>
        <v>0</v>
      </c>
      <c r="S44" s="512">
        <f>Q44*(INDEX('Ex post LI &amp; Eligibility Stats'!$A:$N,MATCH($A44,'Ex post LI &amp; Eligibility Stats'!$A:$A,0),MATCH('Program MW '!R$29,'Ex post LI &amp; Eligibility Stats'!$A$8:$N$8,0))/1000)</f>
        <v>0</v>
      </c>
      <c r="T44" s="4">
        <v>18875</v>
      </c>
    </row>
    <row r="45" spans="1:31">
      <c r="A45" s="101" t="s">
        <v>26</v>
      </c>
      <c r="B45" s="141">
        <v>112393</v>
      </c>
      <c r="C45" s="511">
        <f>B45*(INDEX('Ex ante LI &amp; Eligibility Stats'!$A:$M,MATCH($A45,'Ex ante LI &amp; Eligibility Stats'!$A:$A,0),MATCH('Program MW '!C$29,'Ex ante LI &amp; Eligibility Stats'!$A$8:$M$8,0))/1000)</f>
        <v>1.9515478598555185</v>
      </c>
      <c r="D45" s="511">
        <f>B45*(INDEX('Ex post LI &amp; Eligibility Stats'!$A:$N,MATCH($A45,'Ex post LI &amp; Eligibility Stats'!$A:$A,0),MATCH('Program MW '!C$29,'Ex post LI &amp; Eligibility Stats'!$A$8:$N$8,0))/1000)</f>
        <v>2.7524282701102947</v>
      </c>
      <c r="E45" s="141">
        <v>112244</v>
      </c>
      <c r="F45" s="517">
        <f>E45*(INDEX('Ex ante LI &amp; Eligibility Stats'!$A:$M,MATCH($A45,'Ex ante LI &amp; Eligibility Stats'!$A:$A,0),MATCH('Program MW '!F$29,'Ex ante LI &amp; Eligibility Stats'!$A$8:$M$8,0))/1000)</f>
        <v>2.1607644234331738</v>
      </c>
      <c r="G45" s="517">
        <f>E45*(INDEX('Ex post LI &amp; Eligibility Stats'!$A:$N,MATCH($A45,'Ex post LI &amp; Eligibility Stats'!$A:$A,0),MATCH('Program MW '!F$29,'Ex post LI &amp; Eligibility Stats'!$A$8:$N$8,0))/1000)</f>
        <v>2.7487793612614655</v>
      </c>
      <c r="H45" s="141">
        <v>112007</v>
      </c>
      <c r="I45" s="517">
        <f>H45*(INDEX('Ex ante LI &amp; Eligibility Stats'!$A:$M,MATCH($A45,'Ex ante LI &amp; Eligibility Stats'!$A:$A,0),MATCH('Program MW '!I$29,'Ex ante LI &amp; Eligibility Stats'!$A$8:$M$8,0))/1000)</f>
        <v>2.5777029800109554</v>
      </c>
      <c r="J45" s="511">
        <f>H45*(INDEX('Ex post LI &amp; Eligibility Stats'!$A:$N,MATCH($A45,'Ex post LI &amp; Eligibility Stats'!$A:$A,0),MATCH('Program MW '!I$29,'Ex post LI &amp; Eligibility Stats'!$A$8:$N$8,0))/1000)</f>
        <v>2.7429753921529256</v>
      </c>
      <c r="K45" s="141">
        <v>111910</v>
      </c>
      <c r="L45" s="721">
        <f>K45*(INDEX('Ex ante LI &amp; Eligibility Stats'!$A:$M,MATCH($A45,'Ex ante LI &amp; Eligibility Stats'!$A:$A,0),MATCH('Program MW '!L$29,'Ex ante LI &amp; Eligibility Stats'!$A$8:$M$8,0))/1000)</f>
        <v>2.0289741456982573</v>
      </c>
      <c r="M45" s="511">
        <f>K45*(INDEX('Ex post LI &amp; Eligibility Stats'!$A:$N,MATCH($A45,'Ex post LI &amp; Eligibility Stats'!$A:$A,0),MATCH('Program MW '!L$29,'Ex post LI &amp; Eligibility Stats'!$A$8:$N$8,0))/1000)</f>
        <v>2.7405999280030167</v>
      </c>
      <c r="N45" s="141">
        <v>111775</v>
      </c>
      <c r="O45" s="511">
        <f>N45*(INDEX('Ex ante LI &amp; Eligibility Stats'!$A:$M,MATCH($A45,'Ex ante LI &amp; Eligibility Stats'!$A:$A,0),MATCH('Program MW '!O$29,'Ex ante LI &amp; Eligibility Stats'!$A$8:$M$8,0))/1000)</f>
        <v>1.3220276427776612</v>
      </c>
      <c r="P45" s="512">
        <f>N45*(INDEX('Ex post LI &amp; Eligibility Stats'!$A:$N,MATCH($A45,'Ex post LI &amp; Eligibility Stats'!$A:$A,0),MATCH('Program MW '!O$29,'Ex post LI &amp; Eligibility Stats'!$A$8:$N$8,0))/1000)</f>
        <v>2.7372938696500508</v>
      </c>
      <c r="Q45" s="141">
        <v>111525</v>
      </c>
      <c r="R45" s="511">
        <f>Q45*(INDEX('Ex ante LI &amp; Eligibility Stats'!$A:$M,MATCH($A45,'Ex ante LI &amp; Eligibility Stats'!$A:$A,0),MATCH('Program MW '!R$29,'Ex ante LI &amp; Eligibility Stats'!$A$8:$M$8,0))/1000)</f>
        <v>1.0947791429617098</v>
      </c>
      <c r="S45" s="512">
        <f>Q45*(INDEX('Ex post LI &amp; Eligibility Stats'!$A:$N,MATCH($A45,'Ex post LI &amp; Eligibility Stats'!$A:$A,0),MATCH('Program MW '!R$29,'Ex post LI &amp; Eligibility Stats'!$A$8:$N$8,0))/1000)</f>
        <v>2.7311715393667808</v>
      </c>
      <c r="T45" s="4"/>
    </row>
    <row r="46" spans="1:31">
      <c r="A46" s="58" t="s">
        <v>27</v>
      </c>
      <c r="B46" s="141">
        <v>13516</v>
      </c>
      <c r="C46" s="511">
        <f>B46*(INDEX('Ex ante LI &amp; Eligibility Stats'!$A:$M,MATCH($A46,'Ex ante LI &amp; Eligibility Stats'!$A:$A,0),MATCH('Program MW '!C$29,'Ex ante LI &amp; Eligibility Stats'!$A$8:$M$8,0))/1000)</f>
        <v>0.93607841378003354</v>
      </c>
      <c r="D46" s="511">
        <f>B46*(INDEX('Ex post LI &amp; Eligibility Stats'!$A:$N,MATCH($A46,'Ex post LI &amp; Eligibility Stats'!$A:$A,0),MATCH('Program MW '!C$29,'Ex post LI &amp; Eligibility Stats'!$A$8:$N$8,0))/1000)</f>
        <v>2.887456842109561</v>
      </c>
      <c r="E46" s="141">
        <v>14058</v>
      </c>
      <c r="F46" s="517">
        <f>E46*(INDEX('Ex ante LI &amp; Eligibility Stats'!$A:$M,MATCH($A46,'Ex ante LI &amp; Eligibility Stats'!$A:$A,0),MATCH('Program MW '!F$29,'Ex ante LI &amp; Eligibility Stats'!$A$8:$M$8,0))/1000)</f>
        <v>1.0628477869391439</v>
      </c>
      <c r="G46" s="517">
        <f>E46*(INDEX('Ex post LI &amp; Eligibility Stats'!$A:$N,MATCH($A46,'Ex post LI &amp; Eligibility Stats'!$A:$A,0),MATCH('Program MW '!F$29,'Ex post LI &amp; Eligibility Stats'!$A$8:$N$8,0))/1000)</f>
        <v>3.0032456559911367</v>
      </c>
      <c r="H46" s="141">
        <v>14369</v>
      </c>
      <c r="I46" s="517">
        <f>H46*(INDEX('Ex ante LI &amp; Eligibility Stats'!$A:$M,MATCH($A46,'Ex ante LI &amp; Eligibility Stats'!$A:$A,0),MATCH('Program MW '!I$29,'Ex ante LI &amp; Eligibility Stats'!$A$8:$M$8,0))/1000)</f>
        <v>0.95498530640341339</v>
      </c>
      <c r="J46" s="512">
        <f>H46*(INDEX('Ex post LI &amp; Eligibility Stats'!$A:$N,MATCH($A46,'Ex post LI &amp; Eligibility Stats'!$A:$A,0),MATCH('Program MW '!I$29,'Ex post LI &amp; Eligibility Stats'!$A$8:$N$8,0))/1000)</f>
        <v>3.0696853628493845</v>
      </c>
      <c r="K46" s="141">
        <v>14547</v>
      </c>
      <c r="L46" s="721">
        <f>K46*(INDEX('Ex ante LI &amp; Eligibility Stats'!$A:$M,MATCH($A46,'Ex ante LI &amp; Eligibility Stats'!$A:$A,0),MATCH('Program MW '!L$29,'Ex ante LI &amp; Eligibility Stats'!$A$8:$M$8,0))/1000)</f>
        <v>0.88813595906943088</v>
      </c>
      <c r="M46" s="511">
        <f>K46*(INDEX('Ex post LI &amp; Eligibility Stats'!$A:$N,MATCH($A46,'Ex post LI &amp; Eligibility Stats'!$A:$A,0),MATCH('Program MW '!L$29,'Ex post LI &amp; Eligibility Stats'!$A$8:$N$8,0))/1000)</f>
        <v>3.1077119474820791</v>
      </c>
      <c r="N46" s="141">
        <v>14663</v>
      </c>
      <c r="O46" s="511">
        <f>N46*(INDEX('Ex ante LI &amp; Eligibility Stats'!$A:$M,MATCH($A46,'Ex ante LI &amp; Eligibility Stats'!$A:$A,0),MATCH('Program MW '!O$29,'Ex ante LI &amp; Eligibility Stats'!$A$8:$M$8,0))/1000)</f>
        <v>0.64264910282269128</v>
      </c>
      <c r="P46" s="512">
        <f>N46*(INDEX('Ex post LI &amp; Eligibility Stats'!$A:$N,MATCH($A46,'Ex post LI &amp; Eligibility Stats'!$A:$A,0),MATCH('Program MW '!O$29,'Ex post LI &amp; Eligibility Stats'!$A$8:$N$8,0))/1000)</f>
        <v>3.1324933172427114</v>
      </c>
      <c r="Q46" s="141">
        <v>14851</v>
      </c>
      <c r="R46" s="511">
        <f>Q46*(INDEX('Ex ante LI &amp; Eligibility Stats'!$A:$M,MATCH($A46,'Ex ante LI &amp; Eligibility Stats'!$A:$A,0),MATCH('Program MW '!R$29,'Ex ante LI &amp; Eligibility Stats'!$A$8:$M$8,0))/1000)</f>
        <v>0.76204075710102914</v>
      </c>
      <c r="S46" s="512">
        <f>Q46*(INDEX('Ex post LI &amp; Eligibility Stats'!$A:$N,MATCH($A46,'Ex post LI &amp; Eligibility Stats'!$A:$A,0),MATCH('Program MW '!R$29,'Ex post LI &amp; Eligibility Stats'!$A$8:$N$8,0))/1000)</f>
        <v>3.1726562268547713</v>
      </c>
      <c r="T46" s="4"/>
    </row>
    <row r="47" spans="1:31" ht="13.5" thickBot="1">
      <c r="A47" s="215" t="s">
        <v>57</v>
      </c>
      <c r="B47" s="3">
        <f t="shared" ref="B47:S47" si="5">SUM(B35:B46)</f>
        <v>173696</v>
      </c>
      <c r="C47" s="312">
        <f t="shared" si="5"/>
        <v>16.0042787071846</v>
      </c>
      <c r="D47" s="280">
        <f t="shared" si="5"/>
        <v>24.231160586698973</v>
      </c>
      <c r="E47" s="3">
        <f t="shared" si="5"/>
        <v>173932</v>
      </c>
      <c r="F47" s="328">
        <f t="shared" si="5"/>
        <v>18.411423237262316</v>
      </c>
      <c r="G47" s="329">
        <f t="shared" si="5"/>
        <v>24.825268871704775</v>
      </c>
      <c r="H47" s="3">
        <f t="shared" si="5"/>
        <v>173964</v>
      </c>
      <c r="I47" s="312">
        <f t="shared" si="5"/>
        <v>23.003563359942405</v>
      </c>
      <c r="J47" s="280">
        <f t="shared" si="5"/>
        <v>24.905601553749772</v>
      </c>
      <c r="K47" s="3">
        <f t="shared" si="5"/>
        <v>174379</v>
      </c>
      <c r="L47" s="724">
        <f t="shared" si="5"/>
        <v>14.505355255049768</v>
      </c>
      <c r="M47" s="280">
        <f t="shared" si="5"/>
        <v>24.973869229598609</v>
      </c>
      <c r="N47" s="3">
        <f t="shared" si="5"/>
        <v>174018</v>
      </c>
      <c r="O47" s="312">
        <f t="shared" si="5"/>
        <v>1.965148170645437</v>
      </c>
      <c r="P47" s="280">
        <f t="shared" si="5"/>
        <v>21.499133313102739</v>
      </c>
      <c r="Q47" s="3">
        <f t="shared" si="5"/>
        <v>173551</v>
      </c>
      <c r="R47" s="312">
        <f t="shared" si="5"/>
        <v>1.8572897067146377</v>
      </c>
      <c r="S47" s="280">
        <f t="shared" si="5"/>
        <v>21.322849762798356</v>
      </c>
      <c r="T47" s="9"/>
    </row>
    <row r="48" spans="1:31" ht="14" thickTop="1" thickBot="1">
      <c r="A48" s="222" t="s">
        <v>58</v>
      </c>
      <c r="B48" s="2">
        <f t="shared" ref="B48:S48" si="6">+B33+B47</f>
        <v>173701</v>
      </c>
      <c r="C48" s="313">
        <f t="shared" si="6"/>
        <v>16.725145887055206</v>
      </c>
      <c r="D48" s="279">
        <f t="shared" si="6"/>
        <v>26.125787681563818</v>
      </c>
      <c r="E48" s="2">
        <f t="shared" si="6"/>
        <v>173937</v>
      </c>
      <c r="F48" s="330">
        <f t="shared" si="6"/>
        <v>19.129373966632432</v>
      </c>
      <c r="G48" s="331">
        <f t="shared" si="6"/>
        <v>26.71989596656962</v>
      </c>
      <c r="H48" s="2">
        <f t="shared" si="6"/>
        <v>173969</v>
      </c>
      <c r="I48" s="313">
        <f t="shared" si="6"/>
        <v>23.786025418963401</v>
      </c>
      <c r="J48" s="279">
        <f t="shared" si="6"/>
        <v>26.800228648614617</v>
      </c>
      <c r="K48" s="2">
        <f t="shared" si="6"/>
        <v>174384</v>
      </c>
      <c r="L48" s="725">
        <f t="shared" si="6"/>
        <v>15.098217826766076</v>
      </c>
      <c r="M48" s="279">
        <f t="shared" si="6"/>
        <v>26.868496324463454</v>
      </c>
      <c r="N48" s="2">
        <f t="shared" si="6"/>
        <v>174022</v>
      </c>
      <c r="O48" s="313">
        <f t="shared" si="6"/>
        <v>2.4984883256747339</v>
      </c>
      <c r="P48" s="279">
        <f t="shared" si="6"/>
        <v>23.014834988994615</v>
      </c>
      <c r="Q48" s="2">
        <f t="shared" si="6"/>
        <v>173555</v>
      </c>
      <c r="R48" s="313">
        <f t="shared" si="6"/>
        <v>2.4717576083259658</v>
      </c>
      <c r="S48" s="279">
        <f t="shared" si="6"/>
        <v>22.838551438690232</v>
      </c>
      <c r="T48" s="12"/>
      <c r="U48" s="6"/>
      <c r="V48" s="12"/>
      <c r="W48" s="12"/>
      <c r="X48" s="6"/>
      <c r="Y48" s="12"/>
      <c r="Z48" s="12"/>
    </row>
    <row r="49" spans="1:26" ht="13.5" thickTop="1">
      <c r="A49" s="172"/>
      <c r="B49" s="12"/>
      <c r="C49" s="12"/>
      <c r="D49" s="6"/>
      <c r="E49" s="12"/>
      <c r="F49" s="12"/>
      <c r="G49" s="12"/>
      <c r="H49" s="6"/>
      <c r="I49" s="12"/>
      <c r="J49" s="12"/>
      <c r="K49" s="12"/>
      <c r="L49" s="12"/>
      <c r="M49" s="6"/>
      <c r="N49" s="12"/>
      <c r="O49" s="12"/>
      <c r="P49" s="12"/>
      <c r="Q49" s="6"/>
      <c r="R49" s="12"/>
      <c r="S49" s="12"/>
      <c r="T49" s="12"/>
      <c r="U49" s="6"/>
      <c r="V49" s="6"/>
      <c r="W49" s="12"/>
      <c r="X49" s="6"/>
      <c r="Y49" s="6"/>
      <c r="Z49" s="12"/>
    </row>
    <row r="50" spans="1:26" ht="12.75" customHeight="1">
      <c r="A50" s="301" t="s">
        <v>67</v>
      </c>
      <c r="B50" s="223"/>
      <c r="C50" s="223"/>
      <c r="D50" s="223"/>
      <c r="E50" s="683"/>
      <c r="F50" s="224"/>
      <c r="G50" s="223"/>
      <c r="H50" s="224"/>
      <c r="I50" s="223"/>
      <c r="J50" s="223"/>
      <c r="K50" s="223"/>
      <c r="L50" s="223"/>
      <c r="M50" s="223"/>
      <c r="N50" s="223"/>
      <c r="O50" s="223"/>
      <c r="P50" s="225"/>
      <c r="Q50" s="223"/>
      <c r="R50" s="223"/>
      <c r="S50" s="223"/>
      <c r="T50" s="13"/>
      <c r="U50" s="13"/>
      <c r="V50" s="13"/>
      <c r="W50" s="13"/>
      <c r="X50" s="13"/>
      <c r="Y50" s="13"/>
      <c r="Z50" s="13"/>
    </row>
    <row r="51" spans="1:26" ht="33" customHeight="1">
      <c r="A51" s="750" t="s">
        <v>68</v>
      </c>
      <c r="B51" s="750"/>
      <c r="C51" s="750"/>
      <c r="D51" s="750"/>
      <c r="E51" s="750"/>
      <c r="F51" s="750"/>
      <c r="G51" s="750"/>
      <c r="H51" s="750"/>
      <c r="I51" s="750"/>
      <c r="J51" s="750"/>
      <c r="K51" s="750"/>
      <c r="L51" s="750"/>
      <c r="M51" s="750"/>
      <c r="N51" s="750"/>
      <c r="O51" s="750"/>
    </row>
    <row r="52" spans="1:26" ht="31.5" customHeight="1">
      <c r="A52" s="750" t="s">
        <v>69</v>
      </c>
      <c r="B52" s="750"/>
      <c r="C52" s="750"/>
      <c r="D52" s="750"/>
      <c r="E52" s="750"/>
      <c r="F52" s="750"/>
      <c r="G52" s="750"/>
      <c r="H52" s="750"/>
      <c r="I52" s="750"/>
      <c r="J52" s="750"/>
      <c r="K52" s="750"/>
      <c r="L52" s="750"/>
      <c r="M52" s="750"/>
      <c r="N52" s="750"/>
      <c r="O52" s="750"/>
      <c r="P52" s="13"/>
      <c r="Q52" s="13"/>
      <c r="R52" s="13"/>
      <c r="S52" s="13"/>
      <c r="T52" s="172"/>
      <c r="U52" s="172"/>
      <c r="V52" s="172"/>
      <c r="W52" s="172"/>
      <c r="X52" s="172"/>
      <c r="Y52" s="172"/>
      <c r="Z52" s="172"/>
    </row>
    <row r="53" spans="1:26" ht="32.25" customHeight="1">
      <c r="A53" s="750" t="s">
        <v>70</v>
      </c>
      <c r="B53" s="750"/>
      <c r="C53" s="750"/>
      <c r="D53" s="750"/>
      <c r="E53" s="750"/>
      <c r="F53" s="750"/>
      <c r="G53" s="750"/>
      <c r="H53" s="750"/>
      <c r="I53" s="750"/>
      <c r="J53" s="750"/>
      <c r="K53" s="750"/>
      <c r="L53" s="750"/>
      <c r="M53" s="750"/>
      <c r="N53" s="750"/>
      <c r="O53" s="750"/>
      <c r="P53" s="13"/>
      <c r="Q53" s="13"/>
      <c r="R53" s="13"/>
      <c r="S53" s="13"/>
      <c r="T53" s="172"/>
      <c r="U53" s="172"/>
      <c r="V53" s="172"/>
      <c r="W53" s="172"/>
      <c r="X53" s="172"/>
      <c r="Y53" s="172"/>
      <c r="Z53" s="172"/>
    </row>
    <row r="54" spans="1:26" ht="16.5" customHeight="1">
      <c r="A54" s="750" t="s">
        <v>71</v>
      </c>
      <c r="B54" s="750"/>
      <c r="C54" s="750"/>
      <c r="D54" s="750"/>
      <c r="E54" s="750"/>
      <c r="F54" s="750"/>
      <c r="G54" s="750"/>
      <c r="H54" s="750"/>
      <c r="I54" s="750"/>
      <c r="J54" s="750"/>
      <c r="K54" s="750"/>
      <c r="L54" s="750"/>
      <c r="M54" s="750"/>
      <c r="N54" s="750"/>
      <c r="O54" s="750"/>
      <c r="P54" s="13"/>
      <c r="Q54" s="13"/>
      <c r="R54" s="13"/>
      <c r="S54" s="13"/>
      <c r="T54" s="172"/>
      <c r="U54" s="172"/>
      <c r="V54" s="172"/>
      <c r="W54" s="172"/>
      <c r="X54" s="172"/>
      <c r="Y54" s="172"/>
      <c r="Z54" s="172"/>
    </row>
    <row r="55" spans="1:26" s="179" customFormat="1" ht="14.5">
      <c r="A55" s="718" t="s">
        <v>72</v>
      </c>
      <c r="B55" s="741"/>
      <c r="C55" s="741"/>
      <c r="D55" s="741"/>
      <c r="E55" s="741"/>
      <c r="F55" s="741"/>
      <c r="G55" s="741"/>
      <c r="H55" s="741"/>
      <c r="I55" s="741"/>
      <c r="J55" s="741"/>
      <c r="K55" s="741"/>
      <c r="L55" s="741"/>
      <c r="M55" s="741"/>
      <c r="N55" s="687"/>
      <c r="O55" s="741"/>
      <c r="P55" s="649"/>
      <c r="Q55" s="649"/>
      <c r="R55" s="649"/>
      <c r="S55" s="649"/>
      <c r="T55" s="235"/>
      <c r="U55" s="235"/>
      <c r="V55" s="235"/>
      <c r="W55" s="235"/>
      <c r="X55" s="235"/>
      <c r="Y55" s="235"/>
      <c r="Z55" s="235"/>
    </row>
    <row r="56" spans="1:26" s="179" customFormat="1" ht="13">
      <c r="A56" s="718"/>
      <c r="B56" s="741"/>
      <c r="C56" s="741"/>
      <c r="D56" s="741"/>
      <c r="E56" s="741"/>
      <c r="F56" s="741"/>
      <c r="G56" s="741"/>
      <c r="H56" s="741"/>
      <c r="I56" s="741"/>
      <c r="J56" s="741"/>
      <c r="K56" s="741"/>
      <c r="L56" s="741"/>
      <c r="M56" s="741"/>
      <c r="N56" s="687"/>
      <c r="O56" s="741"/>
      <c r="P56" s="649"/>
      <c r="Q56" s="649"/>
      <c r="R56" s="649"/>
      <c r="S56" s="649"/>
      <c r="T56" s="235"/>
      <c r="U56" s="235"/>
      <c r="V56" s="235"/>
      <c r="W56" s="235"/>
      <c r="X56" s="235"/>
      <c r="Y56" s="235"/>
      <c r="Z56" s="235"/>
    </row>
    <row r="57" spans="1:26" s="179" customFormat="1" ht="14.65" customHeight="1">
      <c r="A57" s="304" t="s">
        <v>73</v>
      </c>
      <c r="B57" s="235"/>
      <c r="C57" s="235"/>
      <c r="D57" s="235"/>
      <c r="E57" s="235"/>
      <c r="F57" s="235"/>
      <c r="G57" s="235"/>
      <c r="H57" s="235"/>
      <c r="I57" s="235"/>
      <c r="J57" s="235"/>
      <c r="K57" s="235"/>
      <c r="L57" s="235"/>
      <c r="M57" s="235"/>
      <c r="N57" s="235"/>
    </row>
    <row r="58" spans="1:26">
      <c r="A58" s="589" t="s">
        <v>74</v>
      </c>
      <c r="B58" s="741"/>
      <c r="C58" s="741"/>
      <c r="D58" s="741"/>
      <c r="E58" s="741"/>
      <c r="F58" s="741"/>
      <c r="G58" s="741"/>
      <c r="H58" s="588"/>
      <c r="I58" s="588"/>
      <c r="J58" s="588"/>
      <c r="K58" s="588"/>
      <c r="L58" s="588"/>
      <c r="M58" s="588"/>
      <c r="N58" s="588"/>
      <c r="O58" s="588"/>
    </row>
    <row r="59" spans="1:26">
      <c r="A59" s="751" t="s">
        <v>75</v>
      </c>
      <c r="B59" s="752"/>
      <c r="C59" s="752"/>
      <c r="D59" s="752"/>
      <c r="E59" s="752"/>
      <c r="F59" s="752"/>
      <c r="G59" s="752"/>
      <c r="H59" s="752"/>
      <c r="I59" s="752"/>
      <c r="J59" s="752"/>
      <c r="K59" s="752"/>
      <c r="L59" s="752"/>
      <c r="M59" s="752"/>
      <c r="N59" s="752"/>
      <c r="O59" s="588"/>
    </row>
    <row r="60" spans="1:26">
      <c r="A60" s="742"/>
      <c r="B60" s="743"/>
      <c r="C60" s="743"/>
      <c r="D60" s="743"/>
      <c r="E60" s="743"/>
      <c r="F60" s="743"/>
      <c r="G60" s="743"/>
      <c r="H60" s="743"/>
      <c r="I60" s="743"/>
      <c r="J60" s="743"/>
      <c r="K60" s="743"/>
      <c r="L60" s="743"/>
      <c r="M60" s="743"/>
      <c r="N60" s="743"/>
      <c r="O60" s="588"/>
    </row>
    <row r="61" spans="1:26" ht="14">
      <c r="A61" s="281" t="s">
        <v>76</v>
      </c>
    </row>
  </sheetData>
  <mergeCells count="5">
    <mergeCell ref="A51:O51"/>
    <mergeCell ref="A52:O52"/>
    <mergeCell ref="A59:N59"/>
    <mergeCell ref="A53:O53"/>
    <mergeCell ref="A54:O54"/>
  </mergeCells>
  <phoneticPr fontId="0" type="noConversion"/>
  <printOptions horizontalCentered="1"/>
  <pageMargins left="0" right="0" top="0.3" bottom="0.17" header="0.3" footer="0.15"/>
  <pageSetup paperSize="5" scale="50" orientation="landscape" cellComments="atEnd" r:id="rId1"/>
  <headerFooter alignWithMargins="0">
    <oddHeader xml:space="preserve">&amp;C&amp;"Arial,Bold"
</oddHeader>
    <oddFooter>&amp;Rpage 1 of 12
&amp;A
&amp;D  &amp;T</oddFooter>
  </headerFooter>
  <customProperties>
    <customPr name="_pios_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pageSetUpPr fitToPage="1"/>
  </sheetPr>
  <dimension ref="A2:O28"/>
  <sheetViews>
    <sheetView topLeftCell="A16" zoomScaleNormal="100" zoomScaleSheetLayoutView="100" workbookViewId="0">
      <selection activeCell="A31" sqref="A31"/>
    </sheetView>
  </sheetViews>
  <sheetFormatPr defaultColWidth="9.1796875" defaultRowHeight="12.5"/>
  <cols>
    <col min="1" max="1" width="33.54296875" customWidth="1"/>
    <col min="2" max="2" width="8.26953125" customWidth="1"/>
    <col min="3" max="3" width="9.1796875" customWidth="1"/>
    <col min="4" max="4" width="9" customWidth="1"/>
    <col min="5" max="9" width="10.54296875" customWidth="1"/>
    <col min="10" max="10" width="11.54296875" customWidth="1"/>
    <col min="11" max="11" width="10.54296875" customWidth="1"/>
    <col min="12" max="12" width="10.81640625" customWidth="1"/>
    <col min="13" max="13" width="10.26953125" customWidth="1"/>
    <col min="14" max="14" width="18.7265625" style="180" customWidth="1"/>
    <col min="15" max="15" width="149.54296875" customWidth="1"/>
  </cols>
  <sheetData>
    <row r="2" spans="1:15" ht="13">
      <c r="A2" s="54"/>
      <c r="H2" s="175" t="s">
        <v>39</v>
      </c>
      <c r="N2" s="544"/>
    </row>
    <row r="3" spans="1:15" ht="13">
      <c r="E3" s="545"/>
      <c r="H3" s="178" t="str">
        <f>'Program MW '!H3</f>
        <v>December 2019</v>
      </c>
      <c r="N3" s="544"/>
    </row>
    <row r="4" spans="1:15">
      <c r="E4" s="177"/>
      <c r="F4" s="177"/>
      <c r="G4" s="177"/>
      <c r="I4" s="177"/>
      <c r="N4" s="544"/>
    </row>
    <row r="5" spans="1:15" ht="13">
      <c r="B5" s="177"/>
      <c r="C5" s="177"/>
      <c r="D5" s="177"/>
      <c r="F5" s="176"/>
      <c r="N5" s="544"/>
      <c r="O5" s="57"/>
    </row>
    <row r="6" spans="1:15" ht="13">
      <c r="F6" s="176"/>
      <c r="N6" s="544"/>
    </row>
    <row r="7" spans="1:15" ht="13.5" customHeight="1">
      <c r="A7" s="753" t="s">
        <v>77</v>
      </c>
      <c r="B7" s="754"/>
      <c r="C7" s="754"/>
      <c r="D7" s="754"/>
      <c r="E7" s="754"/>
      <c r="F7" s="754"/>
      <c r="G7" s="754"/>
      <c r="H7" s="754"/>
      <c r="I7" s="754"/>
      <c r="J7" s="754"/>
      <c r="K7" s="754"/>
      <c r="L7" s="754"/>
      <c r="M7" s="754"/>
      <c r="N7" s="755"/>
      <c r="O7" s="679"/>
    </row>
    <row r="8" spans="1:15" ht="38.25" customHeight="1">
      <c r="A8" s="56" t="s">
        <v>1</v>
      </c>
      <c r="B8" s="369" t="s">
        <v>42</v>
      </c>
      <c r="C8" s="369" t="s">
        <v>43</v>
      </c>
      <c r="D8" s="369" t="s">
        <v>44</v>
      </c>
      <c r="E8" s="369" t="s">
        <v>45</v>
      </c>
      <c r="F8" s="369" t="s">
        <v>31</v>
      </c>
      <c r="G8" s="369" t="s">
        <v>46</v>
      </c>
      <c r="H8" s="369" t="s">
        <v>59</v>
      </c>
      <c r="I8" s="369" t="s">
        <v>60</v>
      </c>
      <c r="J8" s="369" t="s">
        <v>61</v>
      </c>
      <c r="K8" s="369" t="s">
        <v>62</v>
      </c>
      <c r="L8" s="369" t="s">
        <v>63</v>
      </c>
      <c r="M8" s="369" t="s">
        <v>64</v>
      </c>
      <c r="N8" s="680" t="s">
        <v>78</v>
      </c>
      <c r="O8" s="369" t="s">
        <v>79</v>
      </c>
    </row>
    <row r="9" spans="1:15" ht="75.75" customHeight="1">
      <c r="A9" s="351" t="s">
        <v>8</v>
      </c>
      <c r="B9" s="352">
        <v>17.305285739898682</v>
      </c>
      <c r="C9" s="353">
        <v>37.178096389770509</v>
      </c>
      <c r="D9" s="354">
        <v>177.42548522949218</v>
      </c>
      <c r="E9" s="353">
        <v>146.54797821044923</v>
      </c>
      <c r="F9" s="353">
        <v>160.39271087646483</v>
      </c>
      <c r="G9" s="353">
        <v>144.3177490234375</v>
      </c>
      <c r="H9" s="353">
        <v>144.17343597412111</v>
      </c>
      <c r="I9" s="353">
        <v>143.59014587402345</v>
      </c>
      <c r="J9" s="353">
        <v>156.49241180419921</v>
      </c>
      <c r="K9" s="353">
        <v>118.57251434326172</v>
      </c>
      <c r="L9" s="353">
        <v>133.33503875732421</v>
      </c>
      <c r="M9" s="353">
        <v>153.61697540283203</v>
      </c>
      <c r="N9" s="363">
        <v>5142</v>
      </c>
      <c r="O9" s="395" t="s">
        <v>80</v>
      </c>
    </row>
    <row r="10" spans="1:15" ht="75.75" customHeight="1">
      <c r="A10" s="351" t="s">
        <v>11</v>
      </c>
      <c r="B10" s="352">
        <v>0.72411019504070284</v>
      </c>
      <c r="C10" s="352">
        <v>0.73440686166286473</v>
      </c>
      <c r="D10" s="355">
        <v>0</v>
      </c>
      <c r="E10" s="356">
        <v>0</v>
      </c>
      <c r="F10" s="356">
        <v>5.0590836281626958E-2</v>
      </c>
      <c r="G10" s="356">
        <v>0</v>
      </c>
      <c r="H10" s="356">
        <v>0.26229351080399849</v>
      </c>
      <c r="I10" s="356">
        <v>0.25917249071807963</v>
      </c>
      <c r="J10" s="356">
        <v>0.47046219336920991</v>
      </c>
      <c r="K10" s="356">
        <v>0.14252676061535943</v>
      </c>
      <c r="L10" s="356">
        <v>0</v>
      </c>
      <c r="M10" s="356">
        <v>0</v>
      </c>
      <c r="N10" s="363">
        <v>18466</v>
      </c>
      <c r="O10" s="395" t="s">
        <v>81</v>
      </c>
    </row>
    <row r="11" spans="1:15" ht="75.75" customHeight="1">
      <c r="A11" s="351" t="s">
        <v>17</v>
      </c>
      <c r="B11" s="352">
        <v>0</v>
      </c>
      <c r="C11" s="352">
        <v>0</v>
      </c>
      <c r="D11" s="355">
        <v>1.4322063588665455E-5</v>
      </c>
      <c r="E11" s="356">
        <v>0.14847403151022037</v>
      </c>
      <c r="F11" s="356">
        <v>0.15898399063360039</v>
      </c>
      <c r="G11" s="356">
        <v>0.1542056603153302</v>
      </c>
      <c r="H11" s="356">
        <v>0.168408411065091</v>
      </c>
      <c r="I11" s="356">
        <v>0.17838065727870039</v>
      </c>
      <c r="J11" s="356">
        <v>0.18754000261129422</v>
      </c>
      <c r="K11" s="356">
        <v>0.16302407636306898</v>
      </c>
      <c r="L11" s="356">
        <v>1.4322063588665455E-5</v>
      </c>
      <c r="M11" s="352">
        <v>1.4322063588665455E-5</v>
      </c>
      <c r="N11" s="371">
        <v>564565</v>
      </c>
      <c r="O11" s="395" t="s">
        <v>82</v>
      </c>
    </row>
    <row r="12" spans="1:15" ht="75.75" customHeight="1">
      <c r="A12" s="351" t="s">
        <v>20</v>
      </c>
      <c r="B12" s="352">
        <v>0</v>
      </c>
      <c r="C12" s="352">
        <v>0</v>
      </c>
      <c r="D12" s="355">
        <v>1.4322063588665455E-5</v>
      </c>
      <c r="E12" s="356">
        <v>0.18095105701702446</v>
      </c>
      <c r="F12" s="356">
        <v>0.31889411644333532</v>
      </c>
      <c r="G12" s="356">
        <v>0.27393159927366845</v>
      </c>
      <c r="H12" s="356">
        <v>0.50959270667973333</v>
      </c>
      <c r="I12" s="356">
        <v>0.69456128388647076</v>
      </c>
      <c r="J12" s="356">
        <v>0.70783043911533872</v>
      </c>
      <c r="K12" s="356">
        <v>0.47308564172033096</v>
      </c>
      <c r="L12" s="356">
        <v>1.4322063588665455E-5</v>
      </c>
      <c r="M12" s="352">
        <v>1.4322063588665455E-5</v>
      </c>
      <c r="N12" s="371">
        <v>152067</v>
      </c>
      <c r="O12" s="395" t="s">
        <v>83</v>
      </c>
    </row>
    <row r="13" spans="1:15" ht="75.75" customHeight="1">
      <c r="A13" s="351" t="s">
        <v>21</v>
      </c>
      <c r="B13" s="356">
        <v>0</v>
      </c>
      <c r="C13" s="356">
        <v>0</v>
      </c>
      <c r="D13" s="372">
        <v>1.4322063588665455E-5</v>
      </c>
      <c r="E13" s="356">
        <v>0</v>
      </c>
      <c r="F13" s="356">
        <v>6.7771830000000005E-2</v>
      </c>
      <c r="G13" s="356">
        <v>1.4479642000000001E-2</v>
      </c>
      <c r="H13" s="356">
        <v>0.26102395200000006</v>
      </c>
      <c r="I13" s="356">
        <v>0.38773376599999998</v>
      </c>
      <c r="J13" s="356">
        <v>0.477066194</v>
      </c>
      <c r="K13" s="356">
        <v>0.26216112399999997</v>
      </c>
      <c r="L13" s="356">
        <v>1.4322063588665455E-5</v>
      </c>
      <c r="M13" s="356">
        <v>1.4322063588665455E-5</v>
      </c>
      <c r="N13" s="371">
        <v>564565</v>
      </c>
      <c r="O13" s="395" t="s">
        <v>84</v>
      </c>
    </row>
    <row r="14" spans="1:15" ht="75.75" customHeight="1">
      <c r="A14" s="351" t="s">
        <v>23</v>
      </c>
      <c r="B14" s="356">
        <v>0</v>
      </c>
      <c r="C14" s="356">
        <v>0</v>
      </c>
      <c r="D14" s="372">
        <v>1.4322063588665455E-5</v>
      </c>
      <c r="E14" s="356">
        <v>9.9846003999999988E-2</v>
      </c>
      <c r="F14" s="356">
        <v>0.13070845199999997</v>
      </c>
      <c r="G14" s="356">
        <v>0.105700478</v>
      </c>
      <c r="H14" s="356">
        <v>0.20395560799999995</v>
      </c>
      <c r="I14" s="356">
        <v>0.24801596200000003</v>
      </c>
      <c r="J14" s="356">
        <v>0.29846350599999993</v>
      </c>
      <c r="K14" s="356">
        <v>0.20166051600000001</v>
      </c>
      <c r="L14" s="356">
        <v>1.4322063588665455E-5</v>
      </c>
      <c r="M14" s="356">
        <v>1.4322063588665455E-5</v>
      </c>
      <c r="N14" s="371">
        <v>134989</v>
      </c>
      <c r="O14" s="395" t="s">
        <v>85</v>
      </c>
    </row>
    <row r="15" spans="1:15" ht="75.75" customHeight="1">
      <c r="A15" s="357" t="s">
        <v>24</v>
      </c>
      <c r="B15" s="358">
        <v>0</v>
      </c>
      <c r="C15" s="358">
        <v>0</v>
      </c>
      <c r="D15" s="359">
        <v>0</v>
      </c>
      <c r="E15" s="356">
        <v>0</v>
      </c>
      <c r="F15" s="356">
        <v>2.795515</v>
      </c>
      <c r="G15" s="356">
        <v>2.795515</v>
      </c>
      <c r="H15" s="356">
        <v>2.795515</v>
      </c>
      <c r="I15" s="356">
        <v>2.795515</v>
      </c>
      <c r="J15" s="356">
        <v>2.795515</v>
      </c>
      <c r="K15" s="356">
        <v>2.795515</v>
      </c>
      <c r="L15" s="356">
        <v>0</v>
      </c>
      <c r="M15" s="356">
        <v>0</v>
      </c>
      <c r="N15" s="363">
        <v>44734</v>
      </c>
      <c r="O15" s="395" t="s">
        <v>86</v>
      </c>
    </row>
    <row r="16" spans="1:15" ht="75.75" customHeight="1">
      <c r="A16" s="357" t="s">
        <v>25</v>
      </c>
      <c r="B16" s="360">
        <v>0</v>
      </c>
      <c r="C16" s="360">
        <v>0</v>
      </c>
      <c r="D16" s="361">
        <v>0</v>
      </c>
      <c r="E16" s="356">
        <v>0</v>
      </c>
      <c r="F16" s="356">
        <v>13.901864399999999</v>
      </c>
      <c r="G16" s="356">
        <v>13.901864399999999</v>
      </c>
      <c r="H16" s="356">
        <v>13.901864399999999</v>
      </c>
      <c r="I16" s="356">
        <v>13.901864399999999</v>
      </c>
      <c r="J16" s="356">
        <v>13.901864399999999</v>
      </c>
      <c r="K16" s="356">
        <v>13.901864399999999</v>
      </c>
      <c r="L16" s="356">
        <v>0</v>
      </c>
      <c r="M16" s="356">
        <v>0</v>
      </c>
      <c r="N16" s="363">
        <v>44734</v>
      </c>
      <c r="O16" s="395" t="s">
        <v>86</v>
      </c>
    </row>
    <row r="17" spans="1:15" ht="75.75" customHeight="1">
      <c r="A17" s="351" t="s">
        <v>27</v>
      </c>
      <c r="B17" s="352">
        <v>5.1726200652774425E-2</v>
      </c>
      <c r="C17" s="352">
        <v>4.3396219768328595E-2</v>
      </c>
      <c r="D17" s="355">
        <v>3.4043240547180179E-2</v>
      </c>
      <c r="E17" s="352">
        <v>3.6673100665211678E-2</v>
      </c>
      <c r="F17" s="352">
        <v>4.174755923449993E-2</v>
      </c>
      <c r="G17" s="352">
        <v>4.5883961766958234E-2</v>
      </c>
      <c r="H17" s="352">
        <v>6.925705932080746E-2</v>
      </c>
      <c r="I17" s="352">
        <v>7.5604480504989621E-2</v>
      </c>
      <c r="J17" s="352">
        <v>6.6461500898003581E-2</v>
      </c>
      <c r="K17" s="352">
        <v>6.1052860319614412E-2</v>
      </c>
      <c r="L17" s="352">
        <v>4.3827941268682481E-2</v>
      </c>
      <c r="M17" s="352">
        <v>5.1312420517206192E-2</v>
      </c>
      <c r="N17" s="363">
        <v>1129129</v>
      </c>
      <c r="O17" s="395" t="s">
        <v>87</v>
      </c>
    </row>
    <row r="18" spans="1:15" ht="160.5" customHeight="1">
      <c r="A18" s="351" t="s">
        <v>26</v>
      </c>
      <c r="B18" s="352">
        <v>2.5726234823162477E-3</v>
      </c>
      <c r="C18" s="352">
        <v>2.5440464090193812E-3</v>
      </c>
      <c r="D18" s="355">
        <v>9.8610259371347733E-3</v>
      </c>
      <c r="E18" s="352">
        <v>1.3510262228057322E-2</v>
      </c>
      <c r="F18" s="352">
        <v>1.480162121511123E-2</v>
      </c>
      <c r="G18" s="352">
        <v>1.3626389392277654E-2</v>
      </c>
      <c r="H18" s="352">
        <v>1.736360680696768E-2</v>
      </c>
      <c r="I18" s="352">
        <v>1.9250600686301036E-2</v>
      </c>
      <c r="J18" s="352">
        <v>2.3013766818243103E-2</v>
      </c>
      <c r="K18" s="352">
        <v>1.8130409665787304E-2</v>
      </c>
      <c r="L18" s="352">
        <v>1.1827579000471137E-2</v>
      </c>
      <c r="M18" s="352">
        <v>9.8164460252114748E-3</v>
      </c>
      <c r="N18" s="363">
        <v>121723</v>
      </c>
      <c r="O18" s="395" t="s">
        <v>88</v>
      </c>
    </row>
    <row r="19" spans="1:15">
      <c r="B19" s="197"/>
      <c r="C19" s="197"/>
      <c r="D19" s="197"/>
      <c r="E19" s="197"/>
      <c r="F19" s="197"/>
      <c r="G19" s="197"/>
      <c r="H19" s="197"/>
      <c r="I19" s="197"/>
      <c r="J19" s="197"/>
      <c r="K19" s="197"/>
      <c r="L19" s="197"/>
      <c r="M19" s="197"/>
      <c r="N19" s="197"/>
    </row>
    <row r="20" spans="1:15" ht="14">
      <c r="A20" s="302" t="s">
        <v>67</v>
      </c>
      <c r="B20" s="546"/>
      <c r="C20" s="546"/>
      <c r="D20" s="546"/>
      <c r="E20" s="546"/>
      <c r="F20" s="547"/>
      <c r="G20" s="546"/>
      <c r="H20" s="547"/>
      <c r="I20" s="546"/>
      <c r="J20" s="546"/>
      <c r="K20" s="546"/>
      <c r="L20" s="546"/>
      <c r="M20" s="546"/>
      <c r="N20" s="544"/>
      <c r="O20" s="546"/>
    </row>
    <row r="21" spans="1:15">
      <c r="A21" s="756" t="s">
        <v>89</v>
      </c>
      <c r="B21" s="756"/>
      <c r="C21" s="756"/>
      <c r="D21" s="756"/>
      <c r="E21" s="756"/>
      <c r="F21" s="756"/>
      <c r="G21" s="756"/>
      <c r="H21" s="756"/>
      <c r="I21" s="756"/>
      <c r="J21" s="756"/>
      <c r="K21" s="756"/>
      <c r="L21" s="756"/>
      <c r="M21" s="756"/>
      <c r="N21" s="756"/>
      <c r="O21" s="745"/>
    </row>
    <row r="22" spans="1:15">
      <c r="A22" s="756" t="s">
        <v>90</v>
      </c>
      <c r="B22" s="756"/>
      <c r="C22" s="756"/>
      <c r="D22" s="756"/>
      <c r="E22" s="756"/>
      <c r="F22" s="756"/>
      <c r="G22" s="756"/>
      <c r="H22" s="756"/>
      <c r="I22" s="756"/>
      <c r="J22" s="756"/>
      <c r="K22" s="756"/>
      <c r="L22" s="756"/>
      <c r="M22" s="756"/>
      <c r="N22" s="756"/>
      <c r="O22" s="756"/>
    </row>
    <row r="23" spans="1:15">
      <c r="A23" s="756" t="s">
        <v>91</v>
      </c>
      <c r="B23" s="756"/>
      <c r="C23" s="756"/>
      <c r="D23" s="756"/>
      <c r="E23" s="756"/>
      <c r="F23" s="756"/>
      <c r="G23" s="756"/>
      <c r="H23" s="756"/>
      <c r="I23" s="756"/>
      <c r="J23" s="756"/>
      <c r="K23" s="756"/>
      <c r="L23" s="756"/>
      <c r="M23" s="756"/>
      <c r="N23" s="756"/>
      <c r="O23" s="756"/>
    </row>
    <row r="24" spans="1:15">
      <c r="A24" s="589" t="s">
        <v>92</v>
      </c>
      <c r="N24" s="544"/>
    </row>
    <row r="25" spans="1:15">
      <c r="A25" s="589" t="s">
        <v>75</v>
      </c>
      <c r="N25" s="544"/>
    </row>
    <row r="26" spans="1:15" s="177" customFormat="1">
      <c r="A26" s="640" t="s">
        <v>93</v>
      </c>
      <c r="N26" s="548"/>
    </row>
    <row r="27" spans="1:15">
      <c r="A27" s="177"/>
      <c r="N27" s="544"/>
    </row>
    <row r="28" spans="1:15" ht="14">
      <c r="A28" s="281" t="s">
        <v>76</v>
      </c>
      <c r="N28" s="544"/>
    </row>
  </sheetData>
  <mergeCells count="4">
    <mergeCell ref="A7:N7"/>
    <mergeCell ref="A21:N21"/>
    <mergeCell ref="A22:O22"/>
    <mergeCell ref="A23:O23"/>
  </mergeCells>
  <phoneticPr fontId="42" type="noConversion"/>
  <printOptions horizontalCentered="1"/>
  <pageMargins left="0" right="0" top="0.55000000000000004" bottom="0.17" header="0.3" footer="0.15"/>
  <pageSetup paperSize="5" scale="54" orientation="landscape" cellComments="atEnd" r:id="rId1"/>
  <headerFooter alignWithMargins="0">
    <oddHeader xml:space="preserve">&amp;C&amp;"Arial,Bold"
</oddHeader>
    <oddFooter>&amp;Rpage 2 of 12
&amp;A
&amp;D</oddFooter>
  </headerFooter>
  <customProperties>
    <customPr name="_pios_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Z53"/>
  <sheetViews>
    <sheetView showGridLines="0" showRuler="0" zoomScaleNormal="100" zoomScaleSheetLayoutView="100" workbookViewId="0">
      <selection activeCell="E10" sqref="E10"/>
    </sheetView>
  </sheetViews>
  <sheetFormatPr defaultColWidth="9.1796875" defaultRowHeight="40.15" customHeight="1"/>
  <cols>
    <col min="1" max="1" width="35" customWidth="1"/>
    <col min="2" max="3" width="10.7265625" customWidth="1"/>
    <col min="4" max="4" width="10.81640625" customWidth="1"/>
    <col min="5" max="13" width="10.7265625" customWidth="1"/>
    <col min="14" max="14" width="14.1796875" style="232" bestFit="1" customWidth="1"/>
    <col min="15" max="15" width="149.54296875" customWidth="1"/>
  </cols>
  <sheetData>
    <row r="1" spans="1:15" ht="12.5">
      <c r="N1" s="548"/>
    </row>
    <row r="2" spans="1:15" ht="13">
      <c r="H2" s="175" t="s">
        <v>39</v>
      </c>
      <c r="N2" s="548"/>
    </row>
    <row r="3" spans="1:15" ht="13">
      <c r="H3" s="229" t="str">
        <f>'Program MW '!H3</f>
        <v>December 2019</v>
      </c>
      <c r="N3" s="548"/>
    </row>
    <row r="4" spans="1:15" ht="12.5">
      <c r="F4" s="177"/>
      <c r="G4" s="177"/>
      <c r="I4" s="177"/>
      <c r="N4" s="548"/>
      <c r="O4" s="57"/>
    </row>
    <row r="5" spans="1:15" ht="13">
      <c r="B5" s="177"/>
      <c r="C5" s="177"/>
      <c r="D5" s="177"/>
      <c r="F5" s="175"/>
      <c r="N5" s="548"/>
    </row>
    <row r="6" spans="1:15" ht="13">
      <c r="F6" s="175"/>
      <c r="N6" s="548"/>
    </row>
    <row r="7" spans="1:15" ht="22.5" customHeight="1">
      <c r="A7" s="757" t="s">
        <v>94</v>
      </c>
      <c r="B7" s="758"/>
      <c r="C7" s="758"/>
      <c r="D7" s="758"/>
      <c r="E7" s="758"/>
      <c r="F7" s="758"/>
      <c r="G7" s="758"/>
      <c r="H7" s="758"/>
      <c r="I7" s="758"/>
      <c r="J7" s="758"/>
      <c r="K7" s="758"/>
      <c r="L7" s="758"/>
      <c r="M7" s="758"/>
      <c r="N7" s="759"/>
      <c r="O7" s="55"/>
    </row>
    <row r="8" spans="1:15" ht="40.15" customHeight="1">
      <c r="A8" s="56" t="s">
        <v>1</v>
      </c>
      <c r="B8" s="677" t="s">
        <v>42</v>
      </c>
      <c r="C8" s="677" t="s">
        <v>43</v>
      </c>
      <c r="D8" s="677" t="s">
        <v>44</v>
      </c>
      <c r="E8" s="677" t="s">
        <v>45</v>
      </c>
      <c r="F8" s="677" t="s">
        <v>31</v>
      </c>
      <c r="G8" s="677" t="s">
        <v>46</v>
      </c>
      <c r="H8" s="677" t="s">
        <v>59</v>
      </c>
      <c r="I8" s="677" t="s">
        <v>60</v>
      </c>
      <c r="J8" s="677" t="s">
        <v>61</v>
      </c>
      <c r="K8" s="677" t="s">
        <v>62</v>
      </c>
      <c r="L8" s="677" t="s">
        <v>63</v>
      </c>
      <c r="M8" s="677" t="s">
        <v>64</v>
      </c>
      <c r="N8" s="678" t="str">
        <f>'Ex ante LI &amp; Eligibility Stats'!N8:N8</f>
        <v>Eligible Accounts as of January</v>
      </c>
      <c r="O8" s="369" t="s">
        <v>79</v>
      </c>
    </row>
    <row r="9" spans="1:15" ht="75.75" customHeight="1">
      <c r="A9" s="351" t="s">
        <v>8</v>
      </c>
      <c r="B9" s="352">
        <v>423.79489135742188</v>
      </c>
      <c r="C9" s="352">
        <v>423.79489135742188</v>
      </c>
      <c r="D9" s="355">
        <v>378.92541897296906</v>
      </c>
      <c r="E9" s="362">
        <v>378.92541897296906</v>
      </c>
      <c r="F9" s="362">
        <v>378.92541897296906</v>
      </c>
      <c r="G9" s="362">
        <v>378.92541897296906</v>
      </c>
      <c r="H9" s="362">
        <v>378.92541897296906</v>
      </c>
      <c r="I9" s="362">
        <v>378.92541897296906</v>
      </c>
      <c r="J9" s="362">
        <v>378.92541897296906</v>
      </c>
      <c r="K9" s="362">
        <v>378.92541897296906</v>
      </c>
      <c r="L9" s="362">
        <v>378.92541897296906</v>
      </c>
      <c r="M9" s="362">
        <v>378.92541897296906</v>
      </c>
      <c r="N9" s="371">
        <f>+'Ex ante LI &amp; Eligibility Stats'!N9</f>
        <v>5142</v>
      </c>
      <c r="O9" s="370" t="str">
        <f>+'Ex ante LI &amp; Eligibility Stats'!O9</f>
        <v xml:space="preserve">Applicable to all non-residential time-of-use metered customers who can commit to curtail at least 15% of Monthly Average Peak Demand, with a minimum load reduction of 100 kW and who request service per the Base Interruptible Program (BIP) Schedule and comply with Special Condition 3. The BIP Schedule is available to bundled, Direct Access (DA), and Community Choice Aggregation (CCA) customers. Qualifying customers are required to complete a BIP Contract with SDG&amp;E in order to participate in BIP Tariff. </v>
      </c>
    </row>
    <row r="10" spans="1:15" ht="75.75" customHeight="1">
      <c r="A10" s="351" t="s">
        <v>11</v>
      </c>
      <c r="B10" s="352">
        <v>1.455878734588623</v>
      </c>
      <c r="C10" s="352">
        <v>1.455878734588623</v>
      </c>
      <c r="D10" s="355">
        <v>0.62622161166703816</v>
      </c>
      <c r="E10" s="364">
        <v>0.62622161166703816</v>
      </c>
      <c r="F10" s="364">
        <v>0.62622161166703816</v>
      </c>
      <c r="G10" s="364">
        <v>0.62622161166703816</v>
      </c>
      <c r="H10" s="364">
        <v>0.62622161166703816</v>
      </c>
      <c r="I10" s="364">
        <v>0.62622161166703816</v>
      </c>
      <c r="J10" s="364">
        <v>0.62622161166703816</v>
      </c>
      <c r="K10" s="364">
        <v>0.62622161166703816</v>
      </c>
      <c r="L10" s="364">
        <v>0.62622161166703816</v>
      </c>
      <c r="M10" s="364">
        <v>0.62622161166703816</v>
      </c>
      <c r="N10" s="371">
        <f>+'Ex ante LI &amp; Eligibility Stats'!N10</f>
        <v>18466</v>
      </c>
      <c r="O10" s="370" t="str">
        <f>+'Ex ante LI &amp; Eligibility Stats'!O10</f>
        <v>The CPP-D Schedule is the default commodity rate for customers currently receiving bundled utility service on a commercial/industrial rate schedule for customers whose Maximum Monthly Demand is equal to or exceeds or is expected to equal or exceed 20 kW for twelve consecutive months. The CPP-D Schedule is not applicable to DA or CCA customers.</v>
      </c>
    </row>
    <row r="11" spans="1:15" ht="75.75" customHeight="1">
      <c r="A11" s="351" t="s">
        <v>17</v>
      </c>
      <c r="B11" s="352">
        <v>0.42622583166797401</v>
      </c>
      <c r="C11" s="352">
        <v>0.42622583166797401</v>
      </c>
      <c r="D11" s="355">
        <v>0.16156681786979948</v>
      </c>
      <c r="E11" s="352">
        <v>0.16156681786979948</v>
      </c>
      <c r="F11" s="362">
        <v>0.16156681786979948</v>
      </c>
      <c r="G11" s="362">
        <v>0.16156681786979948</v>
      </c>
      <c r="H11" s="362">
        <v>0.16156681786979948</v>
      </c>
      <c r="I11" s="362">
        <v>0.16156681786979948</v>
      </c>
      <c r="J11" s="362">
        <v>0.16156681786979948</v>
      </c>
      <c r="K11" s="362">
        <v>0.16156681786979948</v>
      </c>
      <c r="L11" s="362">
        <v>0.16156681786979948</v>
      </c>
      <c r="M11" s="362">
        <v>0.16156681786979948</v>
      </c>
      <c r="N11" s="371">
        <f>+'Ex ante LI &amp; Eligibility Stats'!N11</f>
        <v>564565</v>
      </c>
      <c r="O11" s="370" t="str">
        <f>+'Ex ante LI &amp; Eligibility Stats'!O11</f>
        <v>AC Saver is a voluntary demand response program available to all residential customers with air conditioner (AC) units installed at their premise with SDG&amp;E approved technology capable of curtailing the customers’ AC unit. Residential customers with Net Energy Metering are not eligible to participate in the AC Saver Schedule. The AC Saver Schedule is available to customers receiving Bundled Utility Service or, DA service and billed by the Utility. Service on AC Saver Schedule must be taken in combination with the customer’s otherwise applicable rate schedule. Note: AC Saver Day Of in the past we used 62% based on historical RASS data - growth between 2003-2009.</v>
      </c>
    </row>
    <row r="12" spans="1:15" ht="75.75" customHeight="1">
      <c r="A12" s="351" t="s">
        <v>20</v>
      </c>
      <c r="B12" s="352">
        <v>1.2212848663330078</v>
      </c>
      <c r="C12" s="352">
        <v>1.2212848663330078</v>
      </c>
      <c r="D12" s="355">
        <v>0.47378640915115722</v>
      </c>
      <c r="E12" s="364">
        <v>0.47378640915115722</v>
      </c>
      <c r="F12" s="364">
        <v>0.47378640915115722</v>
      </c>
      <c r="G12" s="364">
        <v>0.47378640915115722</v>
      </c>
      <c r="H12" s="364">
        <v>0.47378640915115722</v>
      </c>
      <c r="I12" s="364">
        <v>0.47378640915115722</v>
      </c>
      <c r="J12" s="364">
        <v>0.47378640915115722</v>
      </c>
      <c r="K12" s="364">
        <v>0.47378640915115722</v>
      </c>
      <c r="L12" s="364">
        <v>0.47378640915115722</v>
      </c>
      <c r="M12" s="364">
        <v>0.47378640915115722</v>
      </c>
      <c r="N12" s="371">
        <f>+'Ex ante LI &amp; Eligibility Stats'!N12</f>
        <v>152067</v>
      </c>
      <c r="O12" s="370" t="str">
        <f>+'Ex ante LI &amp; Eligibility Stats'!O12</f>
        <v>AC Saver is a voluntary demand response program available to all commercial customers with AC units installed at their premise with SDG&amp;E approved technology capable of curtailing the customers’ AC unit. This schedule is available to customers receiving Bundled Utility Service or, DA service and billed by the Utility. Service on the AC Saver Schedule must be taken in combination with the customer’s otherwise applicable rate schedule. Note: AC Saver Day Of we used 85% based on commercial estimates.</v>
      </c>
    </row>
    <row r="13" spans="1:15" ht="75.75" customHeight="1">
      <c r="A13" s="351" t="s">
        <v>21</v>
      </c>
      <c r="B13" s="362">
        <v>0.41538170000000002</v>
      </c>
      <c r="C13" s="362">
        <v>0.41538170000000002</v>
      </c>
      <c r="D13" s="365">
        <v>0.24668145</v>
      </c>
      <c r="E13" s="362">
        <v>0.24668145</v>
      </c>
      <c r="F13" s="362">
        <v>0.24668145</v>
      </c>
      <c r="G13" s="362">
        <v>0.24668145</v>
      </c>
      <c r="H13" s="362">
        <v>0.24668145</v>
      </c>
      <c r="I13" s="362">
        <v>0.24668145</v>
      </c>
      <c r="J13" s="362">
        <v>0.24668145</v>
      </c>
      <c r="K13" s="362">
        <v>0.24668145</v>
      </c>
      <c r="L13" s="362">
        <v>0.24668145</v>
      </c>
      <c r="M13" s="362">
        <v>0.24668145</v>
      </c>
      <c r="N13" s="371">
        <f>+'Ex ante LI &amp; Eligibility Stats'!N13</f>
        <v>564565</v>
      </c>
      <c r="O13" s="370" t="str">
        <f>+'Ex ante LI &amp; Eligibility Stats'!O13</f>
        <v>AC Saver is a voluntary demand response program available to all residential customers with AC units installed at their premise with SDG&amp;E approved technology capable of curtailing the customers’ AC unit. Residential customers with Net Energy Metering are not eligible for this schedule. The AC Saver Schedule is available to customers receiving Bundled Utility Service or, DA service and billed by the Utility. Service on the AC Saver Schedule must be taken in combination with the customer’s otherwise applicable rate schedule. Note: AC Saver Day Of in the past we used 62% based on historical RASS data - growth between 2003-2009.</v>
      </c>
    </row>
    <row r="14" spans="1:15" ht="75.75" customHeight="1">
      <c r="A14" s="351" t="s">
        <v>23</v>
      </c>
      <c r="B14" s="362">
        <v>0.2080882</v>
      </c>
      <c r="C14" s="362">
        <v>0.2080882</v>
      </c>
      <c r="D14" s="365">
        <v>0.11886815000000001</v>
      </c>
      <c r="E14" s="362">
        <v>0.11886815000000001</v>
      </c>
      <c r="F14" s="362">
        <v>0.11886815000000001</v>
      </c>
      <c r="G14" s="362">
        <v>0.11886815000000001</v>
      </c>
      <c r="H14" s="362">
        <v>0.11886815000000001</v>
      </c>
      <c r="I14" s="362">
        <v>0.11886815000000001</v>
      </c>
      <c r="J14" s="362">
        <v>0.11886815000000001</v>
      </c>
      <c r="K14" s="362">
        <v>0.11886815000000001</v>
      </c>
      <c r="L14" s="362">
        <v>0.11886815000000001</v>
      </c>
      <c r="M14" s="362">
        <v>0.11886815000000001</v>
      </c>
      <c r="N14" s="371">
        <f>+'Ex ante LI &amp; Eligibility Stats'!N14</f>
        <v>134989</v>
      </c>
      <c r="O14" s="370" t="str">
        <f>+'Ex ante LI &amp; Eligibility Stats'!O14</f>
        <v>AC Saver is a voluntary demand response program available to all commercial customers with AC units installed at their premise with SDG&amp;E approved technology capable of curtailing the customers’ AC unit. The AC Saver Schedule is available to customers receiving Bundled Utility Service or, DA service and billed by the Utility. Service on the AC Saver Schedule must be taken in combination with the customer’s otherwise applicable rate schedule. Note: AC Saver Day Of we used 85% based on commercial estimates.</v>
      </c>
    </row>
    <row r="15" spans="1:15" ht="75.75" customHeight="1">
      <c r="A15" s="357" t="s">
        <v>24</v>
      </c>
      <c r="B15" s="362">
        <v>9.9073341911764707</v>
      </c>
      <c r="C15" s="362">
        <v>9.9073341911764707</v>
      </c>
      <c r="D15" s="365">
        <v>6.9474389188677783</v>
      </c>
      <c r="E15" s="364">
        <v>6.9474389188677783</v>
      </c>
      <c r="F15" s="364">
        <v>6.9474389188677783</v>
      </c>
      <c r="G15" s="364">
        <v>6.9474389188677783</v>
      </c>
      <c r="H15" s="364">
        <v>6.9474389188677783</v>
      </c>
      <c r="I15" s="364">
        <v>6.9474389188677783</v>
      </c>
      <c r="J15" s="364">
        <v>6.9474389188677783</v>
      </c>
      <c r="K15" s="364">
        <v>6.9474389188677783</v>
      </c>
      <c r="L15" s="364">
        <v>6.9474389188677783</v>
      </c>
      <c r="M15" s="364">
        <v>6.9474389188677783</v>
      </c>
      <c r="N15" s="371">
        <f>+'Ex ante LI &amp; Eligibility Stats'!N15</f>
        <v>44734</v>
      </c>
      <c r="O15" s="370" t="str">
        <f>+'Ex ante LI &amp; Eligibility Stats'!O15</f>
        <v xml:space="preserve">The CBP Schedule is available to commercial and industrial Utility customers receiving Bundled Utility service, DA service or CCA service, and being billed on a Utility commercial, industrial or agricultural rate schedule. </v>
      </c>
    </row>
    <row r="16" spans="1:15" ht="75.75" customHeight="1">
      <c r="A16" s="357" t="s">
        <v>25</v>
      </c>
      <c r="B16" s="366">
        <v>18.384060344827585</v>
      </c>
      <c r="C16" s="366">
        <v>18.384060344827585</v>
      </c>
      <c r="D16" s="367">
        <v>18.587666666666667</v>
      </c>
      <c r="E16" s="368">
        <v>18.587666666666667</v>
      </c>
      <c r="F16" s="368">
        <v>18.587666666666667</v>
      </c>
      <c r="G16" s="368">
        <v>18.587666666666667</v>
      </c>
      <c r="H16" s="368">
        <v>18.587666666666667</v>
      </c>
      <c r="I16" s="368">
        <v>18.587666666666667</v>
      </c>
      <c r="J16" s="368">
        <v>18.587666666666667</v>
      </c>
      <c r="K16" s="368">
        <v>18.587666666666667</v>
      </c>
      <c r="L16" s="368">
        <v>18.587666666666667</v>
      </c>
      <c r="M16" s="368">
        <v>18.587666666666667</v>
      </c>
      <c r="N16" s="371">
        <f>+'Ex ante LI &amp; Eligibility Stats'!N16</f>
        <v>44734</v>
      </c>
      <c r="O16" s="370" t="str">
        <f>+'Ex ante LI &amp; Eligibility Stats'!O16</f>
        <v xml:space="preserve">The CBP Schedule is available to commercial and industrial Utility customers receiving Bundled Utility service, DA service or CCA service, and being billed on a Utility commercial, industrial or agricultural rate schedule. </v>
      </c>
    </row>
    <row r="17" spans="1:26" ht="75.75" customHeight="1">
      <c r="A17" s="351" t="s">
        <v>27</v>
      </c>
      <c r="B17" s="352">
        <v>0.1831938624382019</v>
      </c>
      <c r="C17" s="352">
        <v>0.1831938624382019</v>
      </c>
      <c r="D17" s="352">
        <v>0.2136324979364872</v>
      </c>
      <c r="E17" s="352">
        <v>0.2136324979364872</v>
      </c>
      <c r="F17" s="352">
        <v>0.2136324979364872</v>
      </c>
      <c r="G17" s="352">
        <v>0.2136324979364872</v>
      </c>
      <c r="H17" s="352">
        <v>0.2136324979364872</v>
      </c>
      <c r="I17" s="352">
        <v>0.2136324979364872</v>
      </c>
      <c r="J17" s="352">
        <v>0.2136324979364872</v>
      </c>
      <c r="K17" s="352">
        <v>0.2136324979364872</v>
      </c>
      <c r="L17" s="352">
        <v>0.2136324979364872</v>
      </c>
      <c r="M17" s="352">
        <v>0.2136324979364872</v>
      </c>
      <c r="N17" s="371">
        <f>+'Ex ante LI &amp; Eligibility Stats'!N17</f>
        <v>1129129</v>
      </c>
      <c r="O17" s="370" t="str">
        <f>+'Ex ante LI &amp; Eligibility Stats'!O17</f>
        <v xml:space="preserve">The TOU-DR-P Voluntary Residential Schedule (TOU-DR-P Schedule) provides residential customers with the opportunity to manage their electric costs by either reducing load during high cost pricing periods defined as a Reduce Your Use (RYU) Event Day, or shifting load from high cost pricing periods to lower cost pricing periods. The TOU-DR-P Schedule is not applicable to commercial customers. The TOU-DR-P Schedule is not applicable to DA, Transitional Bundled Service (TBS) or CCA customers. </v>
      </c>
    </row>
    <row r="18" spans="1:26" ht="160.5" customHeight="1">
      <c r="A18" s="351" t="s">
        <v>26</v>
      </c>
      <c r="B18" s="352">
        <v>3.9058972150087357E-2</v>
      </c>
      <c r="C18" s="352">
        <v>3.9058972150087357E-2</v>
      </c>
      <c r="D18" s="355">
        <v>2.4489321133080305E-2</v>
      </c>
      <c r="E18" s="352">
        <v>2.4489321133080305E-2</v>
      </c>
      <c r="F18" s="352">
        <v>2.4489321133080305E-2</v>
      </c>
      <c r="G18" s="352">
        <v>2.4489321133080305E-2</v>
      </c>
      <c r="H18" s="352">
        <v>2.4489321133080305E-2</v>
      </c>
      <c r="I18" s="352">
        <v>2.4489321133080305E-2</v>
      </c>
      <c r="J18" s="352">
        <v>2.4489321133080305E-2</v>
      </c>
      <c r="K18" s="352">
        <v>2.4489321133080305E-2</v>
      </c>
      <c r="L18" s="352">
        <v>2.4489321133080305E-2</v>
      </c>
      <c r="M18" s="352">
        <v>2.4489321133080305E-2</v>
      </c>
      <c r="N18" s="371">
        <f>+'Ex ante LI &amp; Eligibility Stats'!N18</f>
        <v>121723</v>
      </c>
      <c r="O18" s="370" t="str">
        <f>+'Ex ante LI &amp; Eligibility Stats'!O18</f>
        <v>The TOU-A-P Small Commercial Schedule (TOU-A-P Schedule) provides commercial customers with the opportunity to manage their electric costs by either reducing load during high cost pricing periods defined as a Reduce Your Use (RYU) Event Day, or shifting load from high cost pricing periods to lower cost pricing periods. Except as set forth below, this TOU-A-P Schedule is the default commodity rate for customers currently receiving bundled utility service on a small non-residential rate schedule; or a medium/large non-residential rate schedule with a Maximum Monthly Demand below 20 kW for three consecutive months. The TOU-A-P Schedule is available to general service including lighting, appliances, heating, and power, or any combination thereof, including common use and whose facility is separately metered. In order for this TOU-A-P Schedule to take effect, the customer must have a smart meter installed, tested, and verified according to Utility procedures. The TOU-A-P Schedule is not applicable to any customer whose Maximum Monthly Demand equals, exceeds, or is expected to equal or exceed 20 kW for 12 consecutive months. The TOU-A-P Schedule is available to customers with the Utility Distribution Company (UDC) service of Schedule TOU-A. The TOU-A-P Schedule is optionally available to Expanded California Alternate Rates for Energy (CARE) customers. The TOU-A-P Schedule is not applicable to residential customers, except for those three-phase residential customers taking service on this schedule as of April 12, 2007 who may remain on TOU-A-P Schedule  while service continues in their name at the same service address. Those three-phase residential customers remaining on TOU-A-P Schedule who choose to switch to a residential rate schedule may not return to the TOU-A-P Schedule. The TOU-A-P Schedule is not applicable to DA, Transitional Bundled Service (TBS) or CCA customers.</v>
      </c>
    </row>
    <row r="19" spans="1:26" ht="16.5" customHeight="1">
      <c r="A19" s="57"/>
      <c r="B19" s="549"/>
      <c r="C19" s="549"/>
      <c r="D19" s="550"/>
      <c r="E19" s="549"/>
      <c r="F19" s="549"/>
      <c r="G19" s="549"/>
      <c r="H19" s="549"/>
      <c r="I19" s="549"/>
      <c r="J19" s="549"/>
      <c r="K19" s="549"/>
      <c r="L19" s="549"/>
      <c r="M19" s="549"/>
      <c r="N19" s="233"/>
      <c r="O19" s="57"/>
    </row>
    <row r="20" spans="1:26" ht="14">
      <c r="A20" s="760" t="s">
        <v>95</v>
      </c>
      <c r="B20" s="760"/>
      <c r="C20" s="760"/>
      <c r="D20" s="760"/>
      <c r="E20" s="760"/>
      <c r="F20" s="760"/>
      <c r="G20" s="760"/>
      <c r="H20" s="760"/>
      <c r="I20" s="760"/>
      <c r="J20" s="760"/>
      <c r="K20" s="760"/>
      <c r="L20" s="760"/>
      <c r="M20" s="760"/>
      <c r="N20" s="760"/>
      <c r="O20" s="760"/>
    </row>
    <row r="21" spans="1:26" ht="12.75" customHeight="1">
      <c r="A21" s="761" t="s">
        <v>96</v>
      </c>
      <c r="B21" s="762"/>
      <c r="C21" s="762"/>
      <c r="D21" s="762"/>
      <c r="E21" s="762"/>
      <c r="F21" s="762"/>
      <c r="G21" s="762"/>
      <c r="H21" s="762"/>
      <c r="I21" s="762"/>
      <c r="J21" s="762"/>
      <c r="K21" s="762"/>
      <c r="L21" s="762"/>
      <c r="M21" s="762"/>
      <c r="N21" s="762"/>
      <c r="O21" s="762"/>
    </row>
    <row r="22" spans="1:26" ht="12.75" customHeight="1">
      <c r="A22" s="756" t="s">
        <v>97</v>
      </c>
      <c r="B22" s="756"/>
      <c r="C22" s="756"/>
      <c r="D22" s="756"/>
      <c r="E22" s="756"/>
      <c r="F22" s="756"/>
      <c r="G22" s="756"/>
      <c r="H22" s="756"/>
      <c r="I22" s="756"/>
      <c r="J22" s="756"/>
      <c r="K22" s="756"/>
      <c r="L22" s="744"/>
      <c r="M22" s="744"/>
      <c r="N22" s="744"/>
      <c r="O22" s="744"/>
    </row>
    <row r="23" spans="1:26" s="10" customFormat="1" ht="12.75" customHeight="1">
      <c r="A23" s="756" t="s">
        <v>98</v>
      </c>
      <c r="B23" s="756"/>
      <c r="C23" s="756"/>
      <c r="D23" s="756"/>
      <c r="E23" s="756"/>
      <c r="F23" s="756"/>
      <c r="G23" s="756"/>
      <c r="H23" s="756"/>
      <c r="I23" s="756"/>
      <c r="J23" s="756"/>
      <c r="K23" s="756"/>
      <c r="O23" s="13"/>
      <c r="P23" s="13"/>
      <c r="Q23" s="13"/>
      <c r="R23" s="13"/>
      <c r="S23" s="13"/>
      <c r="T23" s="172"/>
      <c r="U23" s="172"/>
      <c r="V23" s="172"/>
      <c r="W23" s="172"/>
      <c r="X23" s="172"/>
      <c r="Y23" s="172"/>
      <c r="Z23" s="172"/>
    </row>
    <row r="24" spans="1:26" s="10" customFormat="1" ht="13">
      <c r="A24" s="751" t="s">
        <v>75</v>
      </c>
      <c r="B24" s="752"/>
      <c r="C24" s="752"/>
      <c r="D24" s="752"/>
      <c r="E24" s="752"/>
      <c r="F24" s="752"/>
      <c r="G24" s="752"/>
      <c r="H24" s="752"/>
      <c r="I24" s="752"/>
      <c r="J24" s="752"/>
      <c r="K24" s="752"/>
      <c r="L24" s="752"/>
      <c r="M24" s="752"/>
      <c r="N24" s="752"/>
      <c r="O24" s="13"/>
      <c r="P24" s="13"/>
      <c r="Q24" s="13"/>
      <c r="R24" s="13"/>
      <c r="S24" s="13"/>
      <c r="T24" s="172"/>
      <c r="U24" s="172"/>
      <c r="V24" s="172"/>
      <c r="W24" s="172"/>
      <c r="X24" s="172"/>
      <c r="Y24" s="172"/>
      <c r="Z24" s="172"/>
    </row>
    <row r="25" spans="1:26" s="10" customFormat="1" ht="13">
      <c r="A25" s="742"/>
      <c r="B25" s="743"/>
      <c r="C25" s="743"/>
      <c r="D25" s="743"/>
      <c r="E25" s="743"/>
      <c r="F25" s="743"/>
      <c r="G25" s="743"/>
      <c r="H25" s="743"/>
      <c r="I25" s="743"/>
      <c r="J25" s="743"/>
      <c r="K25" s="743"/>
      <c r="L25" s="743"/>
      <c r="M25" s="743"/>
      <c r="N25" s="743"/>
      <c r="O25" s="13"/>
      <c r="P25" s="13"/>
      <c r="Q25" s="13"/>
      <c r="R25" s="13"/>
      <c r="S25" s="13"/>
      <c r="T25" s="172"/>
      <c r="U25" s="172"/>
      <c r="V25" s="172"/>
      <c r="W25" s="172"/>
      <c r="X25" s="172"/>
      <c r="Y25" s="172"/>
      <c r="Z25" s="172"/>
    </row>
    <row r="26" spans="1:26" ht="40.15" customHeight="1">
      <c r="A26" s="303" t="s">
        <v>76</v>
      </c>
      <c r="N26" s="548"/>
    </row>
    <row r="53" spans="1:1" ht="40.15" customHeight="1">
      <c r="A53" s="237"/>
    </row>
  </sheetData>
  <mergeCells count="6">
    <mergeCell ref="A7:N7"/>
    <mergeCell ref="A24:N24"/>
    <mergeCell ref="A22:K22"/>
    <mergeCell ref="A20:O20"/>
    <mergeCell ref="A21:O21"/>
    <mergeCell ref="A23:K23"/>
  </mergeCells>
  <phoneticPr fontId="0" type="noConversion"/>
  <printOptions horizontalCentered="1"/>
  <pageMargins left="0" right="0" top="0.55000000000000004" bottom="0.17" header="0.3" footer="0.15"/>
  <pageSetup paperSize="5" scale="51" orientation="landscape" cellComments="atEnd" r:id="rId1"/>
  <headerFooter alignWithMargins="0">
    <oddHeader xml:space="preserve">&amp;C&amp;"Arial,Bold"
</oddHeader>
    <oddFooter>&amp;Rpage 3 of 12
&amp;A
&amp;D</oddFooter>
  </headerFooter>
  <customProperties>
    <customPr name="_pios_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pageSetUpPr fitToPage="1"/>
  </sheetPr>
  <dimension ref="A1:Y60"/>
  <sheetViews>
    <sheetView topLeftCell="A26" zoomScale="80" zoomScaleNormal="80" zoomScaleSheetLayoutView="70" workbookViewId="0"/>
  </sheetViews>
  <sheetFormatPr defaultColWidth="9.1796875" defaultRowHeight="12.5"/>
  <cols>
    <col min="1" max="1" width="45.7265625" style="60" customWidth="1"/>
    <col min="2" max="3" width="10.81640625" style="60" customWidth="1"/>
    <col min="4" max="4" width="10.7265625" style="60" customWidth="1"/>
    <col min="5" max="5" width="12.7265625" style="60" customWidth="1"/>
    <col min="6" max="8" width="10.54296875" style="60" customWidth="1"/>
    <col min="9" max="9" width="12.7265625" style="60" customWidth="1"/>
    <col min="10" max="12" width="10.7265625" style="60" customWidth="1"/>
    <col min="13" max="13" width="12.7265625" style="60" customWidth="1"/>
    <col min="14" max="16" width="10.7265625" style="60" customWidth="1"/>
    <col min="17" max="17" width="12.7265625" style="60" customWidth="1"/>
    <col min="18" max="20" width="10.7265625" style="60" customWidth="1"/>
    <col min="21" max="21" width="12.7265625" style="60" customWidth="1"/>
    <col min="22" max="24" width="10.7265625" style="60" customWidth="1"/>
    <col min="25" max="25" width="12.7265625" style="60" customWidth="1"/>
    <col min="26" max="16384" width="9.1796875" style="60"/>
  </cols>
  <sheetData>
    <row r="1" spans="1:25" ht="13">
      <c r="A1" s="59" t="s">
        <v>99</v>
      </c>
    </row>
    <row r="3" spans="1:25" ht="21.75" customHeight="1">
      <c r="A3" s="111">
        <v>2016</v>
      </c>
      <c r="B3" s="763" t="s">
        <v>42</v>
      </c>
      <c r="C3" s="763"/>
      <c r="D3" s="763"/>
      <c r="E3" s="763"/>
      <c r="F3" s="764" t="s">
        <v>43</v>
      </c>
      <c r="G3" s="764"/>
      <c r="H3" s="764"/>
      <c r="I3" s="764"/>
      <c r="J3" s="764" t="s">
        <v>44</v>
      </c>
      <c r="K3" s="764"/>
      <c r="L3" s="764"/>
      <c r="M3" s="764"/>
      <c r="N3" s="764" t="s">
        <v>45</v>
      </c>
      <c r="O3" s="764"/>
      <c r="P3" s="764"/>
      <c r="Q3" s="764"/>
      <c r="R3" s="764" t="s">
        <v>31</v>
      </c>
      <c r="S3" s="764"/>
      <c r="T3" s="764"/>
      <c r="U3" s="764"/>
      <c r="V3" s="764" t="s">
        <v>46</v>
      </c>
      <c r="W3" s="764"/>
      <c r="X3" s="764"/>
      <c r="Y3" s="764"/>
    </row>
    <row r="4" spans="1:25" ht="79.5" customHeight="1">
      <c r="A4" s="746" t="s">
        <v>100</v>
      </c>
      <c r="B4" s="70" t="s">
        <v>101</v>
      </c>
      <c r="C4" s="70" t="s">
        <v>102</v>
      </c>
      <c r="D4" s="70" t="s">
        <v>103</v>
      </c>
      <c r="E4" s="70" t="s">
        <v>104</v>
      </c>
      <c r="F4" s="70" t="s">
        <v>101</v>
      </c>
      <c r="G4" s="70" t="s">
        <v>102</v>
      </c>
      <c r="H4" s="70" t="s">
        <v>103</v>
      </c>
      <c r="I4" s="70" t="s">
        <v>104</v>
      </c>
      <c r="J4" s="70" t="s">
        <v>101</v>
      </c>
      <c r="K4" s="70" t="s">
        <v>102</v>
      </c>
      <c r="L4" s="70" t="s">
        <v>103</v>
      </c>
      <c r="M4" s="70" t="s">
        <v>104</v>
      </c>
      <c r="N4" s="70" t="s">
        <v>101</v>
      </c>
      <c r="O4" s="70" t="s">
        <v>102</v>
      </c>
      <c r="P4" s="70" t="s">
        <v>103</v>
      </c>
      <c r="Q4" s="70" t="s">
        <v>104</v>
      </c>
      <c r="R4" s="70" t="s">
        <v>101</v>
      </c>
      <c r="S4" s="70" t="s">
        <v>102</v>
      </c>
      <c r="T4" s="70" t="s">
        <v>103</v>
      </c>
      <c r="U4" s="70" t="s">
        <v>104</v>
      </c>
      <c r="V4" s="70" t="s">
        <v>101</v>
      </c>
      <c r="W4" s="70" t="s">
        <v>102</v>
      </c>
      <c r="X4" s="70" t="s">
        <v>103</v>
      </c>
      <c r="Y4" s="70" t="s">
        <v>104</v>
      </c>
    </row>
    <row r="5" spans="1:25" ht="13">
      <c r="A5" s="112" t="s">
        <v>105</v>
      </c>
      <c r="B5" s="72"/>
      <c r="C5" s="73">
        <v>5.8977000000000004</v>
      </c>
      <c r="D5" s="74">
        <v>2.3029999999999999</v>
      </c>
      <c r="E5" s="75">
        <f>SUM(B5:D5)</f>
        <v>8.2007000000000012</v>
      </c>
      <c r="F5" s="71"/>
      <c r="G5" s="74">
        <v>5.8977000000000004</v>
      </c>
      <c r="H5" s="74">
        <v>2.3029999999999999</v>
      </c>
      <c r="I5" s="76">
        <f>SUM(G5:H5)</f>
        <v>8.2007000000000012</v>
      </c>
      <c r="J5" s="71"/>
      <c r="K5" s="74"/>
      <c r="L5" s="74"/>
      <c r="M5" s="76">
        <f>SUM(K5:L5)</f>
        <v>0</v>
      </c>
      <c r="N5" s="71"/>
      <c r="O5" s="74"/>
      <c r="P5" s="74"/>
      <c r="Q5" s="76">
        <f>SUM(O5:P5)</f>
        <v>0</v>
      </c>
      <c r="R5" s="71"/>
      <c r="S5" s="74"/>
      <c r="T5" s="74"/>
      <c r="U5" s="76">
        <f>SUM(S5:T5)</f>
        <v>0</v>
      </c>
      <c r="V5" s="71"/>
      <c r="W5" s="74"/>
      <c r="X5" s="74"/>
      <c r="Y5" s="76">
        <f>SUM(W5:X5)</f>
        <v>0</v>
      </c>
    </row>
    <row r="6" spans="1:25" ht="13">
      <c r="A6" s="112" t="s">
        <v>106</v>
      </c>
      <c r="B6" s="120"/>
      <c r="C6" s="121">
        <v>12.8962</v>
      </c>
      <c r="D6" s="73">
        <v>1.4750000000000001</v>
      </c>
      <c r="E6" s="75">
        <f>SUM(B6:D6)</f>
        <v>14.3712</v>
      </c>
      <c r="F6" s="71"/>
      <c r="G6" s="74">
        <v>12.911899999999999</v>
      </c>
      <c r="H6" s="77">
        <v>1.4750000000000001</v>
      </c>
      <c r="I6" s="76">
        <f>SUM(G6:H6)</f>
        <v>14.386899999999999</v>
      </c>
      <c r="J6" s="78"/>
      <c r="K6" s="74"/>
      <c r="L6" s="77"/>
      <c r="M6" s="76">
        <f>SUM(K6:L6)</f>
        <v>0</v>
      </c>
      <c r="N6" s="78"/>
      <c r="O6" s="74"/>
      <c r="P6" s="77"/>
      <c r="Q6" s="76">
        <f>SUM(O6:P6)</f>
        <v>0</v>
      </c>
      <c r="R6" s="78"/>
      <c r="S6" s="74"/>
      <c r="T6" s="77"/>
      <c r="U6" s="76">
        <f>SUM(S6:T6)</f>
        <v>0</v>
      </c>
      <c r="V6" s="78"/>
      <c r="W6" s="74"/>
      <c r="X6" s="77"/>
      <c r="Y6" s="76">
        <f>SUM(W6:X6)</f>
        <v>0</v>
      </c>
    </row>
    <row r="7" spans="1:25" s="59" customFormat="1" ht="13">
      <c r="A7" s="113" t="s">
        <v>107</v>
      </c>
      <c r="B7" s="122"/>
      <c r="C7" s="123">
        <f>SUM(C5:C6)</f>
        <v>18.793900000000001</v>
      </c>
      <c r="D7" s="123">
        <f>SUM(D5:D6)</f>
        <v>3.778</v>
      </c>
      <c r="E7" s="123">
        <f>SUM(E5:E6)</f>
        <v>22.571899999999999</v>
      </c>
      <c r="F7" s="79"/>
      <c r="G7" s="76">
        <f t="shared" ref="G7:Y7" si="0">SUM(G5:G6)</f>
        <v>18.8096</v>
      </c>
      <c r="H7" s="76">
        <f t="shared" si="0"/>
        <v>3.778</v>
      </c>
      <c r="I7" s="76">
        <f t="shared" si="0"/>
        <v>22.587600000000002</v>
      </c>
      <c r="J7" s="76"/>
      <c r="K7" s="76">
        <f t="shared" si="0"/>
        <v>0</v>
      </c>
      <c r="L7" s="76">
        <f t="shared" si="0"/>
        <v>0</v>
      </c>
      <c r="M7" s="76">
        <f t="shared" si="0"/>
        <v>0</v>
      </c>
      <c r="N7" s="76"/>
      <c r="O7" s="76">
        <f t="shared" si="0"/>
        <v>0</v>
      </c>
      <c r="P7" s="76">
        <f t="shared" si="0"/>
        <v>0</v>
      </c>
      <c r="Q7" s="76">
        <f t="shared" si="0"/>
        <v>0</v>
      </c>
      <c r="R7" s="76"/>
      <c r="S7" s="76">
        <f t="shared" si="0"/>
        <v>0</v>
      </c>
      <c r="T7" s="76">
        <f t="shared" si="0"/>
        <v>0</v>
      </c>
      <c r="U7" s="76">
        <f t="shared" si="0"/>
        <v>0</v>
      </c>
      <c r="V7" s="76"/>
      <c r="W7" s="76">
        <f t="shared" si="0"/>
        <v>0</v>
      </c>
      <c r="X7" s="76">
        <f t="shared" si="0"/>
        <v>0</v>
      </c>
      <c r="Y7" s="76">
        <f t="shared" si="0"/>
        <v>0</v>
      </c>
    </row>
    <row r="8" spans="1:25" ht="4.1500000000000004" customHeight="1">
      <c r="A8" s="113"/>
      <c r="B8" s="79"/>
      <c r="C8" s="124"/>
      <c r="D8" s="124"/>
      <c r="E8" s="125"/>
      <c r="F8" s="79"/>
      <c r="G8" s="78"/>
      <c r="H8" s="78"/>
      <c r="I8" s="76"/>
      <c r="J8" s="80"/>
      <c r="K8" s="78"/>
      <c r="L8" s="78"/>
      <c r="M8" s="76"/>
      <c r="N8" s="80"/>
      <c r="O8" s="78"/>
      <c r="P8" s="78"/>
      <c r="Q8" s="76"/>
      <c r="R8" s="80"/>
      <c r="S8" s="78"/>
      <c r="T8" s="78"/>
      <c r="U8" s="76"/>
      <c r="V8" s="80"/>
      <c r="W8" s="78"/>
      <c r="X8" s="78"/>
      <c r="Y8" s="76"/>
    </row>
    <row r="9" spans="1:25" ht="13">
      <c r="A9" s="114" t="s">
        <v>54</v>
      </c>
      <c r="B9" s="81"/>
      <c r="C9" s="70"/>
      <c r="D9" s="70"/>
      <c r="E9" s="747"/>
      <c r="F9" s="81"/>
      <c r="G9" s="82"/>
      <c r="H9" s="83"/>
      <c r="I9" s="83"/>
      <c r="J9" s="84"/>
      <c r="K9" s="82"/>
      <c r="L9" s="83"/>
      <c r="M9" s="76"/>
      <c r="N9" s="84"/>
      <c r="O9" s="82"/>
      <c r="P9" s="83"/>
      <c r="Q9" s="76"/>
      <c r="R9" s="84"/>
      <c r="S9" s="82"/>
      <c r="T9" s="83"/>
      <c r="U9" s="76"/>
      <c r="V9" s="84"/>
      <c r="W9" s="82"/>
      <c r="X9" s="83"/>
      <c r="Y9" s="76">
        <f>SUM(W9:X9)</f>
        <v>0</v>
      </c>
    </row>
    <row r="10" spans="1:25" ht="13">
      <c r="A10" s="112" t="s">
        <v>108</v>
      </c>
      <c r="B10" s="120"/>
      <c r="C10" s="120"/>
      <c r="D10" s="73"/>
      <c r="E10" s="75"/>
      <c r="F10" s="71"/>
      <c r="G10" s="74"/>
      <c r="H10" s="73"/>
      <c r="I10" s="75"/>
      <c r="J10" s="78"/>
      <c r="K10" s="73" t="s">
        <v>66</v>
      </c>
      <c r="L10" s="73"/>
      <c r="M10" s="76"/>
      <c r="N10" s="78"/>
      <c r="O10" s="73" t="s">
        <v>66</v>
      </c>
      <c r="P10" s="73"/>
      <c r="Q10" s="76"/>
      <c r="R10" s="78"/>
      <c r="S10" s="73" t="s">
        <v>66</v>
      </c>
      <c r="T10" s="73"/>
      <c r="U10" s="76"/>
      <c r="V10" s="78"/>
      <c r="W10" s="73" t="s">
        <v>66</v>
      </c>
      <c r="X10" s="73"/>
      <c r="Y10" s="76">
        <f>SUM(W10:X10)</f>
        <v>0</v>
      </c>
    </row>
    <row r="11" spans="1:25" ht="13">
      <c r="A11" s="112" t="s">
        <v>109</v>
      </c>
      <c r="B11" s="120"/>
      <c r="C11" s="120"/>
      <c r="D11" s="73"/>
      <c r="E11" s="75"/>
      <c r="F11" s="71"/>
      <c r="G11" s="74"/>
      <c r="H11" s="74"/>
      <c r="I11" s="78"/>
      <c r="J11" s="78"/>
      <c r="K11" s="74"/>
      <c r="L11" s="74"/>
      <c r="M11" s="76"/>
      <c r="N11" s="78"/>
      <c r="O11" s="74"/>
      <c r="P11" s="74"/>
      <c r="Q11" s="76"/>
      <c r="R11" s="78"/>
      <c r="S11" s="74"/>
      <c r="T11" s="74"/>
      <c r="U11" s="76"/>
      <c r="V11" s="78"/>
      <c r="W11" s="74"/>
      <c r="X11" s="74"/>
      <c r="Y11" s="76">
        <f>SUM(W11:X11)</f>
        <v>0</v>
      </c>
    </row>
    <row r="12" spans="1:25" ht="13">
      <c r="A12" s="112"/>
      <c r="B12" s="72"/>
      <c r="C12" s="73"/>
      <c r="D12" s="73"/>
      <c r="E12" s="126"/>
      <c r="F12" s="71"/>
      <c r="G12" s="74"/>
      <c r="H12" s="74"/>
      <c r="I12" s="78"/>
      <c r="J12" s="78"/>
      <c r="K12" s="74"/>
      <c r="L12" s="74"/>
      <c r="M12" s="76" t="s">
        <v>66</v>
      </c>
      <c r="N12" s="78"/>
      <c r="O12" s="74"/>
      <c r="P12" s="74"/>
      <c r="Q12" s="76" t="s">
        <v>66</v>
      </c>
      <c r="R12" s="78"/>
      <c r="S12" s="74"/>
      <c r="T12" s="74"/>
      <c r="U12" s="76" t="s">
        <v>66</v>
      </c>
      <c r="V12" s="78"/>
      <c r="W12" s="74"/>
      <c r="X12" s="74"/>
      <c r="Y12" s="76" t="s">
        <v>66</v>
      </c>
    </row>
    <row r="13" spans="1:25" s="59" customFormat="1" ht="13">
      <c r="A13" s="113" t="s">
        <v>107</v>
      </c>
      <c r="B13" s="122"/>
      <c r="C13" s="123">
        <v>0</v>
      </c>
      <c r="D13" s="123">
        <f>SUM(D10:D12)</f>
        <v>0</v>
      </c>
      <c r="E13" s="123">
        <f>SUM(E10:E12)</f>
        <v>0</v>
      </c>
      <c r="F13" s="79"/>
      <c r="G13" s="76">
        <f>SUM(G9:G12)</f>
        <v>0</v>
      </c>
      <c r="H13" s="76">
        <f>SUM(H9:H12)</f>
        <v>0</v>
      </c>
      <c r="I13" s="76">
        <f>SUM(I9:I12)</f>
        <v>0</v>
      </c>
      <c r="J13" s="80"/>
      <c r="K13" s="76">
        <f>SUM(K9:K12)</f>
        <v>0</v>
      </c>
      <c r="L13" s="76">
        <f>SUM(L9:L12)</f>
        <v>0</v>
      </c>
      <c r="M13" s="76">
        <f>SUM(M9:M12)</f>
        <v>0</v>
      </c>
      <c r="N13" s="80"/>
      <c r="O13" s="76">
        <f>SUM(O9:O12)</f>
        <v>0</v>
      </c>
      <c r="P13" s="76">
        <f>SUM(P9:P12)</f>
        <v>0</v>
      </c>
      <c r="Q13" s="76">
        <f>SUM(Q9:Q12)</f>
        <v>0</v>
      </c>
      <c r="R13" s="80"/>
      <c r="S13" s="76">
        <f>SUM(S9:S12)</f>
        <v>0</v>
      </c>
      <c r="T13" s="76">
        <f>SUM(T9:T12)</f>
        <v>0</v>
      </c>
      <c r="U13" s="76">
        <f>SUM(U9:U12)</f>
        <v>0</v>
      </c>
      <c r="V13" s="80"/>
      <c r="W13" s="76">
        <f>SUM(W9:W12)</f>
        <v>0</v>
      </c>
      <c r="X13" s="76">
        <f>SUM(X9:X12)</f>
        <v>0</v>
      </c>
      <c r="Y13" s="76">
        <f>SUM(Y9:Y12)</f>
        <v>0</v>
      </c>
    </row>
    <row r="14" spans="1:25" ht="4.1500000000000004" customHeight="1">
      <c r="A14" s="113"/>
      <c r="B14" s="79"/>
      <c r="C14" s="124"/>
      <c r="D14" s="124"/>
      <c r="E14" s="125"/>
      <c r="F14" s="79"/>
      <c r="G14" s="78"/>
      <c r="H14" s="78"/>
      <c r="I14" s="76"/>
      <c r="J14" s="80"/>
      <c r="K14" s="78"/>
      <c r="L14" s="78"/>
      <c r="M14" s="76">
        <f>SUM(M9:M12)</f>
        <v>0</v>
      </c>
      <c r="N14" s="80"/>
      <c r="O14" s="78"/>
      <c r="P14" s="78"/>
      <c r="Q14" s="76">
        <f>SUM(Q9:Q12)</f>
        <v>0</v>
      </c>
      <c r="R14" s="80"/>
      <c r="S14" s="78"/>
      <c r="T14" s="78"/>
      <c r="U14" s="76">
        <f>SUM(U9:U12)</f>
        <v>0</v>
      </c>
      <c r="V14" s="80"/>
      <c r="W14" s="78"/>
      <c r="X14" s="78"/>
      <c r="Y14" s="76"/>
    </row>
    <row r="15" spans="1:25" s="59" customFormat="1" ht="17.25" customHeight="1">
      <c r="A15" s="113" t="s">
        <v>104</v>
      </c>
      <c r="B15" s="79"/>
      <c r="C15" s="123">
        <f>C7+C13</f>
        <v>18.793900000000001</v>
      </c>
      <c r="D15" s="123">
        <f>D7+D13</f>
        <v>3.778</v>
      </c>
      <c r="E15" s="123">
        <f>E7+E13</f>
        <v>22.571899999999999</v>
      </c>
      <c r="F15" s="79"/>
      <c r="G15" s="76">
        <f>G7+G13</f>
        <v>18.8096</v>
      </c>
      <c r="H15" s="76">
        <f>H7+H13</f>
        <v>3.778</v>
      </c>
      <c r="I15" s="76">
        <f>I7+I13</f>
        <v>22.587600000000002</v>
      </c>
      <c r="J15" s="80"/>
      <c r="K15" s="76">
        <f>K7+K13</f>
        <v>0</v>
      </c>
      <c r="L15" s="76">
        <f>L7+L13</f>
        <v>0</v>
      </c>
      <c r="M15" s="76">
        <f>M7+M13</f>
        <v>0</v>
      </c>
      <c r="N15" s="80"/>
      <c r="O15" s="76">
        <f>O7+O13</f>
        <v>0</v>
      </c>
      <c r="P15" s="76">
        <f>P7+P13</f>
        <v>0</v>
      </c>
      <c r="Q15" s="76">
        <f>Q7+Q13</f>
        <v>0</v>
      </c>
      <c r="R15" s="80"/>
      <c r="S15" s="76">
        <f>S7+S13</f>
        <v>0</v>
      </c>
      <c r="T15" s="76">
        <f>T7+T13</f>
        <v>0</v>
      </c>
      <c r="U15" s="76">
        <f>U7+U13</f>
        <v>0</v>
      </c>
      <c r="V15" s="80"/>
      <c r="W15" s="76">
        <f>W7+W13</f>
        <v>0</v>
      </c>
      <c r="X15" s="76">
        <f>X7+X13</f>
        <v>0</v>
      </c>
      <c r="Y15" s="76">
        <f>Y7+Y13</f>
        <v>0</v>
      </c>
    </row>
    <row r="16" spans="1:25" ht="17.25" customHeight="1">
      <c r="A16" s="115"/>
      <c r="B16" s="97"/>
      <c r="C16" s="127"/>
      <c r="D16" s="127"/>
      <c r="E16" s="128"/>
      <c r="F16" s="97"/>
      <c r="G16" s="85"/>
      <c r="H16" s="85"/>
      <c r="I16" s="86"/>
      <c r="J16" s="86"/>
      <c r="K16" s="85"/>
      <c r="L16" s="85"/>
      <c r="M16" s="86"/>
      <c r="N16" s="86"/>
      <c r="O16" s="85"/>
      <c r="P16" s="85"/>
      <c r="Q16" s="86"/>
      <c r="R16" s="86"/>
      <c r="S16" s="85"/>
      <c r="T16" s="85"/>
      <c r="U16" s="86"/>
      <c r="V16" s="86"/>
      <c r="W16" s="85"/>
      <c r="X16" s="85"/>
      <c r="Y16" s="86"/>
    </row>
    <row r="17" spans="1:25" ht="13">
      <c r="A17" s="746" t="s">
        <v>110</v>
      </c>
      <c r="B17" s="129"/>
      <c r="C17" s="130"/>
      <c r="D17" s="130"/>
      <c r="E17" s="131"/>
      <c r="F17" s="139"/>
      <c r="G17" s="87"/>
      <c r="H17" s="87"/>
      <c r="I17" s="88"/>
      <c r="J17" s="88"/>
      <c r="K17" s="87"/>
      <c r="L17" s="87"/>
      <c r="M17" s="88"/>
      <c r="N17" s="88"/>
      <c r="O17" s="87"/>
      <c r="P17" s="87"/>
      <c r="Q17" s="88"/>
      <c r="R17" s="88"/>
      <c r="S17" s="87"/>
      <c r="T17" s="87"/>
      <c r="U17" s="88"/>
      <c r="V17" s="88"/>
      <c r="W17" s="87"/>
      <c r="X17" s="87"/>
      <c r="Y17" s="89"/>
    </row>
    <row r="18" spans="1:25" ht="13">
      <c r="A18" s="116" t="s">
        <v>111</v>
      </c>
      <c r="B18" s="72"/>
      <c r="C18" s="120"/>
      <c r="D18" s="120"/>
      <c r="E18" s="126"/>
      <c r="F18" s="72"/>
      <c r="G18" s="74"/>
      <c r="H18" s="74"/>
      <c r="I18" s="78"/>
      <c r="J18" s="72"/>
      <c r="K18" s="74"/>
      <c r="L18" s="74"/>
      <c r="M18" s="78"/>
      <c r="N18" s="72"/>
      <c r="O18" s="74"/>
      <c r="P18" s="74"/>
      <c r="Q18" s="78"/>
      <c r="R18" s="72"/>
      <c r="S18" s="74"/>
      <c r="T18" s="74"/>
      <c r="U18" s="78"/>
      <c r="V18" s="72"/>
      <c r="W18" s="74"/>
      <c r="X18" s="74"/>
      <c r="Y18" s="78"/>
    </row>
    <row r="19" spans="1:25" ht="13">
      <c r="A19" s="112"/>
      <c r="B19" s="71"/>
      <c r="C19" s="132"/>
      <c r="D19" s="132"/>
      <c r="E19" s="133">
        <v>59.3</v>
      </c>
      <c r="F19" s="71"/>
      <c r="G19" s="74"/>
      <c r="H19" s="74"/>
      <c r="I19" s="133">
        <v>59.3</v>
      </c>
      <c r="J19" s="78"/>
      <c r="K19" s="74"/>
      <c r="L19" s="74"/>
      <c r="M19" s="78"/>
      <c r="N19" s="78"/>
      <c r="O19" s="74"/>
      <c r="P19" s="74"/>
      <c r="Q19" s="78"/>
      <c r="R19" s="78"/>
      <c r="S19" s="74"/>
      <c r="T19" s="74"/>
      <c r="U19" s="78"/>
      <c r="V19" s="78"/>
      <c r="W19" s="74"/>
      <c r="X19" s="74"/>
      <c r="Y19" s="78"/>
    </row>
    <row r="20" spans="1:25" s="59" customFormat="1" ht="13">
      <c r="A20" s="117" t="s">
        <v>107</v>
      </c>
      <c r="B20" s="123">
        <f>SUM(B18:B19)</f>
        <v>0</v>
      </c>
      <c r="C20" s="123"/>
      <c r="D20" s="123"/>
      <c r="E20" s="123">
        <v>59.3</v>
      </c>
      <c r="F20" s="90">
        <f>SUM(F18:F19)</f>
        <v>0</v>
      </c>
      <c r="G20" s="91"/>
      <c r="H20" s="91"/>
      <c r="I20" s="123">
        <v>59.3</v>
      </c>
      <c r="J20" s="76">
        <f>SUM(J18:J19)</f>
        <v>0</v>
      </c>
      <c r="K20" s="91"/>
      <c r="L20" s="91"/>
      <c r="M20" s="76"/>
      <c r="N20" s="76">
        <f>SUM(N18:N19)</f>
        <v>0</v>
      </c>
      <c r="O20" s="91"/>
      <c r="P20" s="91"/>
      <c r="Q20" s="76"/>
      <c r="R20" s="76">
        <f>SUM(R18:R19)</f>
        <v>0</v>
      </c>
      <c r="S20" s="91"/>
      <c r="T20" s="91"/>
      <c r="U20" s="76"/>
      <c r="V20" s="76">
        <f>SUM(V18:V19)</f>
        <v>0</v>
      </c>
      <c r="W20" s="91"/>
      <c r="X20" s="91"/>
      <c r="Y20" s="76"/>
    </row>
    <row r="21" spans="1:25" ht="4.1500000000000004" customHeight="1">
      <c r="A21" s="113"/>
      <c r="B21" s="124"/>
      <c r="C21" s="124"/>
      <c r="D21" s="124"/>
      <c r="E21" s="125"/>
      <c r="F21" s="79"/>
      <c r="G21" s="78"/>
      <c r="H21" s="78"/>
      <c r="I21" s="125"/>
      <c r="J21" s="80"/>
      <c r="K21" s="78"/>
      <c r="L21" s="78"/>
      <c r="M21" s="76"/>
      <c r="N21" s="80"/>
      <c r="O21" s="78"/>
      <c r="P21" s="78"/>
      <c r="Q21" s="76"/>
      <c r="R21" s="80"/>
      <c r="S21" s="78"/>
      <c r="T21" s="78"/>
      <c r="U21" s="76"/>
      <c r="V21" s="80"/>
      <c r="W21" s="78"/>
      <c r="X21" s="78"/>
      <c r="Y21" s="76"/>
    </row>
    <row r="22" spans="1:25" s="59" customFormat="1" ht="13">
      <c r="A22" s="113" t="s">
        <v>112</v>
      </c>
      <c r="B22" s="92">
        <f>B20</f>
        <v>0</v>
      </c>
      <c r="C22" s="92"/>
      <c r="D22" s="92"/>
      <c r="E22" s="93">
        <v>59.3</v>
      </c>
      <c r="F22" s="90">
        <f>F20</f>
        <v>0</v>
      </c>
      <c r="G22" s="92"/>
      <c r="H22" s="92"/>
      <c r="I22" s="93">
        <v>59.3</v>
      </c>
      <c r="J22" s="80">
        <f>J20</f>
        <v>0</v>
      </c>
      <c r="K22" s="92"/>
      <c r="L22" s="92"/>
      <c r="M22" s="93"/>
      <c r="N22" s="80">
        <f>N20</f>
        <v>0</v>
      </c>
      <c r="O22" s="92"/>
      <c r="P22" s="92"/>
      <c r="Q22" s="93"/>
      <c r="R22" s="80">
        <f>R20</f>
        <v>0</v>
      </c>
      <c r="S22" s="92"/>
      <c r="T22" s="92"/>
      <c r="U22" s="93"/>
      <c r="V22" s="80">
        <f>V20</f>
        <v>0</v>
      </c>
      <c r="W22" s="92"/>
      <c r="X22" s="92"/>
      <c r="Y22" s="93"/>
    </row>
    <row r="23" spans="1:25" ht="13">
      <c r="A23" s="59"/>
      <c r="B23" s="98"/>
      <c r="C23" s="99"/>
      <c r="D23" s="99"/>
      <c r="E23" s="100"/>
      <c r="F23" s="98"/>
      <c r="G23" s="99"/>
      <c r="H23" s="100"/>
      <c r="I23" s="98"/>
      <c r="J23" s="98"/>
      <c r="K23" s="99"/>
      <c r="L23" s="100"/>
      <c r="M23" s="98"/>
      <c r="N23" s="98"/>
      <c r="O23" s="99"/>
      <c r="P23" s="100"/>
      <c r="Q23" s="98"/>
      <c r="R23" s="98"/>
      <c r="S23" s="99"/>
      <c r="T23" s="100"/>
      <c r="U23" s="98"/>
      <c r="V23" s="98"/>
      <c r="W23" s="99"/>
      <c r="X23" s="100"/>
      <c r="Y23" s="98"/>
    </row>
    <row r="24" spans="1:25">
      <c r="B24" s="69"/>
      <c r="C24" s="69"/>
      <c r="D24" s="69"/>
      <c r="E24" s="69"/>
      <c r="F24" s="69"/>
      <c r="G24" s="69"/>
      <c r="H24" s="69"/>
      <c r="I24" s="69"/>
      <c r="J24" s="69"/>
      <c r="K24" s="69"/>
      <c r="L24" s="69"/>
      <c r="M24" s="69"/>
      <c r="N24" s="69"/>
      <c r="O24" s="69"/>
      <c r="P24" s="69"/>
      <c r="Q24" s="69"/>
      <c r="R24" s="69"/>
      <c r="S24" s="69"/>
      <c r="T24" s="69"/>
      <c r="U24" s="69"/>
      <c r="V24" s="69"/>
      <c r="W24" s="69"/>
      <c r="X24" s="69"/>
      <c r="Y24" s="69"/>
    </row>
    <row r="25" spans="1:25" ht="13">
      <c r="A25" s="118"/>
      <c r="B25" s="764" t="s">
        <v>59</v>
      </c>
      <c r="C25" s="764"/>
      <c r="D25" s="764"/>
      <c r="E25" s="764"/>
      <c r="F25" s="764" t="s">
        <v>113</v>
      </c>
      <c r="G25" s="764"/>
      <c r="H25" s="764"/>
      <c r="I25" s="764" t="s">
        <v>59</v>
      </c>
      <c r="J25" s="764" t="s">
        <v>114</v>
      </c>
      <c r="K25" s="764"/>
      <c r="L25" s="764"/>
      <c r="M25" s="764" t="s">
        <v>59</v>
      </c>
      <c r="N25" s="764" t="s">
        <v>62</v>
      </c>
      <c r="O25" s="764"/>
      <c r="P25" s="764"/>
      <c r="Q25" s="764" t="s">
        <v>59</v>
      </c>
      <c r="R25" s="764" t="s">
        <v>115</v>
      </c>
      <c r="S25" s="764"/>
      <c r="T25" s="764"/>
      <c r="U25" s="764" t="s">
        <v>59</v>
      </c>
      <c r="V25" s="764" t="s">
        <v>64</v>
      </c>
      <c r="W25" s="764"/>
      <c r="X25" s="764"/>
      <c r="Y25" s="764" t="s">
        <v>59</v>
      </c>
    </row>
    <row r="26" spans="1:25" ht="39">
      <c r="A26" s="746" t="s">
        <v>100</v>
      </c>
      <c r="B26" s="70" t="s">
        <v>101</v>
      </c>
      <c r="C26" s="70" t="s">
        <v>102</v>
      </c>
      <c r="D26" s="70" t="s">
        <v>103</v>
      </c>
      <c r="E26" s="70" t="s">
        <v>104</v>
      </c>
      <c r="F26" s="70" t="s">
        <v>101</v>
      </c>
      <c r="G26" s="70" t="s">
        <v>102</v>
      </c>
      <c r="H26" s="70" t="s">
        <v>103</v>
      </c>
      <c r="I26" s="70" t="s">
        <v>104</v>
      </c>
      <c r="J26" s="70" t="s">
        <v>101</v>
      </c>
      <c r="K26" s="70" t="s">
        <v>102</v>
      </c>
      <c r="L26" s="70" t="s">
        <v>103</v>
      </c>
      <c r="M26" s="70" t="s">
        <v>104</v>
      </c>
      <c r="N26" s="70" t="s">
        <v>101</v>
      </c>
      <c r="O26" s="70" t="s">
        <v>102</v>
      </c>
      <c r="P26" s="70" t="s">
        <v>103</v>
      </c>
      <c r="Q26" s="70" t="s">
        <v>104</v>
      </c>
      <c r="R26" s="70" t="s">
        <v>101</v>
      </c>
      <c r="S26" s="70" t="s">
        <v>102</v>
      </c>
      <c r="T26" s="70" t="s">
        <v>103</v>
      </c>
      <c r="U26" s="70" t="s">
        <v>104</v>
      </c>
      <c r="V26" s="70" t="s">
        <v>101</v>
      </c>
      <c r="W26" s="70" t="s">
        <v>102</v>
      </c>
      <c r="X26" s="70" t="s">
        <v>103</v>
      </c>
      <c r="Y26" s="70" t="s">
        <v>104</v>
      </c>
    </row>
    <row r="27" spans="1:25" ht="13">
      <c r="A27" s="112" t="s">
        <v>116</v>
      </c>
      <c r="B27" s="94"/>
      <c r="C27" s="94"/>
      <c r="D27" s="74"/>
      <c r="E27" s="134"/>
      <c r="F27" s="78"/>
      <c r="G27" s="74"/>
      <c r="H27" s="77"/>
      <c r="I27" s="76"/>
      <c r="J27" s="78"/>
      <c r="K27" s="74"/>
      <c r="L27" s="77"/>
      <c r="M27" s="76"/>
      <c r="N27" s="78"/>
      <c r="O27" s="74"/>
      <c r="P27" s="77"/>
      <c r="Q27" s="76"/>
      <c r="R27" s="78"/>
      <c r="S27" s="74"/>
      <c r="T27" s="77"/>
      <c r="U27" s="76"/>
      <c r="V27" s="78"/>
      <c r="W27" s="74"/>
      <c r="X27" s="77"/>
      <c r="Y27" s="76"/>
    </row>
    <row r="28" spans="1:25" ht="13">
      <c r="A28" s="112" t="s">
        <v>106</v>
      </c>
      <c r="B28" s="94"/>
      <c r="C28" s="135"/>
      <c r="D28" s="74"/>
      <c r="E28" s="134">
        <f>SUM(B28:D28)</f>
        <v>0</v>
      </c>
      <c r="F28" s="78"/>
      <c r="G28" s="74"/>
      <c r="H28" s="77"/>
      <c r="I28" s="76">
        <f>SUM(G28:H28)</f>
        <v>0</v>
      </c>
      <c r="J28" s="78"/>
      <c r="K28" s="74"/>
      <c r="L28" s="77"/>
      <c r="M28" s="76">
        <f>SUM(K28:L28)</f>
        <v>0</v>
      </c>
      <c r="N28" s="78"/>
      <c r="O28" s="74"/>
      <c r="P28" s="77"/>
      <c r="Q28" s="76">
        <f t="shared" ref="Q28:Q33" si="1">SUM(O28:P28)</f>
        <v>0</v>
      </c>
      <c r="R28" s="78"/>
      <c r="S28" s="74"/>
      <c r="T28" s="77"/>
      <c r="U28" s="76">
        <f>SUM(S28:T28)</f>
        <v>0</v>
      </c>
      <c r="V28" s="78"/>
      <c r="W28" s="74"/>
      <c r="X28" s="77"/>
      <c r="Y28" s="76">
        <f>SUM(W28:X28)</f>
        <v>0</v>
      </c>
    </row>
    <row r="29" spans="1:25" ht="13">
      <c r="A29" s="112" t="s">
        <v>117</v>
      </c>
      <c r="B29" s="94"/>
      <c r="C29" s="74"/>
      <c r="D29" s="74"/>
      <c r="E29" s="134"/>
      <c r="F29" s="78"/>
      <c r="G29" s="74"/>
      <c r="H29" s="77"/>
      <c r="I29" s="76">
        <f>SUM(G29:H29)</f>
        <v>0</v>
      </c>
      <c r="J29" s="78"/>
      <c r="K29" s="74"/>
      <c r="L29" s="77"/>
      <c r="M29" s="76">
        <f t="shared" ref="M29:M40" si="2">SUM(K29:L29)</f>
        <v>0</v>
      </c>
      <c r="N29" s="78"/>
      <c r="O29" s="74"/>
      <c r="P29" s="77"/>
      <c r="Q29" s="76">
        <f t="shared" si="1"/>
        <v>0</v>
      </c>
      <c r="R29" s="78"/>
      <c r="S29" s="74"/>
      <c r="T29" s="77"/>
      <c r="U29" s="76"/>
      <c r="V29" s="78"/>
      <c r="W29" s="74"/>
      <c r="X29" s="77"/>
      <c r="Y29" s="76"/>
    </row>
    <row r="30" spans="1:25" ht="13">
      <c r="A30" s="112" t="s">
        <v>118</v>
      </c>
      <c r="B30" s="94"/>
      <c r="C30" s="74"/>
      <c r="D30" s="74"/>
      <c r="E30" s="134"/>
      <c r="F30" s="78"/>
      <c r="G30" s="95"/>
      <c r="H30" s="95"/>
      <c r="I30" s="76">
        <f>SUM(G30:H30)</f>
        <v>0</v>
      </c>
      <c r="J30" s="78"/>
      <c r="K30" s="95"/>
      <c r="L30" s="95"/>
      <c r="M30" s="76">
        <f t="shared" si="2"/>
        <v>0</v>
      </c>
      <c r="N30" s="78"/>
      <c r="O30" s="95"/>
      <c r="P30" s="95"/>
      <c r="Q30" s="76">
        <f t="shared" si="1"/>
        <v>0</v>
      </c>
      <c r="R30" s="78"/>
      <c r="S30" s="95"/>
      <c r="T30" s="95"/>
      <c r="U30" s="76"/>
      <c r="V30" s="78"/>
      <c r="W30" s="95"/>
      <c r="X30" s="95"/>
      <c r="Y30" s="76"/>
    </row>
    <row r="31" spans="1:25" ht="13">
      <c r="A31" s="112" t="s">
        <v>119</v>
      </c>
      <c r="B31" s="94"/>
      <c r="C31" s="74"/>
      <c r="D31" s="74"/>
      <c r="E31" s="134"/>
      <c r="F31" s="78"/>
      <c r="G31" s="95"/>
      <c r="H31" s="95"/>
      <c r="I31" s="76">
        <f>SUM(G31:H31)</f>
        <v>0</v>
      </c>
      <c r="J31" s="78"/>
      <c r="K31" s="95"/>
      <c r="L31" s="95"/>
      <c r="M31" s="76">
        <f t="shared" si="2"/>
        <v>0</v>
      </c>
      <c r="N31" s="78"/>
      <c r="O31" s="95"/>
      <c r="P31" s="95"/>
      <c r="Q31" s="76">
        <f t="shared" si="1"/>
        <v>0</v>
      </c>
      <c r="R31" s="78"/>
      <c r="S31" s="95"/>
      <c r="T31" s="95"/>
      <c r="U31" s="76"/>
      <c r="V31" s="78"/>
      <c r="W31" s="95"/>
      <c r="X31" s="95"/>
      <c r="Y31" s="76"/>
    </row>
    <row r="32" spans="1:25" ht="13">
      <c r="A32" s="112" t="s">
        <v>120</v>
      </c>
      <c r="B32" s="78"/>
      <c r="C32" s="74"/>
      <c r="D32" s="74"/>
      <c r="E32" s="134">
        <f>SUM(B32:D32)</f>
        <v>0</v>
      </c>
      <c r="F32" s="78"/>
      <c r="G32" s="74"/>
      <c r="H32" s="74"/>
      <c r="I32" s="76">
        <f>SUM(G32:H32)</f>
        <v>0</v>
      </c>
      <c r="J32" s="78"/>
      <c r="K32" s="74"/>
      <c r="L32" s="74"/>
      <c r="M32" s="76">
        <f t="shared" si="2"/>
        <v>0</v>
      </c>
      <c r="N32" s="78"/>
      <c r="O32" s="74"/>
      <c r="P32" s="74"/>
      <c r="Q32" s="76">
        <f t="shared" si="1"/>
        <v>0</v>
      </c>
      <c r="R32" s="78"/>
      <c r="S32" s="74"/>
      <c r="T32" s="74"/>
      <c r="U32" s="76">
        <f>SUM(S32:T32)</f>
        <v>0</v>
      </c>
      <c r="V32" s="78"/>
      <c r="W32" s="74"/>
      <c r="X32" s="74"/>
      <c r="Y32" s="76">
        <f>SUM(W32:X32)</f>
        <v>0</v>
      </c>
    </row>
    <row r="33" spans="1:25" s="59" customFormat="1" ht="13">
      <c r="A33" s="113" t="s">
        <v>107</v>
      </c>
      <c r="B33" s="136"/>
      <c r="C33" s="80">
        <f>SUM(C27:C32)</f>
        <v>0</v>
      </c>
      <c r="D33" s="80">
        <f>SUM(D27:D32)</f>
        <v>0</v>
      </c>
      <c r="E33" s="80">
        <f>SUM(E27:E32)</f>
        <v>0</v>
      </c>
      <c r="F33" s="80"/>
      <c r="G33" s="76">
        <f>SUM(G27:G32)</f>
        <v>0</v>
      </c>
      <c r="H33" s="76">
        <f>SUM(H27:H32)</f>
        <v>0</v>
      </c>
      <c r="I33" s="76">
        <f>SUM(I27:I32)</f>
        <v>0</v>
      </c>
      <c r="J33" s="80"/>
      <c r="K33" s="76">
        <f>SUM(K28:K32)</f>
        <v>0</v>
      </c>
      <c r="L33" s="76">
        <f>SUM(L28:L32)</f>
        <v>0</v>
      </c>
      <c r="M33" s="76">
        <f t="shared" si="2"/>
        <v>0</v>
      </c>
      <c r="N33" s="80"/>
      <c r="O33" s="76">
        <f>SUM(O28:O32)</f>
        <v>0</v>
      </c>
      <c r="P33" s="76">
        <f>SUM(P28:P32)</f>
        <v>0</v>
      </c>
      <c r="Q33" s="76">
        <f t="shared" si="1"/>
        <v>0</v>
      </c>
      <c r="R33" s="80"/>
      <c r="S33" s="76">
        <f>SUM(S28:S32)</f>
        <v>0</v>
      </c>
      <c r="T33" s="76">
        <f>SUM(T28:T32)</f>
        <v>0</v>
      </c>
      <c r="U33" s="76">
        <f>SUM(S33:T33)</f>
        <v>0</v>
      </c>
      <c r="V33" s="80"/>
      <c r="W33" s="76">
        <f>SUM(W28:W32)</f>
        <v>0</v>
      </c>
      <c r="X33" s="76">
        <f>SUM(X28:X32)</f>
        <v>0</v>
      </c>
      <c r="Y33" s="76">
        <f>SUM(W33:X33)</f>
        <v>0</v>
      </c>
    </row>
    <row r="34" spans="1:25" ht="4.1500000000000004" customHeight="1">
      <c r="A34" s="113"/>
      <c r="B34" s="80"/>
      <c r="C34" s="78"/>
      <c r="D34" s="78"/>
      <c r="E34" s="76"/>
      <c r="F34" s="80"/>
      <c r="G34" s="78"/>
      <c r="H34" s="78"/>
      <c r="I34" s="76"/>
      <c r="J34" s="80"/>
      <c r="K34" s="78"/>
      <c r="L34" s="78"/>
      <c r="M34" s="76"/>
      <c r="N34" s="80"/>
      <c r="O34" s="78"/>
      <c r="P34" s="78"/>
      <c r="Q34" s="76"/>
      <c r="R34" s="80"/>
      <c r="S34" s="78"/>
      <c r="T34" s="78"/>
      <c r="U34" s="76"/>
      <c r="V34" s="80"/>
      <c r="W34" s="78"/>
      <c r="X34" s="78"/>
      <c r="Y34" s="76"/>
    </row>
    <row r="35" spans="1:25" ht="13">
      <c r="A35" s="114" t="s">
        <v>54</v>
      </c>
      <c r="B35" s="84"/>
      <c r="C35" s="82"/>
      <c r="D35" s="82"/>
      <c r="E35" s="83"/>
      <c r="F35" s="84"/>
      <c r="G35" s="82"/>
      <c r="H35" s="83"/>
      <c r="I35" s="76">
        <f>SUM(G35:H35)</f>
        <v>0</v>
      </c>
      <c r="J35" s="84"/>
      <c r="K35" s="82"/>
      <c r="L35" s="83"/>
      <c r="M35" s="76">
        <f t="shared" si="2"/>
        <v>0</v>
      </c>
      <c r="N35" s="84"/>
      <c r="O35" s="76"/>
      <c r="P35" s="83"/>
      <c r="Q35" s="76">
        <f t="shared" ref="Q35:Q40" si="3">SUM(O35:P35)</f>
        <v>0</v>
      </c>
      <c r="R35" s="84"/>
      <c r="S35" s="82"/>
      <c r="T35" s="83"/>
      <c r="U35" s="76">
        <f t="shared" ref="U35:U40" si="4">SUM(S35:T35)</f>
        <v>0</v>
      </c>
      <c r="V35" s="84"/>
      <c r="W35" s="82"/>
      <c r="X35" s="83"/>
      <c r="Y35" s="76">
        <f t="shared" ref="Y35:Y40" si="5">SUM(W35:X35)</f>
        <v>0</v>
      </c>
    </row>
    <row r="36" spans="1:25" ht="13">
      <c r="A36" s="112" t="s">
        <v>108</v>
      </c>
      <c r="B36" s="94"/>
      <c r="C36" s="94"/>
      <c r="D36" s="74"/>
      <c r="E36" s="134"/>
      <c r="F36" s="78"/>
      <c r="G36" s="74"/>
      <c r="H36" s="74"/>
      <c r="I36" s="76">
        <f>SUM(G36:H36)</f>
        <v>0</v>
      </c>
      <c r="J36" s="78"/>
      <c r="K36" s="74"/>
      <c r="L36" s="74"/>
      <c r="M36" s="76">
        <f t="shared" si="2"/>
        <v>0</v>
      </c>
      <c r="N36" s="78"/>
      <c r="O36" s="76"/>
      <c r="P36" s="74"/>
      <c r="Q36" s="76">
        <f t="shared" si="3"/>
        <v>0</v>
      </c>
      <c r="R36" s="78"/>
      <c r="S36" s="74"/>
      <c r="T36" s="74"/>
      <c r="U36" s="76">
        <f t="shared" si="4"/>
        <v>0</v>
      </c>
      <c r="V36" s="78"/>
      <c r="W36" s="74"/>
      <c r="X36" s="74"/>
      <c r="Y36" s="76">
        <f t="shared" si="5"/>
        <v>0</v>
      </c>
    </row>
    <row r="37" spans="1:25" ht="13">
      <c r="A37" s="112" t="s">
        <v>121</v>
      </c>
      <c r="B37" s="94"/>
      <c r="C37" s="94"/>
      <c r="D37" s="74"/>
      <c r="E37" s="134"/>
      <c r="F37" s="78"/>
      <c r="G37" s="74"/>
      <c r="H37" s="74"/>
      <c r="I37" s="76">
        <f>SUM(G37:H37)</f>
        <v>0</v>
      </c>
      <c r="J37" s="78"/>
      <c r="K37" s="74"/>
      <c r="L37" s="74"/>
      <c r="M37" s="76">
        <f t="shared" si="2"/>
        <v>0</v>
      </c>
      <c r="N37" s="78"/>
      <c r="O37" s="76"/>
      <c r="P37" s="74"/>
      <c r="Q37" s="76">
        <f t="shared" si="3"/>
        <v>0</v>
      </c>
      <c r="R37" s="78"/>
      <c r="S37" s="74"/>
      <c r="T37" s="74"/>
      <c r="U37" s="76">
        <f t="shared" si="4"/>
        <v>0</v>
      </c>
      <c r="V37" s="78"/>
      <c r="W37" s="74"/>
      <c r="X37" s="74"/>
      <c r="Y37" s="76">
        <f t="shared" si="5"/>
        <v>0</v>
      </c>
    </row>
    <row r="38" spans="1:25" ht="13">
      <c r="A38" s="112" t="s">
        <v>109</v>
      </c>
      <c r="B38" s="94"/>
      <c r="C38" s="94"/>
      <c r="D38" s="74"/>
      <c r="E38" s="134"/>
      <c r="F38" s="78"/>
      <c r="G38" s="74"/>
      <c r="H38" s="74"/>
      <c r="I38" s="76">
        <f>SUM(G38:H38)</f>
        <v>0</v>
      </c>
      <c r="J38" s="78"/>
      <c r="K38" s="74"/>
      <c r="L38" s="74"/>
      <c r="M38" s="76">
        <f t="shared" si="2"/>
        <v>0</v>
      </c>
      <c r="N38" s="78"/>
      <c r="O38" s="76"/>
      <c r="P38" s="74"/>
      <c r="Q38" s="76">
        <f t="shared" si="3"/>
        <v>0</v>
      </c>
      <c r="R38" s="78"/>
      <c r="S38" s="74"/>
      <c r="T38" s="74"/>
      <c r="U38" s="76">
        <f t="shared" si="4"/>
        <v>0</v>
      </c>
      <c r="V38" s="78"/>
      <c r="W38" s="74"/>
      <c r="X38" s="74"/>
      <c r="Y38" s="76">
        <f t="shared" si="5"/>
        <v>0</v>
      </c>
    </row>
    <row r="39" spans="1:25" ht="13">
      <c r="A39" s="112"/>
      <c r="B39" s="78"/>
      <c r="C39" s="74"/>
      <c r="D39" s="74"/>
      <c r="E39" s="91"/>
      <c r="F39" s="78"/>
      <c r="G39" s="74"/>
      <c r="H39" s="74"/>
      <c r="I39" s="76">
        <f>SUM(G39:H39)</f>
        <v>0</v>
      </c>
      <c r="J39" s="78"/>
      <c r="K39" s="74"/>
      <c r="L39" s="74"/>
      <c r="M39" s="76">
        <f t="shared" si="2"/>
        <v>0</v>
      </c>
      <c r="N39" s="78"/>
      <c r="O39" s="76"/>
      <c r="P39" s="74"/>
      <c r="Q39" s="76">
        <f t="shared" si="3"/>
        <v>0</v>
      </c>
      <c r="R39" s="78"/>
      <c r="S39" s="74"/>
      <c r="T39" s="74"/>
      <c r="U39" s="76">
        <f t="shared" si="4"/>
        <v>0</v>
      </c>
      <c r="V39" s="78"/>
      <c r="W39" s="74"/>
      <c r="X39" s="74"/>
      <c r="Y39" s="76">
        <f t="shared" si="5"/>
        <v>0</v>
      </c>
    </row>
    <row r="40" spans="1:25" s="59" customFormat="1" ht="13">
      <c r="A40" s="113" t="s">
        <v>107</v>
      </c>
      <c r="B40" s="136"/>
      <c r="C40" s="80">
        <f>SUM(C35:C39)</f>
        <v>0</v>
      </c>
      <c r="D40" s="80">
        <f>SUM(D36:D39)</f>
        <v>0</v>
      </c>
      <c r="E40" s="80">
        <f>SUM(E36:E39)</f>
        <v>0</v>
      </c>
      <c r="F40" s="80"/>
      <c r="G40" s="76">
        <f>SUM(G35:G39)</f>
        <v>0</v>
      </c>
      <c r="H40" s="76">
        <f>SUM(H35:H39)</f>
        <v>0</v>
      </c>
      <c r="I40" s="76">
        <f>SUM(I35:I39)</f>
        <v>0</v>
      </c>
      <c r="J40" s="80"/>
      <c r="K40" s="76">
        <f>(K35+K39)</f>
        <v>0</v>
      </c>
      <c r="L40" s="76">
        <f>(L35+L39)</f>
        <v>0</v>
      </c>
      <c r="M40" s="76">
        <f t="shared" si="2"/>
        <v>0</v>
      </c>
      <c r="N40" s="80"/>
      <c r="O40" s="76"/>
      <c r="P40" s="76"/>
      <c r="Q40" s="76">
        <f t="shared" si="3"/>
        <v>0</v>
      </c>
      <c r="R40" s="80"/>
      <c r="S40" s="76"/>
      <c r="T40" s="76"/>
      <c r="U40" s="76">
        <f t="shared" si="4"/>
        <v>0</v>
      </c>
      <c r="V40" s="80"/>
      <c r="W40" s="76"/>
      <c r="X40" s="76"/>
      <c r="Y40" s="76">
        <f t="shared" si="5"/>
        <v>0</v>
      </c>
    </row>
    <row r="41" spans="1:25" ht="4.1500000000000004" customHeight="1">
      <c r="A41" s="113"/>
      <c r="B41" s="80"/>
      <c r="C41" s="78"/>
      <c r="D41" s="78"/>
      <c r="E41" s="76"/>
      <c r="F41" s="80"/>
      <c r="G41" s="78"/>
      <c r="H41" s="78"/>
      <c r="I41" s="76"/>
      <c r="J41" s="80"/>
      <c r="K41" s="78"/>
      <c r="L41" s="78"/>
      <c r="M41" s="76"/>
      <c r="N41" s="80"/>
      <c r="O41" s="78"/>
      <c r="P41" s="78"/>
      <c r="Q41" s="76"/>
      <c r="R41" s="80"/>
      <c r="S41" s="78"/>
      <c r="T41" s="78"/>
      <c r="U41" s="76"/>
      <c r="V41" s="80"/>
      <c r="W41" s="78"/>
      <c r="X41" s="78"/>
      <c r="Y41" s="76"/>
    </row>
    <row r="42" spans="1:25" ht="17.25" customHeight="1">
      <c r="A42" s="113" t="s">
        <v>104</v>
      </c>
      <c r="B42" s="80"/>
      <c r="C42" s="80">
        <f>C33+C40</f>
        <v>0</v>
      </c>
      <c r="D42" s="80">
        <f>D33+D40</f>
        <v>0</v>
      </c>
      <c r="E42" s="80">
        <f>E33+E40</f>
        <v>0</v>
      </c>
      <c r="F42" s="80"/>
      <c r="G42" s="76">
        <f>G33+G40</f>
        <v>0</v>
      </c>
      <c r="H42" s="76">
        <f>H33+H40</f>
        <v>0</v>
      </c>
      <c r="I42" s="76">
        <f>I33+I40</f>
        <v>0</v>
      </c>
      <c r="J42" s="80"/>
      <c r="K42" s="76">
        <f>(K33+K40)</f>
        <v>0</v>
      </c>
      <c r="L42" s="76">
        <f>(L33+L40)</f>
        <v>0</v>
      </c>
      <c r="M42" s="76">
        <f>(M33+M40)</f>
        <v>0</v>
      </c>
      <c r="N42" s="76">
        <f>N33+N40</f>
        <v>0</v>
      </c>
      <c r="O42" s="76">
        <f>O33+O40</f>
        <v>0</v>
      </c>
      <c r="P42" s="76">
        <f>(P33+P40)</f>
        <v>0</v>
      </c>
      <c r="Q42" s="76">
        <f>(Q33+Q40)</f>
        <v>0</v>
      </c>
      <c r="R42" s="76">
        <f t="shared" ref="R42:Y42" si="6">SUM(R33:R40)</f>
        <v>0</v>
      </c>
      <c r="S42" s="76">
        <f t="shared" si="6"/>
        <v>0</v>
      </c>
      <c r="T42" s="76">
        <f t="shared" si="6"/>
        <v>0</v>
      </c>
      <c r="U42" s="76">
        <f t="shared" si="6"/>
        <v>0</v>
      </c>
      <c r="V42" s="76">
        <f t="shared" si="6"/>
        <v>0</v>
      </c>
      <c r="W42" s="76">
        <f t="shared" si="6"/>
        <v>0</v>
      </c>
      <c r="X42" s="76">
        <f t="shared" si="6"/>
        <v>0</v>
      </c>
      <c r="Y42" s="76">
        <f t="shared" si="6"/>
        <v>0</v>
      </c>
    </row>
    <row r="43" spans="1:25" ht="17.25" customHeight="1">
      <c r="A43" s="115"/>
      <c r="B43" s="86"/>
      <c r="C43" s="85"/>
      <c r="D43" s="85"/>
      <c r="E43" s="86"/>
      <c r="F43" s="86"/>
      <c r="G43" s="85"/>
      <c r="H43" s="85"/>
      <c r="I43" s="86"/>
      <c r="J43" s="86"/>
      <c r="K43" s="85"/>
      <c r="L43" s="85"/>
      <c r="M43" s="86"/>
      <c r="N43" s="86"/>
      <c r="O43" s="85"/>
      <c r="P43" s="85"/>
      <c r="Q43" s="86"/>
      <c r="R43" s="86"/>
      <c r="S43" s="85"/>
      <c r="T43" s="85"/>
      <c r="U43" s="86"/>
      <c r="V43" s="86"/>
      <c r="W43" s="85"/>
      <c r="X43" s="85"/>
      <c r="Y43" s="86"/>
    </row>
    <row r="44" spans="1:25" ht="13">
      <c r="A44" s="746" t="s">
        <v>110</v>
      </c>
      <c r="B44" s="137"/>
      <c r="C44" s="87"/>
      <c r="D44" s="87"/>
      <c r="E44" s="138"/>
      <c r="F44" s="88"/>
      <c r="G44" s="87"/>
      <c r="H44" s="87"/>
      <c r="I44" s="88"/>
      <c r="J44" s="88"/>
      <c r="K44" s="87"/>
      <c r="L44" s="87"/>
      <c r="M44" s="88"/>
      <c r="N44" s="88"/>
      <c r="O44" s="87"/>
      <c r="P44" s="87"/>
      <c r="Q44" s="88"/>
      <c r="R44" s="88"/>
      <c r="S44" s="87"/>
      <c r="T44" s="87"/>
      <c r="U44" s="88"/>
      <c r="V44" s="88"/>
      <c r="W44" s="87"/>
      <c r="X44" s="87"/>
      <c r="Y44" s="89"/>
    </row>
    <row r="45" spans="1:25" ht="13">
      <c r="A45" s="116" t="s">
        <v>111</v>
      </c>
      <c r="B45" s="78"/>
      <c r="C45" s="94"/>
      <c r="D45" s="94"/>
      <c r="E45" s="91"/>
      <c r="F45" s="72"/>
      <c r="G45" s="94"/>
      <c r="H45" s="94"/>
      <c r="I45" s="91"/>
      <c r="J45" s="72"/>
      <c r="K45" s="94"/>
      <c r="L45" s="94"/>
      <c r="M45" s="91"/>
      <c r="N45" s="72"/>
      <c r="O45" s="94"/>
      <c r="P45" s="94"/>
      <c r="Q45" s="91"/>
      <c r="R45" s="72"/>
      <c r="S45" s="94"/>
      <c r="T45" s="94"/>
      <c r="U45" s="91"/>
      <c r="V45" s="72"/>
      <c r="W45" s="94"/>
      <c r="X45" s="94"/>
      <c r="Y45" s="91"/>
    </row>
    <row r="46" spans="1:25" ht="13">
      <c r="A46" s="112"/>
      <c r="B46" s="78"/>
      <c r="C46" s="74"/>
      <c r="D46" s="74"/>
      <c r="E46" s="91"/>
      <c r="F46" s="78"/>
      <c r="G46" s="74"/>
      <c r="H46" s="74"/>
      <c r="I46" s="91"/>
      <c r="J46" s="78"/>
      <c r="K46" s="74"/>
      <c r="L46" s="74"/>
      <c r="M46" s="91"/>
      <c r="N46" s="78"/>
      <c r="O46" s="74"/>
      <c r="P46" s="74"/>
      <c r="Q46" s="91"/>
      <c r="R46" s="78"/>
      <c r="S46" s="74"/>
      <c r="T46" s="74"/>
      <c r="U46" s="91"/>
      <c r="V46" s="78"/>
      <c r="W46" s="74"/>
      <c r="X46" s="74"/>
      <c r="Y46" s="91"/>
    </row>
    <row r="47" spans="1:25" s="59" customFormat="1" ht="13">
      <c r="A47" s="117" t="s">
        <v>107</v>
      </c>
      <c r="B47" s="80">
        <f>SUM(B45:B46)</f>
        <v>0</v>
      </c>
      <c r="C47" s="80"/>
      <c r="D47" s="80"/>
      <c r="E47" s="80"/>
      <c r="F47" s="80">
        <f>SUM(F45:F46)</f>
        <v>0</v>
      </c>
      <c r="G47" s="80"/>
      <c r="H47" s="80"/>
      <c r="I47" s="80">
        <f>SUM(I45:I46)</f>
        <v>0</v>
      </c>
      <c r="J47" s="80"/>
      <c r="K47" s="80"/>
      <c r="L47" s="80"/>
      <c r="M47" s="80">
        <f>SUM(M45:M46)</f>
        <v>0</v>
      </c>
      <c r="N47" s="80"/>
      <c r="O47" s="80"/>
      <c r="P47" s="80"/>
      <c r="Q47" s="80">
        <f>SUM(Q45:Q46)</f>
        <v>0</v>
      </c>
      <c r="R47" s="80"/>
      <c r="S47" s="80"/>
      <c r="T47" s="80"/>
      <c r="U47" s="80">
        <f>SUM(U45:U46)</f>
        <v>0</v>
      </c>
      <c r="V47" s="80"/>
      <c r="W47" s="80"/>
      <c r="X47" s="80"/>
      <c r="Y47" s="80"/>
    </row>
    <row r="48" spans="1:25" ht="4.1500000000000004" customHeight="1">
      <c r="A48" s="113"/>
      <c r="B48" s="78"/>
      <c r="C48" s="78"/>
      <c r="D48" s="78"/>
      <c r="E48" s="76"/>
      <c r="F48" s="78"/>
      <c r="G48" s="78"/>
      <c r="H48" s="78"/>
      <c r="I48" s="76"/>
      <c r="J48" s="78"/>
      <c r="K48" s="78"/>
      <c r="L48" s="78"/>
      <c r="M48" s="76"/>
      <c r="N48" s="78"/>
      <c r="O48" s="78"/>
      <c r="P48" s="78"/>
      <c r="Q48" s="76"/>
      <c r="R48" s="78"/>
      <c r="S48" s="78"/>
      <c r="T48" s="78"/>
      <c r="U48" s="76"/>
      <c r="V48" s="78"/>
      <c r="W48" s="78"/>
      <c r="X48" s="78"/>
      <c r="Y48" s="76"/>
    </row>
    <row r="49" spans="1:25" s="62" customFormat="1" ht="13">
      <c r="A49" s="113" t="s">
        <v>112</v>
      </c>
      <c r="B49" s="96">
        <f>B47</f>
        <v>0</v>
      </c>
      <c r="C49" s="96"/>
      <c r="D49" s="96"/>
      <c r="E49" s="96"/>
      <c r="F49" s="96">
        <f>F47</f>
        <v>0</v>
      </c>
      <c r="G49" s="96"/>
      <c r="H49" s="96"/>
      <c r="I49" s="96">
        <f>I47</f>
        <v>0</v>
      </c>
      <c r="J49" s="96"/>
      <c r="K49" s="96"/>
      <c r="L49" s="96"/>
      <c r="M49" s="96">
        <f>M47</f>
        <v>0</v>
      </c>
      <c r="N49" s="96"/>
      <c r="O49" s="96"/>
      <c r="P49" s="96"/>
      <c r="Q49" s="96">
        <f>Q47</f>
        <v>0</v>
      </c>
      <c r="R49" s="96"/>
      <c r="S49" s="96"/>
      <c r="T49" s="96"/>
      <c r="U49" s="96">
        <f>U47</f>
        <v>0</v>
      </c>
      <c r="V49" s="96"/>
      <c r="W49" s="96"/>
      <c r="X49" s="96"/>
      <c r="Y49" s="96"/>
    </row>
    <row r="50" spans="1:25" s="67" customFormat="1" ht="13">
      <c r="A50" s="59"/>
      <c r="B50" s="63"/>
      <c r="C50" s="63"/>
      <c r="D50" s="63"/>
      <c r="E50" s="64"/>
      <c r="F50" s="62"/>
      <c r="G50" s="65"/>
      <c r="H50" s="66"/>
      <c r="I50" s="62"/>
      <c r="J50" s="62"/>
      <c r="K50" s="65"/>
      <c r="L50" s="66"/>
      <c r="M50" s="62"/>
      <c r="N50" s="62"/>
      <c r="O50" s="65"/>
      <c r="P50" s="66"/>
      <c r="Q50" s="62"/>
      <c r="R50" s="62"/>
      <c r="S50" s="65"/>
      <c r="T50" s="66"/>
      <c r="U50" s="62"/>
      <c r="V50" s="62"/>
      <c r="W50" s="65"/>
      <c r="X50" s="66"/>
      <c r="Y50" s="62"/>
    </row>
    <row r="51" spans="1:25" ht="13">
      <c r="A51" s="59" t="s">
        <v>67</v>
      </c>
      <c r="B51" s="59"/>
      <c r="C51" s="61" t="s">
        <v>122</v>
      </c>
      <c r="D51" s="61"/>
      <c r="E51" s="61"/>
      <c r="F51" s="59"/>
      <c r="G51" s="61"/>
      <c r="H51" s="61"/>
      <c r="I51" s="59"/>
      <c r="J51" s="59"/>
      <c r="K51" s="61"/>
      <c r="L51" s="61"/>
      <c r="M51" s="59"/>
      <c r="N51" s="59"/>
      <c r="O51" s="61"/>
      <c r="P51" s="61"/>
      <c r="Q51" s="59"/>
      <c r="R51" s="59"/>
      <c r="S51" s="61"/>
      <c r="T51" s="61"/>
      <c r="V51" s="59"/>
      <c r="W51" s="61"/>
      <c r="X51" s="61"/>
      <c r="Y51" s="59"/>
    </row>
    <row r="52" spans="1:25">
      <c r="W52" s="61"/>
      <c r="X52" s="61"/>
    </row>
    <row r="53" spans="1:25" ht="13">
      <c r="A53" s="59" t="s">
        <v>123</v>
      </c>
      <c r="B53" s="59" t="s">
        <v>124</v>
      </c>
      <c r="D53" s="61"/>
      <c r="G53" s="61"/>
      <c r="I53" s="59"/>
      <c r="K53" s="61"/>
      <c r="M53" s="59"/>
      <c r="O53" s="61"/>
      <c r="P53" s="61"/>
      <c r="S53" s="61"/>
      <c r="T53" s="61"/>
      <c r="W53" s="61"/>
      <c r="X53" s="61"/>
    </row>
    <row r="54" spans="1:25" ht="13">
      <c r="A54" s="59" t="s">
        <v>125</v>
      </c>
      <c r="B54" s="59" t="s">
        <v>126</v>
      </c>
      <c r="D54" s="61"/>
      <c r="G54" s="61"/>
      <c r="I54" s="59"/>
      <c r="K54" s="61"/>
      <c r="M54" s="59"/>
      <c r="O54" s="61"/>
      <c r="P54" s="61"/>
      <c r="S54" s="61"/>
      <c r="T54" s="61"/>
    </row>
    <row r="55" spans="1:25" ht="13">
      <c r="A55" s="59" t="s">
        <v>127</v>
      </c>
      <c r="B55" s="59" t="s">
        <v>128</v>
      </c>
      <c r="D55" s="61"/>
      <c r="G55" s="61"/>
      <c r="I55" s="59"/>
      <c r="K55" s="61"/>
      <c r="M55" s="59"/>
      <c r="U55" s="68"/>
      <c r="V55" s="68"/>
      <c r="Y55" s="68"/>
    </row>
    <row r="56" spans="1:25" ht="13">
      <c r="A56" s="59" t="s">
        <v>129</v>
      </c>
      <c r="B56" s="59" t="s">
        <v>130</v>
      </c>
      <c r="D56" s="61"/>
      <c r="F56" s="68"/>
      <c r="I56" s="68"/>
      <c r="J56" s="68"/>
      <c r="M56" s="68"/>
      <c r="N56" s="68"/>
      <c r="Q56" s="68"/>
      <c r="R56" s="68"/>
      <c r="W56" s="61"/>
      <c r="X56" s="61"/>
    </row>
    <row r="57" spans="1:25" ht="13">
      <c r="A57" s="59"/>
      <c r="B57" s="59"/>
      <c r="D57" s="61"/>
      <c r="G57" s="61"/>
      <c r="I57" s="59"/>
      <c r="K57" s="61"/>
      <c r="M57" s="59"/>
      <c r="O57" s="61"/>
      <c r="P57" s="61"/>
      <c r="S57" s="61"/>
      <c r="T57" s="61"/>
      <c r="U57" s="68"/>
      <c r="V57" s="68"/>
      <c r="Y57" s="68"/>
    </row>
    <row r="58" spans="1:25">
      <c r="A58" s="68"/>
      <c r="B58" s="68"/>
      <c r="F58" s="68"/>
      <c r="I58" s="68"/>
      <c r="J58" s="68"/>
      <c r="M58" s="68"/>
      <c r="N58" s="68"/>
      <c r="Q58" s="68"/>
      <c r="R58" s="68"/>
      <c r="U58" s="68"/>
      <c r="V58" s="68"/>
      <c r="Y58" s="68"/>
    </row>
    <row r="59" spans="1:25">
      <c r="A59" s="68"/>
      <c r="B59" s="68"/>
      <c r="F59" s="68"/>
      <c r="I59" s="68"/>
      <c r="J59" s="68"/>
      <c r="M59" s="68"/>
      <c r="N59" s="68"/>
      <c r="Q59" s="68"/>
      <c r="R59" s="68"/>
      <c r="U59" s="68"/>
      <c r="V59" s="68"/>
      <c r="Y59" s="68"/>
    </row>
    <row r="60" spans="1:25">
      <c r="A60" s="68"/>
      <c r="B60" s="68"/>
      <c r="F60" s="68"/>
      <c r="I60" s="68"/>
      <c r="J60" s="68"/>
      <c r="M60" s="68"/>
      <c r="N60" s="68"/>
      <c r="Q60" s="68"/>
      <c r="R60" s="68"/>
      <c r="U60" s="68"/>
      <c r="V60" s="68"/>
      <c r="Y60" s="68"/>
    </row>
  </sheetData>
  <sheetProtection password="F485" sheet="1" objects="1" scenarios="1"/>
  <mergeCells count="12">
    <mergeCell ref="B3:E3"/>
    <mergeCell ref="F3:I3"/>
    <mergeCell ref="B25:E25"/>
    <mergeCell ref="F25:I25"/>
    <mergeCell ref="V3:Y3"/>
    <mergeCell ref="R25:U25"/>
    <mergeCell ref="V25:Y25"/>
    <mergeCell ref="N25:Q25"/>
    <mergeCell ref="J25:M25"/>
    <mergeCell ref="J3:M3"/>
    <mergeCell ref="N3:Q3"/>
    <mergeCell ref="R3:U3"/>
  </mergeCells>
  <phoneticPr fontId="0" type="noConversion"/>
  <printOptions horizontalCentered="1" verticalCentered="1"/>
  <pageMargins left="0" right="0" top="1" bottom="1" header="0.5" footer="0.5"/>
  <pageSetup scale="44" orientation="landscape" cellComments="asDisplayed" r:id="rId1"/>
  <headerFooter alignWithMargins="0">
    <oddHeader xml:space="preserve">&amp;C&amp;"Arial,Bold"San Diego Gas and Electric
Program Subscription Statistics
MARCH 2016
</oddHeader>
    <oddFooter>&amp;L&amp;F</oddFooter>
  </headerFooter>
  <customProperties>
    <customPr name="_pios_id" r:id="rId2"/>
  </customProperties>
  <ignoredErrors>
    <ignoredError sqref="M28:M33 M35:M40" unlocked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2:Q49"/>
  <sheetViews>
    <sheetView showRuler="0" showWhiteSpace="0" topLeftCell="A13" zoomScale="80" zoomScaleNormal="80" workbookViewId="0">
      <selection activeCell="B30" sqref="B30"/>
    </sheetView>
  </sheetViews>
  <sheetFormatPr defaultColWidth="9.1796875" defaultRowHeight="12.5"/>
  <cols>
    <col min="1" max="1" width="48" style="60" customWidth="1"/>
    <col min="2" max="3" width="13" style="60" customWidth="1"/>
    <col min="4" max="13" width="13.453125" style="60" customWidth="1"/>
    <col min="14" max="15" width="9.1796875" style="60"/>
    <col min="16" max="16" width="27.7265625" style="60" bestFit="1" customWidth="1"/>
    <col min="17" max="17" width="23.1796875" style="60" bestFit="1" customWidth="1"/>
    <col min="18" max="16384" width="9.1796875" style="60"/>
  </cols>
  <sheetData>
    <row r="2" spans="1:14" ht="20">
      <c r="B2" s="521" t="s">
        <v>39</v>
      </c>
      <c r="C2" s="59"/>
      <c r="D2" s="59"/>
      <c r="E2" s="522"/>
      <c r="F2" s="522"/>
      <c r="G2" s="522"/>
      <c r="H2" s="522"/>
      <c r="I2" s="522"/>
      <c r="J2" s="522"/>
      <c r="K2" s="522"/>
      <c r="L2" s="522"/>
      <c r="M2" s="522"/>
      <c r="N2" s="59"/>
    </row>
    <row r="3" spans="1:14" ht="18">
      <c r="B3" s="765" t="s">
        <v>131</v>
      </c>
      <c r="C3" s="765"/>
      <c r="D3" s="765"/>
      <c r="E3" s="765"/>
      <c r="F3" s="765"/>
      <c r="G3" s="765"/>
      <c r="H3" s="765"/>
      <c r="I3" s="765"/>
      <c r="J3" s="765"/>
      <c r="K3" s="765"/>
      <c r="L3" s="765"/>
      <c r="M3" s="765"/>
      <c r="N3" s="765"/>
    </row>
    <row r="4" spans="1:14" ht="18">
      <c r="A4" s="191"/>
      <c r="B4" s="59"/>
      <c r="C4" s="59"/>
      <c r="D4" s="59"/>
      <c r="E4" s="59"/>
      <c r="F4" s="523"/>
      <c r="G4" s="766" t="str">
        <f>'Program MW '!H3</f>
        <v>December 2019</v>
      </c>
      <c r="H4" s="766"/>
      <c r="I4" s="523"/>
      <c r="J4" s="59"/>
      <c r="K4" s="59"/>
      <c r="L4" s="59"/>
      <c r="M4" s="59"/>
      <c r="N4" s="59"/>
    </row>
    <row r="5" spans="1:14">
      <c r="B5" s="230"/>
      <c r="C5" s="230"/>
      <c r="D5" s="230"/>
    </row>
    <row r="7" spans="1:14" ht="21.75" customHeight="1">
      <c r="A7" s="111"/>
      <c r="B7" s="192" t="s">
        <v>10</v>
      </c>
      <c r="C7" s="192" t="s">
        <v>28</v>
      </c>
      <c r="D7" s="192" t="s">
        <v>44</v>
      </c>
      <c r="E7" s="192" t="s">
        <v>45</v>
      </c>
      <c r="F7" s="192" t="s">
        <v>132</v>
      </c>
      <c r="G7" s="192" t="s">
        <v>46</v>
      </c>
      <c r="H7" s="192" t="s">
        <v>59</v>
      </c>
      <c r="I7" s="192" t="s">
        <v>113</v>
      </c>
      <c r="J7" s="192" t="s">
        <v>114</v>
      </c>
      <c r="K7" s="192" t="s">
        <v>62</v>
      </c>
      <c r="L7" s="192" t="s">
        <v>115</v>
      </c>
      <c r="M7" s="193" t="s">
        <v>64</v>
      </c>
    </row>
    <row r="8" spans="1:14" ht="26">
      <c r="A8" s="374" t="s">
        <v>133</v>
      </c>
      <c r="B8" s="420" t="s">
        <v>102</v>
      </c>
      <c r="C8" s="145" t="s">
        <v>102</v>
      </c>
      <c r="D8" s="145" t="s">
        <v>102</v>
      </c>
      <c r="E8" s="145" t="s">
        <v>102</v>
      </c>
      <c r="F8" s="145" t="s">
        <v>102</v>
      </c>
      <c r="G8" s="145" t="s">
        <v>102</v>
      </c>
      <c r="H8" s="145" t="s">
        <v>102</v>
      </c>
      <c r="I8" s="145" t="s">
        <v>102</v>
      </c>
      <c r="J8" s="145" t="s">
        <v>102</v>
      </c>
      <c r="K8" s="145" t="s">
        <v>102</v>
      </c>
      <c r="L8" s="145" t="s">
        <v>134</v>
      </c>
      <c r="M8" s="145" t="s">
        <v>134</v>
      </c>
    </row>
    <row r="9" spans="1:14">
      <c r="A9" s="419" t="s">
        <v>105</v>
      </c>
      <c r="B9" s="421">
        <v>0</v>
      </c>
      <c r="C9" s="421">
        <v>0</v>
      </c>
      <c r="D9" s="421">
        <v>0</v>
      </c>
      <c r="E9" s="421">
        <v>0</v>
      </c>
      <c r="F9" s="421">
        <v>0</v>
      </c>
      <c r="G9" s="421">
        <v>0</v>
      </c>
      <c r="H9" s="421">
        <v>0</v>
      </c>
      <c r="I9" s="719">
        <v>0</v>
      </c>
      <c r="J9" s="719">
        <v>1.23E-2</v>
      </c>
      <c r="K9" s="719">
        <v>1.23E-2</v>
      </c>
      <c r="L9" s="719">
        <v>1.23E-2</v>
      </c>
      <c r="M9" s="719">
        <v>1.23E-2</v>
      </c>
    </row>
    <row r="10" spans="1:14">
      <c r="A10" s="419" t="s">
        <v>106</v>
      </c>
      <c r="B10" s="421">
        <v>0</v>
      </c>
      <c r="C10" s="421">
        <v>0</v>
      </c>
      <c r="D10" s="421">
        <v>0</v>
      </c>
      <c r="E10" s="421">
        <v>0</v>
      </c>
      <c r="F10" s="421">
        <v>0</v>
      </c>
      <c r="G10" s="421">
        <v>0</v>
      </c>
      <c r="H10" s="421">
        <v>0</v>
      </c>
      <c r="I10" s="421">
        <v>0</v>
      </c>
      <c r="J10" s="421">
        <v>0</v>
      </c>
      <c r="K10" s="421">
        <v>0</v>
      </c>
      <c r="L10" s="421">
        <v>0</v>
      </c>
      <c r="M10" s="421">
        <v>0</v>
      </c>
    </row>
    <row r="11" spans="1:14">
      <c r="A11" s="195" t="s">
        <v>135</v>
      </c>
      <c r="B11" s="73">
        <v>0</v>
      </c>
      <c r="C11" s="73">
        <v>0</v>
      </c>
      <c r="D11" s="73">
        <v>0</v>
      </c>
      <c r="E11" s="73">
        <v>0</v>
      </c>
      <c r="F11" s="73">
        <v>0</v>
      </c>
      <c r="G11" s="73">
        <v>0</v>
      </c>
      <c r="H11" s="73">
        <v>0</v>
      </c>
      <c r="I11" s="73">
        <v>0</v>
      </c>
      <c r="J11" s="73">
        <v>0</v>
      </c>
      <c r="K11" s="73">
        <v>0</v>
      </c>
      <c r="L11" s="73">
        <v>0</v>
      </c>
      <c r="M11" s="73">
        <v>0</v>
      </c>
    </row>
    <row r="12" spans="1:14">
      <c r="A12" s="195" t="s">
        <v>136</v>
      </c>
      <c r="B12" s="121">
        <v>0</v>
      </c>
      <c r="C12" s="121">
        <v>0</v>
      </c>
      <c r="D12" s="121">
        <v>0</v>
      </c>
      <c r="E12" s="121">
        <v>0</v>
      </c>
      <c r="F12" s="121">
        <v>0</v>
      </c>
      <c r="G12" s="121">
        <v>0</v>
      </c>
      <c r="H12" s="121">
        <v>0</v>
      </c>
      <c r="I12" s="121">
        <v>0</v>
      </c>
      <c r="J12" s="121">
        <v>0</v>
      </c>
      <c r="K12" s="121">
        <v>0</v>
      </c>
      <c r="L12" s="121">
        <v>0</v>
      </c>
      <c r="M12" s="121">
        <v>0</v>
      </c>
    </row>
    <row r="13" spans="1:14" s="59" customFormat="1" ht="13">
      <c r="A13" s="194" t="s">
        <v>107</v>
      </c>
      <c r="B13" s="123">
        <f t="shared" ref="B13:G13" si="0">SUM(B9:B12)</f>
        <v>0</v>
      </c>
      <c r="C13" s="123">
        <f t="shared" si="0"/>
        <v>0</v>
      </c>
      <c r="D13" s="123">
        <f t="shared" si="0"/>
        <v>0</v>
      </c>
      <c r="E13" s="123">
        <f t="shared" si="0"/>
        <v>0</v>
      </c>
      <c r="F13" s="123">
        <f t="shared" si="0"/>
        <v>0</v>
      </c>
      <c r="G13" s="123">
        <f t="shared" si="0"/>
        <v>0</v>
      </c>
      <c r="H13" s="76">
        <f t="shared" ref="H13" si="1">SUM(H9:H12)</f>
        <v>0</v>
      </c>
      <c r="I13" s="76">
        <f t="shared" ref="I13:M13" si="2">SUM(I9:I12)</f>
        <v>0</v>
      </c>
      <c r="J13" s="720">
        <f t="shared" si="2"/>
        <v>1.23E-2</v>
      </c>
      <c r="K13" s="720">
        <f t="shared" si="2"/>
        <v>1.23E-2</v>
      </c>
      <c r="L13" s="720">
        <f t="shared" si="2"/>
        <v>1.23E-2</v>
      </c>
      <c r="M13" s="720">
        <f t="shared" si="2"/>
        <v>1.23E-2</v>
      </c>
    </row>
    <row r="14" spans="1:14" s="67" customFormat="1" ht="13">
      <c r="A14" s="59"/>
      <c r="B14" s="63"/>
      <c r="C14" s="65"/>
      <c r="D14" s="65"/>
      <c r="E14" s="65"/>
      <c r="F14" s="65"/>
      <c r="G14" s="65"/>
    </row>
    <row r="15" spans="1:14" ht="14">
      <c r="A15" s="306" t="s">
        <v>67</v>
      </c>
      <c r="G15" s="61"/>
    </row>
    <row r="16" spans="1:14" ht="15.5">
      <c r="A16" s="593" t="s">
        <v>137</v>
      </c>
      <c r="B16" s="230"/>
      <c r="C16" s="230"/>
      <c r="D16" s="396"/>
      <c r="E16" s="396"/>
      <c r="F16" s="396"/>
      <c r="G16" s="230"/>
      <c r="H16" s="230"/>
      <c r="I16" s="230"/>
      <c r="J16" s="230"/>
      <c r="K16" s="230"/>
    </row>
    <row r="17" spans="1:17" ht="15.5">
      <c r="A17" s="592"/>
    </row>
    <row r="20" spans="1:17" ht="21.75" customHeight="1">
      <c r="A20" s="111"/>
      <c r="B20" s="192" t="s">
        <v>10</v>
      </c>
      <c r="C20" s="192" t="s">
        <v>28</v>
      </c>
      <c r="D20" s="192" t="s">
        <v>44</v>
      </c>
      <c r="E20" s="192" t="s">
        <v>45</v>
      </c>
      <c r="F20" s="192" t="s">
        <v>132</v>
      </c>
      <c r="G20" s="192" t="s">
        <v>46</v>
      </c>
      <c r="H20" s="192" t="s">
        <v>59</v>
      </c>
      <c r="I20" s="192" t="s">
        <v>113</v>
      </c>
      <c r="J20" s="192" t="s">
        <v>114</v>
      </c>
      <c r="K20" s="192" t="s">
        <v>62</v>
      </c>
      <c r="L20" s="192" t="s">
        <v>115</v>
      </c>
      <c r="M20" s="193" t="s">
        <v>64</v>
      </c>
      <c r="P20" s="526"/>
      <c r="Q20" s="526"/>
    </row>
    <row r="21" spans="1:17" ht="52">
      <c r="A21" s="373" t="s">
        <v>133</v>
      </c>
      <c r="B21" s="145" t="s">
        <v>138</v>
      </c>
      <c r="C21" s="145" t="str">
        <f>B21</f>
        <v>Technology Deployment- Residential MWs</v>
      </c>
      <c r="D21" s="145" t="str">
        <f>B21</f>
        <v>Technology Deployment- Residential MWs</v>
      </c>
      <c r="E21" s="145" t="str">
        <f t="shared" ref="E21:M21" si="3">C21</f>
        <v>Technology Deployment- Residential MWs</v>
      </c>
      <c r="F21" s="145" t="str">
        <f t="shared" si="3"/>
        <v>Technology Deployment- Residential MWs</v>
      </c>
      <c r="G21" s="145" t="str">
        <f t="shared" si="3"/>
        <v>Technology Deployment- Residential MWs</v>
      </c>
      <c r="H21" s="145" t="str">
        <f t="shared" si="3"/>
        <v>Technology Deployment- Residential MWs</v>
      </c>
      <c r="I21" s="145" t="str">
        <f t="shared" si="3"/>
        <v>Technology Deployment- Residential MWs</v>
      </c>
      <c r="J21" s="145" t="str">
        <f t="shared" si="3"/>
        <v>Technology Deployment- Residential MWs</v>
      </c>
      <c r="K21" s="145" t="str">
        <f t="shared" si="3"/>
        <v>Technology Deployment- Residential MWs</v>
      </c>
      <c r="L21" s="145" t="str">
        <f t="shared" si="3"/>
        <v>Technology Deployment- Residential MWs</v>
      </c>
      <c r="M21" s="145" t="str">
        <f t="shared" si="3"/>
        <v>Technology Deployment- Residential MWs</v>
      </c>
      <c r="Q21" s="526"/>
    </row>
    <row r="22" spans="1:17">
      <c r="A22" s="195" t="s">
        <v>17</v>
      </c>
      <c r="B22" s="73">
        <f>'Program MW '!D16</f>
        <v>7.1981018452087442</v>
      </c>
      <c r="C22" s="73">
        <f>'Program MW '!G16</f>
        <v>7.2726913657506405</v>
      </c>
      <c r="D22" s="73">
        <f>'Program MW '!J16</f>
        <v>2.7737791291887173</v>
      </c>
      <c r="E22" s="73">
        <f>'Program MW '!K16*'Ex post LI &amp; Eligibility Stats'!E11/1000</f>
        <v>2.7936518477867032</v>
      </c>
      <c r="F22" s="73">
        <f>'Program MW '!O16</f>
        <v>2.7675933089497158</v>
      </c>
      <c r="G22" s="73">
        <f>'Program MW '!S16</f>
        <v>2.8765356253539101</v>
      </c>
      <c r="H22" s="73">
        <f>'Program MW '!D39</f>
        <v>2.9883398633198111</v>
      </c>
      <c r="I22" s="73">
        <f>'Program MW '!G39</f>
        <v>3.0033655773817025</v>
      </c>
      <c r="J22" s="73">
        <f>'Program MW '!J39</f>
        <v>3.0109592178215832</v>
      </c>
      <c r="K22" s="73">
        <f>'Program MW '!M39</f>
        <v>3.0372946091343604</v>
      </c>
      <c r="L22" s="73">
        <f>'Program MW '!P39</f>
        <v>3.0537744245570799</v>
      </c>
      <c r="M22" s="73">
        <f>'Program MW '!S39</f>
        <v>3.095781797203228</v>
      </c>
      <c r="Q22" s="526"/>
    </row>
    <row r="23" spans="1:17">
      <c r="A23" s="195" t="s">
        <v>27</v>
      </c>
      <c r="B23" s="73">
        <f>'Ex post LI &amp; Eligibility Stats'!B$11/1000*825</f>
        <v>0.35163631112607852</v>
      </c>
      <c r="C23" s="73">
        <f>'Ex post LI &amp; Eligibility Stats'!C$11/1000*854</f>
        <v>0.36399686024444977</v>
      </c>
      <c r="D23" s="73">
        <f>'Ex post LI &amp; Eligibility Stats'!D$11/1000*822</f>
        <v>0.13280792428897517</v>
      </c>
      <c r="E23" s="73">
        <f>'Ex post LI &amp; Eligibility Stats'!E$11/1000*885</f>
        <v>0.14298663381477253</v>
      </c>
      <c r="F23" s="73">
        <f>'Ex post LI &amp; Eligibility Stats'!F$11/1000*900</f>
        <v>0.14541013608281952</v>
      </c>
      <c r="G23" s="73">
        <f>'Ex post LI &amp; Eligibility Stats'!G$11/1000*950</f>
        <v>0.15348847697630949</v>
      </c>
      <c r="H23" s="73">
        <f>'Ex post LI &amp; Eligibility Stats'!H$11/1000*992</f>
        <v>0.16027428332684107</v>
      </c>
      <c r="I23" s="73">
        <f>'Ex post LI &amp; Eligibility Stats'!I$11/1000*995</f>
        <v>0.16075898378045048</v>
      </c>
      <c r="J23" s="73">
        <f>'Ex post LI &amp; Eligibility Stats'!J$11/1000*990</f>
        <v>0.1599511496911015</v>
      </c>
      <c r="K23" s="73">
        <f>'Ex post LI &amp; Eligibility Stats'!K$11/1000*1005</f>
        <v>0.16237465195914846</v>
      </c>
      <c r="L23" s="73">
        <f>'Ex post LI &amp; Eligibility Stats'!L$11/1000*982</f>
        <v>0.15865861514814308</v>
      </c>
      <c r="M23" s="73">
        <f>'Ex post LI &amp; Eligibility Stats'!M$11/1000*993</f>
        <v>0.16043585014471087</v>
      </c>
    </row>
    <row r="24" spans="1:17">
      <c r="A24" s="195" t="s">
        <v>136</v>
      </c>
      <c r="B24" s="73">
        <f>'Ex post LI &amp; Eligibility Stats'!B$11/1000*838</f>
        <v>0.35717724693776221</v>
      </c>
      <c r="C24" s="73">
        <f>'Ex post LI &amp; Eligibility Stats'!C$11/1000*901</f>
        <v>0.38402947433284457</v>
      </c>
      <c r="D24" s="73">
        <f>'Ex post LI &amp; Eligibility Stats'!D$11/1000*923</f>
        <v>0.1491261728938249</v>
      </c>
      <c r="E24" s="73">
        <f>'Ex post LI &amp; Eligibility Stats'!E$11/1000*929</f>
        <v>0.15009557380104371</v>
      </c>
      <c r="F24" s="73">
        <f>'Ex post LI &amp; Eligibility Stats'!F11/1000*976</f>
        <v>0.1576892142409243</v>
      </c>
      <c r="G24" s="73">
        <f>'Ex post LI &amp; Eligibility Stats'!G$11/1000*1007</f>
        <v>0.16269778559488807</v>
      </c>
      <c r="H24" s="73">
        <f>'Ex post LI &amp; Eligibility Stats'!H$11/1000*1085</f>
        <v>0.17529999738873242</v>
      </c>
      <c r="I24" s="73">
        <f>'Ex post LI &amp; Eligibility Stats'!I$11/1000*1117</f>
        <v>0.18047013556056601</v>
      </c>
      <c r="J24" s="73">
        <f>'Ex post LI &amp; Eligibility Stats'!J$11/1000*1143</f>
        <v>0.1846708728251808</v>
      </c>
      <c r="K24" s="73">
        <f>'Ex post LI &amp; Eligibility Stats'!K$11/1000*1318</f>
        <v>0.21294506595239571</v>
      </c>
      <c r="L24" s="73">
        <f>'Ex post LI &amp; Eligibility Stats'!L$11/1000*1318</f>
        <v>0.21294506595239571</v>
      </c>
      <c r="M24" s="73">
        <f>'Ex post LI &amp; Eligibility Stats'!M$11/1000*1526</f>
        <v>0.24655096406931401</v>
      </c>
    </row>
    <row r="25" spans="1:17" s="59" customFormat="1" ht="13">
      <c r="A25" s="194" t="s">
        <v>107</v>
      </c>
      <c r="B25" s="123">
        <f t="shared" ref="B25:L25" si="4">SUM(B22:B24)</f>
        <v>7.9069154032725848</v>
      </c>
      <c r="C25" s="76">
        <f t="shared" si="4"/>
        <v>8.0207177003279355</v>
      </c>
      <c r="D25" s="76">
        <f t="shared" si="4"/>
        <v>3.0557132263715174</v>
      </c>
      <c r="E25" s="76">
        <f t="shared" si="4"/>
        <v>3.0867340554025198</v>
      </c>
      <c r="F25" s="76">
        <f t="shared" si="4"/>
        <v>3.07069265927346</v>
      </c>
      <c r="G25" s="76">
        <f t="shared" si="4"/>
        <v>3.1927218879251074</v>
      </c>
      <c r="H25" s="76">
        <f t="shared" si="4"/>
        <v>3.3239141440353843</v>
      </c>
      <c r="I25" s="76">
        <f t="shared" si="4"/>
        <v>3.3445946967227189</v>
      </c>
      <c r="J25" s="76">
        <f t="shared" si="4"/>
        <v>3.3555812403378655</v>
      </c>
      <c r="K25" s="76">
        <f t="shared" si="4"/>
        <v>3.4126143270459046</v>
      </c>
      <c r="L25" s="76">
        <f t="shared" si="4"/>
        <v>3.4253781056576189</v>
      </c>
      <c r="M25" s="76">
        <f t="shared" ref="M25" si="5">SUM(M22:M24)</f>
        <v>3.5027686114172529</v>
      </c>
    </row>
    <row r="26" spans="1:17" s="67" customFormat="1" ht="13">
      <c r="A26" s="59"/>
      <c r="B26" s="63"/>
      <c r="C26" s="65"/>
      <c r="D26" s="65"/>
      <c r="E26" s="65"/>
      <c r="F26" s="65"/>
      <c r="G26" s="65"/>
    </row>
    <row r="27" spans="1:17" ht="14">
      <c r="A27" s="306" t="s">
        <v>67</v>
      </c>
      <c r="G27" s="61"/>
    </row>
    <row r="28" spans="1:17" ht="15.5">
      <c r="A28" s="590" t="s">
        <v>139</v>
      </c>
      <c r="G28" s="61"/>
    </row>
    <row r="29" spans="1:17" ht="15.5">
      <c r="A29" s="592"/>
      <c r="C29" s="61"/>
      <c r="D29" s="61"/>
      <c r="E29" s="61"/>
      <c r="F29" s="61"/>
      <c r="G29" s="61"/>
    </row>
    <row r="30" spans="1:17">
      <c r="C30" s="61"/>
      <c r="D30" s="61"/>
      <c r="E30" s="61"/>
      <c r="F30" s="61"/>
      <c r="G30" s="61"/>
    </row>
    <row r="31" spans="1:17" ht="21.75" customHeight="1">
      <c r="A31" s="111"/>
      <c r="B31" s="192" t="s">
        <v>10</v>
      </c>
      <c r="C31" s="192" t="s">
        <v>28</v>
      </c>
      <c r="D31" s="192" t="s">
        <v>44</v>
      </c>
      <c r="E31" s="192" t="s">
        <v>45</v>
      </c>
      <c r="F31" s="192" t="s">
        <v>132</v>
      </c>
      <c r="G31" s="192" t="s">
        <v>46</v>
      </c>
      <c r="H31" s="192" t="s">
        <v>59</v>
      </c>
      <c r="I31" s="192" t="s">
        <v>113</v>
      </c>
      <c r="J31" s="192" t="s">
        <v>114</v>
      </c>
      <c r="K31" s="192" t="s">
        <v>62</v>
      </c>
      <c r="L31" s="192" t="s">
        <v>115</v>
      </c>
      <c r="M31" s="193" t="s">
        <v>64</v>
      </c>
    </row>
    <row r="32" spans="1:17" ht="52">
      <c r="A32" s="373" t="s">
        <v>133</v>
      </c>
      <c r="B32" s="145" t="s">
        <v>140</v>
      </c>
      <c r="C32" s="145" t="str">
        <f>B32</f>
        <v>Technology Deployment- Commercial MWs</v>
      </c>
      <c r="D32" s="145" t="str">
        <f>B32</f>
        <v>Technology Deployment- Commercial MWs</v>
      </c>
      <c r="E32" s="145" t="str">
        <f t="shared" ref="E32" si="6">C32</f>
        <v>Technology Deployment- Commercial MWs</v>
      </c>
      <c r="F32" s="145" t="str">
        <f t="shared" ref="F32" si="7">D32</f>
        <v>Technology Deployment- Commercial MWs</v>
      </c>
      <c r="G32" s="145" t="str">
        <f t="shared" ref="G32" si="8">E32</f>
        <v>Technology Deployment- Commercial MWs</v>
      </c>
      <c r="H32" s="145" t="str">
        <f t="shared" ref="H32" si="9">F32</f>
        <v>Technology Deployment- Commercial MWs</v>
      </c>
      <c r="I32" s="145" t="s">
        <v>141</v>
      </c>
      <c r="J32" s="145" t="str">
        <f t="shared" ref="J32" si="10">H32</f>
        <v>Technology Deployment- Commercial MWs</v>
      </c>
      <c r="K32" s="145" t="str">
        <f>B32</f>
        <v>Technology Deployment- Commercial MWs</v>
      </c>
      <c r="L32" s="145" t="s">
        <v>141</v>
      </c>
      <c r="M32" s="145" t="str">
        <f t="shared" ref="M32" si="11">K32</f>
        <v>Technology Deployment- Commercial MWs</v>
      </c>
    </row>
    <row r="33" spans="1:13">
      <c r="A33" s="195" t="s">
        <v>20</v>
      </c>
      <c r="B33" s="73">
        <f>'Program MW '!D17</f>
        <v>1.9064256763458249</v>
      </c>
      <c r="C33" s="73">
        <f>'Program MW '!G17</f>
        <v>1.9113108158111571</v>
      </c>
      <c r="D33" s="73">
        <f>'Program MW '!J17</f>
        <v>0.74242330313986338</v>
      </c>
      <c r="E33" s="73">
        <f>'Program MW '!M17</f>
        <v>0.74337087595816564</v>
      </c>
      <c r="F33" s="73">
        <f>'Program MW '!P17</f>
        <v>0.74384466236731683</v>
      </c>
      <c r="G33" s="73">
        <f>'Program MW '!S17</f>
        <v>0.74953009927713066</v>
      </c>
      <c r="H33" s="73">
        <f>'Program MW '!D40</f>
        <v>0.75284660414118876</v>
      </c>
      <c r="I33" s="73">
        <f>'Program MW '!G40</f>
        <v>0.75521553618694459</v>
      </c>
      <c r="J33" s="73">
        <f>'Program MW '!J40</f>
        <v>0.76090097309675842</v>
      </c>
      <c r="K33" s="73">
        <f>'Program MW '!M40</f>
        <v>0.76279611873336306</v>
      </c>
      <c r="L33" s="73">
        <f>'Program MW '!P40</f>
        <v>0.76516505077911889</v>
      </c>
      <c r="M33" s="73">
        <f>'Program MW '!S40</f>
        <v>0.76658641000657235</v>
      </c>
    </row>
    <row r="34" spans="1:13">
      <c r="A34" s="195" t="s">
        <v>26</v>
      </c>
      <c r="B34" s="73">
        <f>'Ex post LI &amp; Eligibility Stats'!B$12*1198/1000</f>
        <v>1.4630992698669434</v>
      </c>
      <c r="C34" s="73">
        <f>'Ex post LI &amp; Eligibility Stats'!C$12*1200/1000</f>
        <v>1.4655418395996094</v>
      </c>
      <c r="D34" s="73">
        <f>'Ex post LI &amp; Eligibility Stats'!D$12*1198/1000</f>
        <v>0.56759611816308631</v>
      </c>
      <c r="E34" s="73">
        <f>'Ex post LI &amp; Eligibility Stats'!E$12*1194/1000</f>
        <v>0.56570097252648166</v>
      </c>
      <c r="F34" s="73">
        <f>'Ex post LI &amp; Eligibility Stats'!F$12*1196/1000</f>
        <v>0.56664854534478404</v>
      </c>
      <c r="G34" s="73">
        <f>'Ex post LI &amp; Eligibility Stats'!G$12*1192/1000</f>
        <v>0.56475339970817939</v>
      </c>
      <c r="H34" s="73">
        <f>'Ex post LI &amp; Eligibility Stats'!H$12*1189/1000</f>
        <v>0.56333204048072594</v>
      </c>
      <c r="I34" s="73">
        <f>'Ex post LI &amp; Eligibility Stats'!I$12*1183/1000</f>
        <v>0.56048932202581903</v>
      </c>
      <c r="J34" s="73">
        <f>'Ex post LI &amp; Eligibility Stats'!J$12*1177/1000</f>
        <v>0.557646603570912</v>
      </c>
      <c r="K34" s="73">
        <f>'Ex post LI &amp; Eligibility Stats'!K$12*1171/1000</f>
        <v>0.55480388511600509</v>
      </c>
      <c r="L34" s="73">
        <f>'Ex post LI &amp; Eligibility Stats'!L$12*1164/1000</f>
        <v>0.55148738025194699</v>
      </c>
      <c r="M34" s="73">
        <f>'Ex post LI &amp; Eligibility Stats'!M$12*1165/1000</f>
        <v>0.55196116666109807</v>
      </c>
    </row>
    <row r="35" spans="1:13">
      <c r="A35" s="195" t="s">
        <v>105</v>
      </c>
      <c r="B35" s="73">
        <f>'Ex post LI &amp; Eligibility Stats'!B$12*596/1000</f>
        <v>0.72788578033447271</v>
      </c>
      <c r="C35" s="73">
        <f>'Ex post LI &amp; Eligibility Stats'!C$12*596/1000</f>
        <v>0.72788578033447271</v>
      </c>
      <c r="D35" s="73">
        <f>'Ex post LI &amp; Eligibility Stats'!D$12*596/1000</f>
        <v>0.2823766998540897</v>
      </c>
      <c r="E35" s="73">
        <f>'Ex post LI &amp; Eligibility Stats'!E$12*595/1000</f>
        <v>0.28190291344493851</v>
      </c>
      <c r="F35" s="73">
        <f>'Ex post LI &amp; Eligibility Stats'!F$12*597/1000</f>
        <v>0.28285048626324083</v>
      </c>
      <c r="G35" s="73">
        <f>'Ex post LI &amp; Eligibility Stats'!G$12*590/1000</f>
        <v>0.27953398139918278</v>
      </c>
      <c r="H35" s="73">
        <f>'Ex post LI &amp; Eligibility Stats'!H$12*584/1000</f>
        <v>0.27669126294427582</v>
      </c>
      <c r="I35" s="73">
        <f>'Ex post LI &amp; Eligibility Stats'!I$12*580/1000</f>
        <v>0.27479611730767117</v>
      </c>
      <c r="J35" s="73">
        <f>'Ex post LI &amp; Eligibility Stats'!J$12*576/1000</f>
        <v>0.27290097167106653</v>
      </c>
      <c r="K35" s="73">
        <f>'Ex post LI &amp; Eligibility Stats'!K$12*575/1000</f>
        <v>0.27242718526191539</v>
      </c>
      <c r="L35" s="73">
        <f>'Ex post LI &amp; Eligibility Stats'!L$12*575/1000</f>
        <v>0.27242718526191539</v>
      </c>
      <c r="M35" s="73">
        <f>'Ex post LI &amp; Eligibility Stats'!M$12*571/1000</f>
        <v>0.27053203962531075</v>
      </c>
    </row>
    <row r="36" spans="1:13">
      <c r="A36" s="195" t="s">
        <v>106</v>
      </c>
      <c r="B36" s="73">
        <f>'Ex post LI &amp; Eligibility Stats'!B$12*0</f>
        <v>0</v>
      </c>
      <c r="C36" s="73">
        <f>'Ex post LI &amp; Eligibility Stats'!C$12/1000*0</f>
        <v>0</v>
      </c>
      <c r="D36" s="73">
        <f>'Ex post LI &amp; Eligibility Stats'!D$12/1000*0</f>
        <v>0</v>
      </c>
      <c r="E36" s="73">
        <f>'Ex post LI &amp; Eligibility Stats'!E$12/1000*0</f>
        <v>0</v>
      </c>
      <c r="F36" s="73">
        <f>'Ex post LI &amp; Eligibility Stats'!F$12/1000*0</f>
        <v>0</v>
      </c>
      <c r="G36" s="73">
        <f>'Ex post LI &amp; Eligibility Stats'!G$12/1000*0</f>
        <v>0</v>
      </c>
      <c r="H36" s="73">
        <f>'Ex post LI &amp; Eligibility Stats'!G15*'Program MW '!J20/1000</f>
        <v>0</v>
      </c>
      <c r="I36" s="73">
        <f>'Ex post LI &amp; Eligibility Stats'!H15*'Program MW '!K20/1000</f>
        <v>0</v>
      </c>
      <c r="J36" s="73">
        <v>0</v>
      </c>
      <c r="K36" s="73">
        <v>0</v>
      </c>
      <c r="L36" s="73">
        <v>0</v>
      </c>
      <c r="M36" s="73">
        <v>0</v>
      </c>
    </row>
    <row r="37" spans="1:13">
      <c r="A37" s="195" t="s">
        <v>135</v>
      </c>
      <c r="B37" s="73">
        <f>'Ex post LI &amp; Eligibility Stats'!B16*'Program MW '!B$12*0</f>
        <v>0</v>
      </c>
      <c r="C37" s="73">
        <f>'Ex post LI &amp; Eligibility Stats'!C$12/1000*0</f>
        <v>0</v>
      </c>
      <c r="D37" s="73">
        <f>'Ex post LI &amp; Eligibility Stats'!D$12/1000*0</f>
        <v>0</v>
      </c>
      <c r="E37" s="73">
        <f>'Ex post LI &amp; Eligibility Stats'!E$12/1000*0</f>
        <v>0</v>
      </c>
      <c r="F37" s="73">
        <f>'Ex post LI &amp; Eligibility Stats'!F$12/1000*0</f>
        <v>0</v>
      </c>
      <c r="G37" s="73">
        <f>'Ex post LI &amp; Eligibility Stats'!G$12/1000*0</f>
        <v>0</v>
      </c>
      <c r="H37" s="73">
        <f>'Ex post LI &amp; Eligibility Stats'!G16*'Program MW '!J21/1000</f>
        <v>0</v>
      </c>
      <c r="I37" s="73">
        <f>'Ex post LI &amp; Eligibility Stats'!H16*'Program MW '!K21/1000</f>
        <v>0</v>
      </c>
      <c r="J37" s="73">
        <v>0</v>
      </c>
      <c r="K37" s="73">
        <v>0</v>
      </c>
      <c r="L37" s="73">
        <v>0</v>
      </c>
      <c r="M37" s="73">
        <v>0</v>
      </c>
    </row>
    <row r="38" spans="1:13">
      <c r="A38" s="195" t="s">
        <v>136</v>
      </c>
      <c r="B38" s="73">
        <f>1*'Ex post LI &amp; Eligibility Stats'!B12/1000</f>
        <v>1.2212848663330077E-3</v>
      </c>
      <c r="C38" s="73">
        <f>1*'Ex post LI &amp; Eligibility Stats'!C12/1000</f>
        <v>1.2212848663330077E-3</v>
      </c>
      <c r="D38" s="73">
        <f>0*'Ex post LI &amp; Eligibility Stats'!D$12/1000</f>
        <v>0</v>
      </c>
      <c r="E38" s="73">
        <f>0*'Ex post LI &amp; Eligibility Stats'!E$12/1000</f>
        <v>0</v>
      </c>
      <c r="F38" s="73">
        <f>0*'Ex post LI &amp; Eligibility Stats'!F$12/1000</f>
        <v>0</v>
      </c>
      <c r="G38" s="73">
        <f>0*'Ex post LI &amp; Eligibility Stats'!G$12/1000</f>
        <v>0</v>
      </c>
      <c r="H38" s="73">
        <f>1*'Ex post LI &amp; Eligibility Stats'!H12/1000</f>
        <v>4.737864091511572E-4</v>
      </c>
      <c r="I38" s="73">
        <f>1*'Ex post LI &amp; Eligibility Stats'!I12/1000</f>
        <v>4.737864091511572E-4</v>
      </c>
      <c r="J38" s="73">
        <f>1*'Ex post LI &amp; Eligibility Stats'!J12/1000</f>
        <v>4.737864091511572E-4</v>
      </c>
      <c r="K38" s="73">
        <v>0</v>
      </c>
      <c r="L38" s="73">
        <v>0</v>
      </c>
      <c r="M38" s="73">
        <v>0</v>
      </c>
    </row>
    <row r="39" spans="1:13" s="59" customFormat="1" ht="13">
      <c r="A39" s="194" t="s">
        <v>107</v>
      </c>
      <c r="B39" s="123">
        <f t="shared" ref="B39:L39" si="12">SUM(B33:B38)</f>
        <v>4.0986320114135744</v>
      </c>
      <c r="C39" s="123">
        <f t="shared" si="12"/>
        <v>4.1059597206115725</v>
      </c>
      <c r="D39" s="123">
        <f t="shared" si="12"/>
        <v>1.5923961211570394</v>
      </c>
      <c r="E39" s="123">
        <f t="shared" si="12"/>
        <v>1.5909747619295858</v>
      </c>
      <c r="F39" s="123">
        <f t="shared" si="12"/>
        <v>1.5933436939753418</v>
      </c>
      <c r="G39" s="123">
        <f t="shared" si="12"/>
        <v>1.5938174803844929</v>
      </c>
      <c r="H39" s="123">
        <f t="shared" si="12"/>
        <v>1.5933436939753416</v>
      </c>
      <c r="I39" s="123">
        <f t="shared" si="12"/>
        <v>1.590974761929586</v>
      </c>
      <c r="J39" s="123">
        <f t="shared" si="12"/>
        <v>1.5919223347478879</v>
      </c>
      <c r="K39" s="123">
        <f t="shared" si="12"/>
        <v>1.5900271891112834</v>
      </c>
      <c r="L39" s="123">
        <f t="shared" si="12"/>
        <v>1.5890796162929812</v>
      </c>
      <c r="M39" s="123">
        <f t="shared" ref="M39" si="13">SUM(M33:M38)</f>
        <v>1.5890796162929812</v>
      </c>
    </row>
    <row r="40" spans="1:13">
      <c r="C40" s="61"/>
      <c r="D40" s="61"/>
      <c r="E40" s="61"/>
      <c r="F40" s="61"/>
      <c r="G40" s="61"/>
    </row>
    <row r="41" spans="1:13" ht="14">
      <c r="A41" s="306" t="s">
        <v>67</v>
      </c>
      <c r="G41" s="61"/>
    </row>
    <row r="42" spans="1:13" ht="15.5">
      <c r="A42" s="590" t="s">
        <v>139</v>
      </c>
      <c r="B42" s="230"/>
      <c r="C42" s="230"/>
      <c r="D42" s="396"/>
      <c r="E42" s="396"/>
      <c r="F42" s="396"/>
      <c r="G42" s="230"/>
      <c r="H42" s="230"/>
      <c r="I42" s="230"/>
      <c r="J42" s="230"/>
      <c r="K42" s="230"/>
    </row>
    <row r="43" spans="1:13" ht="15.5">
      <c r="A43" s="688"/>
      <c r="B43" s="230"/>
      <c r="C43" s="230"/>
      <c r="D43" s="396"/>
      <c r="E43" s="396"/>
      <c r="F43" s="396"/>
      <c r="G43" s="230"/>
      <c r="H43" s="230"/>
      <c r="I43" s="230"/>
      <c r="J43" s="230"/>
      <c r="K43" s="230"/>
    </row>
    <row r="44" spans="1:13" ht="14">
      <c r="A44" s="305"/>
      <c r="D44" s="61"/>
      <c r="E44" s="61"/>
      <c r="F44" s="61"/>
    </row>
    <row r="45" spans="1:13" ht="14">
      <c r="A45" s="307" t="s">
        <v>76</v>
      </c>
    </row>
    <row r="47" spans="1:13" ht="14.5">
      <c r="A47" s="174" t="s">
        <v>66</v>
      </c>
    </row>
    <row r="49" spans="1:1">
      <c r="A49" s="241"/>
    </row>
  </sheetData>
  <mergeCells count="2">
    <mergeCell ref="B3:N3"/>
    <mergeCell ref="G4:H4"/>
  </mergeCells>
  <printOptions horizontalCentered="1"/>
  <pageMargins left="0" right="0" top="0.55000000000000004" bottom="0.17" header="0.3" footer="0.15"/>
  <pageSetup paperSize="5" scale="69" orientation="landscape" cellComments="atEnd" r:id="rId1"/>
  <headerFooter alignWithMargins="0">
    <oddHeader xml:space="preserve">&amp;C&amp;"Arial,Bold"
</oddHeader>
    <oddFooter>&amp;Rpage 4 of 12
&amp;A
&amp;D &amp;T</oddFooter>
  </headerFooter>
  <customProperties>
    <customPr name="_pios_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2:N49"/>
  <sheetViews>
    <sheetView workbookViewId="0">
      <selection activeCell="A24" sqref="A24"/>
    </sheetView>
  </sheetViews>
  <sheetFormatPr defaultColWidth="9.1796875" defaultRowHeight="12.5"/>
  <cols>
    <col min="1" max="1" width="60" style="147" customWidth="1"/>
    <col min="2" max="2" width="23.26953125" style="147" bestFit="1" customWidth="1"/>
    <col min="3" max="3" width="11.453125" style="147" customWidth="1"/>
    <col min="4" max="4" width="15.54296875" style="147" customWidth="1"/>
    <col min="5" max="5" width="12" style="147" customWidth="1"/>
    <col min="6" max="6" width="10.7265625" style="147" customWidth="1"/>
    <col min="7" max="7" width="11" style="147" customWidth="1"/>
    <col min="8" max="9" width="11.7265625" style="147" bestFit="1" customWidth="1"/>
    <col min="10" max="10" width="12" style="147" customWidth="1"/>
    <col min="11" max="11" width="10.7265625" style="147" customWidth="1"/>
    <col min="12" max="12" width="11.81640625" style="147" customWidth="1"/>
    <col min="13" max="13" width="11.7265625" style="147" customWidth="1"/>
    <col min="14" max="14" width="16" style="147" customWidth="1"/>
    <col min="15" max="16384" width="9.1796875" style="147"/>
  </cols>
  <sheetData>
    <row r="2" spans="1:14" ht="13">
      <c r="A2" s="146"/>
      <c r="C2" s="228"/>
      <c r="D2" s="228"/>
      <c r="E2" s="228"/>
      <c r="F2" s="228"/>
      <c r="G2" s="188" t="s">
        <v>39</v>
      </c>
      <c r="H2" s="228"/>
      <c r="I2" s="228"/>
      <c r="J2" s="228"/>
      <c r="K2" s="228"/>
      <c r="L2" s="228"/>
      <c r="M2" s="228"/>
    </row>
    <row r="3" spans="1:14" ht="13">
      <c r="A3" s="146"/>
      <c r="C3" s="228"/>
      <c r="D3" s="397"/>
      <c r="E3" s="228"/>
      <c r="F3" s="228"/>
      <c r="G3" s="299" t="s">
        <v>142</v>
      </c>
      <c r="H3" s="228"/>
      <c r="I3" s="228"/>
      <c r="J3" s="228"/>
      <c r="K3" s="228"/>
      <c r="L3" s="228"/>
      <c r="M3" s="228"/>
    </row>
    <row r="4" spans="1:14" ht="13">
      <c r="A4" s="146"/>
      <c r="F4" s="228"/>
      <c r="G4" s="271" t="str">
        <f>'Program MW '!H3</f>
        <v>December 2019</v>
      </c>
      <c r="H4" s="228"/>
      <c r="I4" s="228"/>
    </row>
    <row r="5" spans="1:14" ht="13">
      <c r="A5" s="146"/>
      <c r="B5" s="228"/>
      <c r="C5" s="228"/>
      <c r="D5" s="228"/>
    </row>
    <row r="6" spans="1:14" ht="13" thickBot="1"/>
    <row r="7" spans="1:14" ht="13">
      <c r="A7" s="148"/>
      <c r="B7" s="149"/>
      <c r="C7" s="149"/>
      <c r="D7" s="149"/>
      <c r="E7" s="149"/>
      <c r="F7" s="149"/>
      <c r="G7" s="149"/>
      <c r="H7" s="149"/>
      <c r="I7" s="149"/>
      <c r="J7" s="149"/>
      <c r="K7" s="149"/>
      <c r="L7" s="149"/>
      <c r="M7" s="150"/>
      <c r="N7" s="151"/>
    </row>
    <row r="8" spans="1:14" ht="7.5" customHeight="1">
      <c r="A8" s="152"/>
      <c r="B8" s="153"/>
      <c r="C8" s="153"/>
      <c r="D8" s="153"/>
      <c r="E8" s="153"/>
      <c r="F8" s="153"/>
      <c r="G8" s="153"/>
      <c r="H8" s="153"/>
      <c r="I8" s="153"/>
      <c r="J8" s="153"/>
      <c r="K8" s="153"/>
      <c r="L8" s="153"/>
      <c r="M8" s="154"/>
      <c r="N8" s="155"/>
    </row>
    <row r="9" spans="1:14" ht="57" customHeight="1">
      <c r="A9" s="156" t="s">
        <v>143</v>
      </c>
      <c r="B9" s="158" t="s">
        <v>42</v>
      </c>
      <c r="C9" s="158" t="s">
        <v>43</v>
      </c>
      <c r="D9" s="158" t="s">
        <v>44</v>
      </c>
      <c r="E9" s="158" t="s">
        <v>45</v>
      </c>
      <c r="F9" s="158" t="s">
        <v>31</v>
      </c>
      <c r="G9" s="158" t="s">
        <v>46</v>
      </c>
      <c r="H9" s="158" t="s">
        <v>59</v>
      </c>
      <c r="I9" s="173" t="s">
        <v>60</v>
      </c>
      <c r="J9" s="173" t="s">
        <v>114</v>
      </c>
      <c r="K9" s="158" t="s">
        <v>62</v>
      </c>
      <c r="L9" s="158" t="s">
        <v>115</v>
      </c>
      <c r="M9" s="158" t="s">
        <v>64</v>
      </c>
      <c r="N9" s="157" t="s">
        <v>144</v>
      </c>
    </row>
    <row r="10" spans="1:14" ht="13">
      <c r="A10" s="270"/>
      <c r="B10" s="457"/>
      <c r="C10" s="457"/>
      <c r="D10" s="457"/>
      <c r="E10" s="457"/>
      <c r="F10" s="457"/>
      <c r="G10" s="457"/>
      <c r="H10" s="457"/>
      <c r="I10" s="458"/>
      <c r="J10" s="458"/>
      <c r="K10" s="457"/>
      <c r="L10" s="457"/>
      <c r="M10" s="457"/>
      <c r="N10" s="160"/>
    </row>
    <row r="11" spans="1:14">
      <c r="A11" s="461" t="s">
        <v>145</v>
      </c>
      <c r="B11" s="325">
        <v>0</v>
      </c>
      <c r="C11" s="325">
        <v>0</v>
      </c>
      <c r="D11" s="325">
        <v>0</v>
      </c>
      <c r="E11" s="325"/>
      <c r="F11" s="325">
        <v>0</v>
      </c>
      <c r="G11" s="325">
        <v>0</v>
      </c>
      <c r="H11" s="325">
        <v>0</v>
      </c>
      <c r="I11" s="325">
        <v>0</v>
      </c>
      <c r="J11" s="325">
        <v>0</v>
      </c>
      <c r="K11" s="325">
        <v>0</v>
      </c>
      <c r="L11" s="325">
        <v>0</v>
      </c>
      <c r="M11" s="325">
        <v>0</v>
      </c>
      <c r="N11" s="325">
        <f t="shared" ref="N11:N12" si="0">SUM(B11:M11)</f>
        <v>0</v>
      </c>
    </row>
    <row r="12" spans="1:14" ht="13">
      <c r="A12" s="475" t="s">
        <v>146</v>
      </c>
      <c r="B12" s="377">
        <f>B11</f>
        <v>0</v>
      </c>
      <c r="C12" s="377">
        <f t="shared" ref="C12:M12" si="1">C11</f>
        <v>0</v>
      </c>
      <c r="D12" s="377">
        <f t="shared" si="1"/>
        <v>0</v>
      </c>
      <c r="E12" s="377">
        <f t="shared" si="1"/>
        <v>0</v>
      </c>
      <c r="F12" s="377">
        <f t="shared" si="1"/>
        <v>0</v>
      </c>
      <c r="G12" s="377">
        <f t="shared" si="1"/>
        <v>0</v>
      </c>
      <c r="H12" s="377">
        <f t="shared" si="1"/>
        <v>0</v>
      </c>
      <c r="I12" s="377">
        <f t="shared" si="1"/>
        <v>0</v>
      </c>
      <c r="J12" s="377">
        <f t="shared" si="1"/>
        <v>0</v>
      </c>
      <c r="K12" s="377">
        <f t="shared" si="1"/>
        <v>0</v>
      </c>
      <c r="L12" s="377">
        <f t="shared" si="1"/>
        <v>0</v>
      </c>
      <c r="M12" s="377">
        <f t="shared" si="1"/>
        <v>0</v>
      </c>
      <c r="N12" s="377">
        <f t="shared" si="0"/>
        <v>0</v>
      </c>
    </row>
    <row r="13" spans="1:14" ht="13">
      <c r="A13" s="46"/>
      <c r="B13" s="462"/>
      <c r="C13" s="462"/>
      <c r="D13" s="462"/>
      <c r="E13" s="462"/>
      <c r="F13" s="462"/>
      <c r="G13" s="462"/>
      <c r="H13" s="462"/>
      <c r="I13" s="463"/>
      <c r="J13" s="463"/>
      <c r="K13" s="462"/>
      <c r="L13" s="462"/>
      <c r="M13" s="462"/>
      <c r="N13" s="157"/>
    </row>
    <row r="14" spans="1:14" ht="15" customHeight="1">
      <c r="A14" s="464" t="s">
        <v>147</v>
      </c>
      <c r="B14" s="459">
        <v>0</v>
      </c>
      <c r="C14" s="459">
        <v>0</v>
      </c>
      <c r="D14" s="459">
        <v>0</v>
      </c>
      <c r="E14" s="459">
        <v>0</v>
      </c>
      <c r="F14" s="459">
        <v>0</v>
      </c>
      <c r="G14" s="459">
        <v>0</v>
      </c>
      <c r="H14" s="459">
        <v>0</v>
      </c>
      <c r="I14" s="459">
        <v>0</v>
      </c>
      <c r="J14" s="459">
        <v>0</v>
      </c>
      <c r="K14" s="459">
        <v>0</v>
      </c>
      <c r="L14" s="459">
        <v>0</v>
      </c>
      <c r="M14" s="459">
        <v>0</v>
      </c>
      <c r="N14" s="325">
        <f>SUM(B14:M14)</f>
        <v>0</v>
      </c>
    </row>
    <row r="15" spans="1:14" s="146" customFormat="1" ht="13">
      <c r="A15" s="46" t="s">
        <v>148</v>
      </c>
      <c r="B15" s="376">
        <f>B14</f>
        <v>0</v>
      </c>
      <c r="C15" s="376">
        <f t="shared" ref="C15:M15" si="2">C14</f>
        <v>0</v>
      </c>
      <c r="D15" s="376">
        <f t="shared" si="2"/>
        <v>0</v>
      </c>
      <c r="E15" s="376">
        <f t="shared" si="2"/>
        <v>0</v>
      </c>
      <c r="F15" s="376">
        <f t="shared" si="2"/>
        <v>0</v>
      </c>
      <c r="G15" s="376">
        <f t="shared" si="2"/>
        <v>0</v>
      </c>
      <c r="H15" s="376">
        <f t="shared" si="2"/>
        <v>0</v>
      </c>
      <c r="I15" s="376">
        <f t="shared" si="2"/>
        <v>0</v>
      </c>
      <c r="J15" s="376">
        <f t="shared" si="2"/>
        <v>0</v>
      </c>
      <c r="K15" s="376">
        <f t="shared" si="2"/>
        <v>0</v>
      </c>
      <c r="L15" s="376">
        <f t="shared" si="2"/>
        <v>0</v>
      </c>
      <c r="M15" s="376">
        <f t="shared" si="2"/>
        <v>0</v>
      </c>
      <c r="N15" s="377">
        <f>SUM(B15:M15)</f>
        <v>0</v>
      </c>
    </row>
    <row r="16" spans="1:14">
      <c r="A16" s="393"/>
      <c r="B16" s="326"/>
      <c r="C16" s="316"/>
      <c r="D16" s="316"/>
      <c r="E16" s="316"/>
      <c r="F16" s="315"/>
      <c r="G16" s="316"/>
      <c r="H16" s="315"/>
      <c r="I16" s="315"/>
      <c r="J16" s="315"/>
      <c r="K16" s="315"/>
      <c r="L16" s="315"/>
      <c r="M16" s="315"/>
      <c r="N16" s="325"/>
    </row>
    <row r="17" spans="1:14" ht="14.5">
      <c r="A17" s="464" t="s">
        <v>149</v>
      </c>
      <c r="B17" s="325">
        <v>0</v>
      </c>
      <c r="C17" s="325">
        <v>0</v>
      </c>
      <c r="D17" s="325">
        <v>0</v>
      </c>
      <c r="E17" s="325">
        <v>-8300</v>
      </c>
      <c r="F17" s="325">
        <v>0</v>
      </c>
      <c r="G17" s="325">
        <v>0</v>
      </c>
      <c r="H17" s="325">
        <v>0</v>
      </c>
      <c r="I17" s="325">
        <v>0</v>
      </c>
      <c r="J17" s="325">
        <v>0</v>
      </c>
      <c r="K17" s="325">
        <v>0</v>
      </c>
      <c r="L17" s="325">
        <v>0</v>
      </c>
      <c r="M17" s="325">
        <v>0</v>
      </c>
      <c r="N17" s="325">
        <f>SUM(B17:M17)</f>
        <v>-8300</v>
      </c>
    </row>
    <row r="18" spans="1:14" s="146" customFormat="1" ht="13">
      <c r="A18" s="46" t="s">
        <v>150</v>
      </c>
      <c r="B18" s="377">
        <f>B17</f>
        <v>0</v>
      </c>
      <c r="C18" s="377">
        <f>C17</f>
        <v>0</v>
      </c>
      <c r="D18" s="377">
        <f t="shared" ref="D18:M18" si="3">D17</f>
        <v>0</v>
      </c>
      <c r="E18" s="377">
        <f t="shared" si="3"/>
        <v>-8300</v>
      </c>
      <c r="F18" s="377">
        <f t="shared" si="3"/>
        <v>0</v>
      </c>
      <c r="G18" s="377">
        <f t="shared" si="3"/>
        <v>0</v>
      </c>
      <c r="H18" s="377">
        <f t="shared" si="3"/>
        <v>0</v>
      </c>
      <c r="I18" s="377">
        <f t="shared" si="3"/>
        <v>0</v>
      </c>
      <c r="J18" s="377">
        <f t="shared" si="3"/>
        <v>0</v>
      </c>
      <c r="K18" s="377">
        <f t="shared" si="3"/>
        <v>0</v>
      </c>
      <c r="L18" s="377">
        <f t="shared" si="3"/>
        <v>0</v>
      </c>
      <c r="M18" s="377">
        <f t="shared" si="3"/>
        <v>0</v>
      </c>
      <c r="N18" s="377">
        <f>N17</f>
        <v>-8300</v>
      </c>
    </row>
    <row r="19" spans="1:14" ht="13">
      <c r="A19" s="46"/>
      <c r="B19" s="325"/>
      <c r="C19" s="325"/>
      <c r="D19" s="325"/>
      <c r="E19" s="325"/>
      <c r="F19" s="325"/>
      <c r="G19" s="325"/>
      <c r="H19" s="325"/>
      <c r="I19" s="325"/>
      <c r="J19" s="325"/>
      <c r="K19" s="325"/>
      <c r="L19" s="325"/>
      <c r="M19" s="325"/>
      <c r="N19" s="325"/>
    </row>
    <row r="20" spans="1:14">
      <c r="A20" s="464" t="s">
        <v>151</v>
      </c>
      <c r="B20" s="325">
        <v>0</v>
      </c>
      <c r="C20" s="325">
        <v>0</v>
      </c>
      <c r="D20" s="325">
        <v>0</v>
      </c>
      <c r="E20" s="325">
        <v>0</v>
      </c>
      <c r="F20" s="325">
        <v>0</v>
      </c>
      <c r="G20" s="325">
        <v>0</v>
      </c>
      <c r="H20" s="325">
        <v>0</v>
      </c>
      <c r="I20" s="325">
        <v>0</v>
      </c>
      <c r="J20" s="325">
        <v>0</v>
      </c>
      <c r="K20" s="325">
        <v>0</v>
      </c>
      <c r="L20" s="325">
        <v>0</v>
      </c>
      <c r="M20" s="325">
        <v>0</v>
      </c>
      <c r="N20" s="325">
        <f>SUM(B20:M20)</f>
        <v>0</v>
      </c>
    </row>
    <row r="21" spans="1:14" s="146" customFormat="1" ht="13">
      <c r="A21" s="46" t="s">
        <v>152</v>
      </c>
      <c r="B21" s="377">
        <f t="shared" ref="B21:N21" si="4">B20</f>
        <v>0</v>
      </c>
      <c r="C21" s="377">
        <f t="shared" si="4"/>
        <v>0</v>
      </c>
      <c r="D21" s="377">
        <f t="shared" si="4"/>
        <v>0</v>
      </c>
      <c r="E21" s="377">
        <f t="shared" si="4"/>
        <v>0</v>
      </c>
      <c r="F21" s="377">
        <f t="shared" si="4"/>
        <v>0</v>
      </c>
      <c r="G21" s="377">
        <f t="shared" si="4"/>
        <v>0</v>
      </c>
      <c r="H21" s="377">
        <f t="shared" si="4"/>
        <v>0</v>
      </c>
      <c r="I21" s="377">
        <f t="shared" si="4"/>
        <v>0</v>
      </c>
      <c r="J21" s="377">
        <f t="shared" si="4"/>
        <v>0</v>
      </c>
      <c r="K21" s="377">
        <f t="shared" si="4"/>
        <v>0</v>
      </c>
      <c r="L21" s="377">
        <f t="shared" si="4"/>
        <v>0</v>
      </c>
      <c r="M21" s="377">
        <f t="shared" si="4"/>
        <v>0</v>
      </c>
      <c r="N21" s="377">
        <f t="shared" si="4"/>
        <v>0</v>
      </c>
    </row>
    <row r="22" spans="1:14" s="146" customFormat="1" ht="13">
      <c r="A22" s="46"/>
      <c r="B22" s="377"/>
      <c r="C22" s="377"/>
      <c r="D22" s="377"/>
      <c r="E22" s="377"/>
      <c r="F22" s="377"/>
      <c r="G22" s="377"/>
      <c r="H22" s="377"/>
      <c r="I22" s="377"/>
      <c r="J22" s="377"/>
      <c r="K22" s="377"/>
      <c r="L22" s="377"/>
      <c r="M22" s="377"/>
      <c r="N22" s="377"/>
    </row>
    <row r="23" spans="1:14" s="146" customFormat="1" ht="13">
      <c r="A23" s="460" t="s">
        <v>153</v>
      </c>
      <c r="B23" s="325">
        <v>0</v>
      </c>
      <c r="C23" s="325">
        <v>0</v>
      </c>
      <c r="D23" s="325">
        <v>0</v>
      </c>
      <c r="E23" s="325">
        <v>0</v>
      </c>
      <c r="F23" s="325">
        <v>0</v>
      </c>
      <c r="G23" s="325">
        <v>0</v>
      </c>
      <c r="H23" s="325">
        <v>0</v>
      </c>
      <c r="I23" s="325">
        <v>0</v>
      </c>
      <c r="J23" s="325">
        <v>0</v>
      </c>
      <c r="K23" s="325">
        <v>0</v>
      </c>
      <c r="L23" s="325">
        <v>0</v>
      </c>
      <c r="M23" s="325">
        <v>0</v>
      </c>
      <c r="N23" s="325">
        <f>SUM(B23:M23)</f>
        <v>0</v>
      </c>
    </row>
    <row r="24" spans="1:14" s="146" customFormat="1" ht="13">
      <c r="A24" s="46" t="s">
        <v>154</v>
      </c>
      <c r="B24" s="377">
        <f>B23</f>
        <v>0</v>
      </c>
      <c r="C24" s="377">
        <f t="shared" ref="C24:M24" si="5">C23</f>
        <v>0</v>
      </c>
      <c r="D24" s="377">
        <f t="shared" si="5"/>
        <v>0</v>
      </c>
      <c r="E24" s="377">
        <f t="shared" si="5"/>
        <v>0</v>
      </c>
      <c r="F24" s="377">
        <f t="shared" si="5"/>
        <v>0</v>
      </c>
      <c r="G24" s="377">
        <f t="shared" si="5"/>
        <v>0</v>
      </c>
      <c r="H24" s="377">
        <f t="shared" si="5"/>
        <v>0</v>
      </c>
      <c r="I24" s="377">
        <f t="shared" si="5"/>
        <v>0</v>
      </c>
      <c r="J24" s="377">
        <f t="shared" si="5"/>
        <v>0</v>
      </c>
      <c r="K24" s="377">
        <f t="shared" si="5"/>
        <v>0</v>
      </c>
      <c r="L24" s="377">
        <f t="shared" si="5"/>
        <v>0</v>
      </c>
      <c r="M24" s="377">
        <f t="shared" si="5"/>
        <v>0</v>
      </c>
      <c r="N24" s="377">
        <f>SUM(B24:M24)</f>
        <v>0</v>
      </c>
    </row>
    <row r="25" spans="1:14" ht="13">
      <c r="A25" s="46"/>
      <c r="B25" s="325"/>
      <c r="C25" s="325"/>
      <c r="D25" s="325"/>
      <c r="E25" s="325"/>
      <c r="F25" s="325"/>
      <c r="G25" s="325"/>
      <c r="H25" s="325"/>
      <c r="I25" s="325"/>
      <c r="J25" s="325"/>
      <c r="K25" s="325"/>
      <c r="L25" s="325"/>
      <c r="M25" s="325"/>
      <c r="N25" s="325"/>
    </row>
    <row r="26" spans="1:14" ht="14.5">
      <c r="A26" s="464" t="s">
        <v>155</v>
      </c>
      <c r="B26" s="325">
        <v>-121800</v>
      </c>
      <c r="C26" s="325">
        <v>0</v>
      </c>
      <c r="D26" s="325">
        <v>0</v>
      </c>
      <c r="E26" s="325">
        <v>0</v>
      </c>
      <c r="F26" s="325">
        <v>0</v>
      </c>
      <c r="G26" s="325">
        <v>0</v>
      </c>
      <c r="H26" s="325">
        <v>0</v>
      </c>
      <c r="I26" s="325">
        <v>0</v>
      </c>
      <c r="J26" s="325">
        <v>0</v>
      </c>
      <c r="K26" s="325">
        <v>0</v>
      </c>
      <c r="L26" s="325">
        <v>0</v>
      </c>
      <c r="M26" s="325">
        <v>0</v>
      </c>
      <c r="N26" s="325">
        <f>SUM(B26:M26)</f>
        <v>-121800</v>
      </c>
    </row>
    <row r="27" spans="1:14" s="146" customFormat="1" ht="13">
      <c r="A27" s="46" t="s">
        <v>156</v>
      </c>
      <c r="B27" s="377">
        <f t="shared" ref="B27:N27" si="6">B26</f>
        <v>-121800</v>
      </c>
      <c r="C27" s="377">
        <f t="shared" si="6"/>
        <v>0</v>
      </c>
      <c r="D27" s="377">
        <f t="shared" si="6"/>
        <v>0</v>
      </c>
      <c r="E27" s="377">
        <f t="shared" si="6"/>
        <v>0</v>
      </c>
      <c r="F27" s="377">
        <f t="shared" si="6"/>
        <v>0</v>
      </c>
      <c r="G27" s="377">
        <f t="shared" si="6"/>
        <v>0</v>
      </c>
      <c r="H27" s="377">
        <f t="shared" si="6"/>
        <v>0</v>
      </c>
      <c r="I27" s="377">
        <f t="shared" si="6"/>
        <v>0</v>
      </c>
      <c r="J27" s="377">
        <f t="shared" si="6"/>
        <v>0</v>
      </c>
      <c r="K27" s="377">
        <f t="shared" si="6"/>
        <v>0</v>
      </c>
      <c r="L27" s="377">
        <f t="shared" si="6"/>
        <v>0</v>
      </c>
      <c r="M27" s="377">
        <f t="shared" si="6"/>
        <v>0</v>
      </c>
      <c r="N27" s="377">
        <f t="shared" si="6"/>
        <v>-121800</v>
      </c>
    </row>
    <row r="28" spans="1:14" ht="13">
      <c r="A28" s="46"/>
      <c r="B28" s="316"/>
      <c r="C28" s="316"/>
      <c r="D28" s="316"/>
      <c r="E28" s="316"/>
      <c r="F28" s="316"/>
      <c r="G28" s="316"/>
      <c r="H28" s="316"/>
      <c r="I28" s="316"/>
      <c r="J28" s="316"/>
      <c r="K28" s="316"/>
      <c r="L28" s="316"/>
      <c r="M28" s="316"/>
      <c r="N28" s="325"/>
    </row>
    <row r="29" spans="1:14">
      <c r="A29" s="464" t="s">
        <v>157</v>
      </c>
      <c r="B29" s="325">
        <v>0</v>
      </c>
      <c r="C29" s="325">
        <v>0</v>
      </c>
      <c r="D29" s="325">
        <v>0</v>
      </c>
      <c r="E29" s="325">
        <v>0</v>
      </c>
      <c r="F29" s="325">
        <v>0</v>
      </c>
      <c r="G29" s="325">
        <v>0</v>
      </c>
      <c r="H29" s="325">
        <v>0</v>
      </c>
      <c r="I29" s="325">
        <v>0</v>
      </c>
      <c r="J29" s="325">
        <v>0</v>
      </c>
      <c r="K29" s="325">
        <v>0</v>
      </c>
      <c r="L29" s="325">
        <v>0</v>
      </c>
      <c r="M29" s="325">
        <v>0</v>
      </c>
      <c r="N29" s="375">
        <f>SUM(B29:M29)</f>
        <v>0</v>
      </c>
    </row>
    <row r="30" spans="1:14" s="146" customFormat="1" ht="13">
      <c r="A30" s="46" t="s">
        <v>158</v>
      </c>
      <c r="B30" s="377">
        <f t="shared" ref="B30:M30" si="7">B29</f>
        <v>0</v>
      </c>
      <c r="C30" s="377">
        <f t="shared" si="7"/>
        <v>0</v>
      </c>
      <c r="D30" s="377">
        <f t="shared" si="7"/>
        <v>0</v>
      </c>
      <c r="E30" s="377">
        <f t="shared" si="7"/>
        <v>0</v>
      </c>
      <c r="F30" s="377">
        <f t="shared" si="7"/>
        <v>0</v>
      </c>
      <c r="G30" s="377">
        <f t="shared" si="7"/>
        <v>0</v>
      </c>
      <c r="H30" s="377">
        <f t="shared" si="7"/>
        <v>0</v>
      </c>
      <c r="I30" s="377">
        <f t="shared" si="7"/>
        <v>0</v>
      </c>
      <c r="J30" s="377">
        <f t="shared" si="7"/>
        <v>0</v>
      </c>
      <c r="K30" s="377">
        <f t="shared" si="7"/>
        <v>0</v>
      </c>
      <c r="L30" s="377">
        <f t="shared" si="7"/>
        <v>0</v>
      </c>
      <c r="M30" s="377">
        <f t="shared" si="7"/>
        <v>0</v>
      </c>
      <c r="N30" s="380">
        <f>SUM(B30:M30)</f>
        <v>0</v>
      </c>
    </row>
    <row r="31" spans="1:14">
      <c r="A31" s="393"/>
      <c r="B31" s="327"/>
      <c r="C31" s="327"/>
      <c r="D31" s="327"/>
      <c r="E31" s="327"/>
      <c r="F31" s="327"/>
      <c r="G31" s="327"/>
      <c r="H31" s="327"/>
      <c r="I31" s="327"/>
      <c r="J31" s="327"/>
      <c r="K31" s="327"/>
      <c r="L31" s="327"/>
      <c r="M31" s="327"/>
      <c r="N31" s="438"/>
    </row>
    <row r="32" spans="1:14" s="146" customFormat="1" ht="15" customHeight="1" thickBot="1">
      <c r="A32" s="394" t="s">
        <v>159</v>
      </c>
      <c r="B32" s="378">
        <f>+B27+B21+B18+B30+B15+B12+B24</f>
        <v>-121800</v>
      </c>
      <c r="C32" s="378">
        <f t="shared" ref="C32:M32" si="8">+C27+C21+C18+C30+C15+C12+C24</f>
        <v>0</v>
      </c>
      <c r="D32" s="378">
        <f>+D27+D21+D18+D30+D15+D12+D24</f>
        <v>0</v>
      </c>
      <c r="E32" s="378">
        <f t="shared" si="8"/>
        <v>-8300</v>
      </c>
      <c r="F32" s="378">
        <f t="shared" si="8"/>
        <v>0</v>
      </c>
      <c r="G32" s="378">
        <f t="shared" si="8"/>
        <v>0</v>
      </c>
      <c r="H32" s="378">
        <f t="shared" si="8"/>
        <v>0</v>
      </c>
      <c r="I32" s="378">
        <f t="shared" si="8"/>
        <v>0</v>
      </c>
      <c r="J32" s="378">
        <f t="shared" si="8"/>
        <v>0</v>
      </c>
      <c r="K32" s="378">
        <f t="shared" si="8"/>
        <v>0</v>
      </c>
      <c r="L32" s="378">
        <f t="shared" si="8"/>
        <v>0</v>
      </c>
      <c r="M32" s="378">
        <f t="shared" si="8"/>
        <v>0</v>
      </c>
      <c r="N32" s="379">
        <f>N30+N27+N21+N18+N15+N24+N12</f>
        <v>-130100</v>
      </c>
    </row>
    <row r="33" spans="1:14" ht="10.5" customHeight="1" thickTop="1" thickBot="1">
      <c r="A33" s="234"/>
      <c r="B33" s="231"/>
      <c r="C33" s="163"/>
      <c r="D33" s="163"/>
      <c r="E33" s="163"/>
      <c r="F33" s="163"/>
      <c r="G33" s="163"/>
      <c r="H33" s="163"/>
      <c r="I33" s="163"/>
      <c r="J33" s="163"/>
      <c r="K33" s="163"/>
      <c r="L33" s="163"/>
      <c r="M33" s="163"/>
      <c r="N33" s="269"/>
    </row>
    <row r="35" spans="1:14" ht="13">
      <c r="A35" s="146" t="s">
        <v>67</v>
      </c>
    </row>
    <row r="36" spans="1:14" ht="16.5">
      <c r="A36" s="465" t="s">
        <v>160</v>
      </c>
      <c r="B36" s="228"/>
      <c r="C36" s="228"/>
      <c r="D36" s="228"/>
      <c r="E36" s="228"/>
      <c r="F36" s="228"/>
      <c r="G36" s="228"/>
      <c r="N36" s="159"/>
    </row>
    <row r="37" spans="1:14" ht="14.5">
      <c r="A37" s="644" t="s">
        <v>161</v>
      </c>
      <c r="B37" s="228"/>
      <c r="C37" s="228"/>
      <c r="D37" s="228"/>
      <c r="E37" s="228"/>
      <c r="F37" s="228"/>
      <c r="G37" s="228"/>
      <c r="N37" s="159"/>
    </row>
    <row r="38" spans="1:14">
      <c r="A38" s="644"/>
      <c r="B38" s="228"/>
      <c r="C38" s="228"/>
      <c r="D38" s="228"/>
      <c r="E38" s="228"/>
      <c r="F38" s="228"/>
      <c r="G38" s="228"/>
      <c r="N38" s="159"/>
    </row>
    <row r="39" spans="1:14" s="228" customFormat="1" ht="13">
      <c r="A39" s="541" t="s">
        <v>76</v>
      </c>
      <c r="D39" s="542"/>
      <c r="E39" s="543"/>
      <c r="F39" s="397"/>
    </row>
    <row r="40" spans="1:14" ht="14.5">
      <c r="A40" s="540"/>
      <c r="D40" s="165"/>
      <c r="E40" s="166"/>
      <c r="F40" s="159"/>
    </row>
    <row r="41" spans="1:14">
      <c r="A41" s="147" t="s">
        <v>66</v>
      </c>
      <c r="D41" s="165"/>
      <c r="E41" s="166"/>
      <c r="F41" s="159"/>
    </row>
    <row r="42" spans="1:14">
      <c r="D42" s="165"/>
      <c r="E42" s="166"/>
      <c r="F42" s="159"/>
    </row>
    <row r="43" spans="1:14">
      <c r="E43" s="166"/>
    </row>
    <row r="44" spans="1:14">
      <c r="D44" s="159"/>
      <c r="E44" s="166"/>
      <c r="F44" s="159"/>
    </row>
    <row r="45" spans="1:14">
      <c r="D45" s="159"/>
      <c r="E45" s="166"/>
      <c r="F45" s="159"/>
    </row>
    <row r="46" spans="1:14">
      <c r="D46" s="159"/>
      <c r="E46" s="166"/>
      <c r="F46" s="159"/>
    </row>
    <row r="47" spans="1:14">
      <c r="D47" s="159"/>
      <c r="E47" s="166"/>
      <c r="F47" s="159"/>
    </row>
    <row r="48" spans="1:14">
      <c r="D48" s="159"/>
      <c r="E48" s="166"/>
      <c r="F48" s="159"/>
    </row>
    <row r="49" spans="5:6">
      <c r="E49" s="167"/>
      <c r="F49" s="159"/>
    </row>
  </sheetData>
  <printOptions horizontalCentered="1"/>
  <pageMargins left="0" right="0" top="0.55000000000000004" bottom="0.17" header="0.3" footer="0.15"/>
  <pageSetup paperSize="5" scale="77" orientation="landscape" cellComments="atEnd" r:id="rId1"/>
  <headerFooter alignWithMargins="0">
    <oddHeader xml:space="preserve">&amp;C&amp;"Arial,Bold"
</oddHeader>
    <oddFooter>&amp;Rpage 6 of 12
&amp;A
&amp;D</oddFooter>
  </headerFooter>
  <customProperties>
    <customPr name="_pios_id" r:id="rId2"/>
  </customProperties>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DR55"/>
  <sheetViews>
    <sheetView zoomScaleNormal="100" workbookViewId="0">
      <pane xSplit="1" ySplit="10" topLeftCell="B42" activePane="bottomRight" state="frozen"/>
      <selection pane="topRight" activeCell="B1" sqref="B1"/>
      <selection pane="bottomLeft" activeCell="A11" sqref="A11"/>
      <selection pane="bottomRight" activeCell="A65" sqref="A65"/>
    </sheetView>
  </sheetViews>
  <sheetFormatPr defaultRowHeight="12"/>
  <cols>
    <col min="1" max="1" width="84.26953125" style="341" customWidth="1"/>
    <col min="2" max="3" width="12.7265625" style="341" customWidth="1"/>
    <col min="4" max="4" width="9.453125" style="341" bestFit="1" customWidth="1"/>
    <col min="5" max="10" width="12.7265625" style="341" customWidth="1"/>
    <col min="11" max="11" width="10.81640625" style="341" customWidth="1"/>
    <col min="12" max="13" width="12.7265625" style="341" customWidth="1"/>
    <col min="14" max="14" width="17.1796875" style="341" customWidth="1"/>
    <col min="15" max="15" width="11.81640625" style="341" customWidth="1"/>
    <col min="16" max="16" width="13.26953125" style="341" hidden="1" customWidth="1"/>
    <col min="17" max="17" width="11.7265625" style="341" customWidth="1"/>
    <col min="18" max="256" width="9.1796875" style="341"/>
    <col min="257" max="257" width="70" style="341" customWidth="1"/>
    <col min="258" max="269" width="12.7265625" style="341" customWidth="1"/>
    <col min="270" max="270" width="11" style="341" customWidth="1"/>
    <col min="271" max="271" width="0" style="341" hidden="1" customWidth="1"/>
    <col min="272" max="273" width="11.7265625" style="341" customWidth="1"/>
    <col min="274" max="512" width="9.1796875" style="341"/>
    <col min="513" max="513" width="70" style="341" customWidth="1"/>
    <col min="514" max="525" width="12.7265625" style="341" customWidth="1"/>
    <col min="526" max="526" width="11" style="341" customWidth="1"/>
    <col min="527" max="527" width="0" style="341" hidden="1" customWidth="1"/>
    <col min="528" max="529" width="11.7265625" style="341" customWidth="1"/>
    <col min="530" max="768" width="9.1796875" style="341"/>
    <col min="769" max="769" width="70" style="341" customWidth="1"/>
    <col min="770" max="781" width="12.7265625" style="341" customWidth="1"/>
    <col min="782" max="782" width="11" style="341" customWidth="1"/>
    <col min="783" max="783" width="0" style="341" hidden="1" customWidth="1"/>
    <col min="784" max="785" width="11.7265625" style="341" customWidth="1"/>
    <col min="786" max="1024" width="9.1796875" style="341"/>
    <col min="1025" max="1025" width="70" style="341" customWidth="1"/>
    <col min="1026" max="1037" width="12.7265625" style="341" customWidth="1"/>
    <col min="1038" max="1038" width="11" style="341" customWidth="1"/>
    <col min="1039" max="1039" width="0" style="341" hidden="1" customWidth="1"/>
    <col min="1040" max="1041" width="11.7265625" style="341" customWidth="1"/>
    <col min="1042" max="1280" width="9.1796875" style="341"/>
    <col min="1281" max="1281" width="70" style="341" customWidth="1"/>
    <col min="1282" max="1293" width="12.7265625" style="341" customWidth="1"/>
    <col min="1294" max="1294" width="11" style="341" customWidth="1"/>
    <col min="1295" max="1295" width="0" style="341" hidden="1" customWidth="1"/>
    <col min="1296" max="1297" width="11.7265625" style="341" customWidth="1"/>
    <col min="1298" max="1536" width="9.1796875" style="341"/>
    <col min="1537" max="1537" width="70" style="341" customWidth="1"/>
    <col min="1538" max="1549" width="12.7265625" style="341" customWidth="1"/>
    <col min="1550" max="1550" width="11" style="341" customWidth="1"/>
    <col min="1551" max="1551" width="0" style="341" hidden="1" customWidth="1"/>
    <col min="1552" max="1553" width="11.7265625" style="341" customWidth="1"/>
    <col min="1554" max="1792" width="9.1796875" style="341"/>
    <col min="1793" max="1793" width="70" style="341" customWidth="1"/>
    <col min="1794" max="1805" width="12.7265625" style="341" customWidth="1"/>
    <col min="1806" max="1806" width="11" style="341" customWidth="1"/>
    <col min="1807" max="1807" width="0" style="341" hidden="1" customWidth="1"/>
    <col min="1808" max="1809" width="11.7265625" style="341" customWidth="1"/>
    <col min="1810" max="2048" width="9.1796875" style="341"/>
    <col min="2049" max="2049" width="70" style="341" customWidth="1"/>
    <col min="2050" max="2061" width="12.7265625" style="341" customWidth="1"/>
    <col min="2062" max="2062" width="11" style="341" customWidth="1"/>
    <col min="2063" max="2063" width="0" style="341" hidden="1" customWidth="1"/>
    <col min="2064" max="2065" width="11.7265625" style="341" customWidth="1"/>
    <col min="2066" max="2304" width="9.1796875" style="341"/>
    <col min="2305" max="2305" width="70" style="341" customWidth="1"/>
    <col min="2306" max="2317" width="12.7265625" style="341" customWidth="1"/>
    <col min="2318" max="2318" width="11" style="341" customWidth="1"/>
    <col min="2319" max="2319" width="0" style="341" hidden="1" customWidth="1"/>
    <col min="2320" max="2321" width="11.7265625" style="341" customWidth="1"/>
    <col min="2322" max="2560" width="9.1796875" style="341"/>
    <col min="2561" max="2561" width="70" style="341" customWidth="1"/>
    <col min="2562" max="2573" width="12.7265625" style="341" customWidth="1"/>
    <col min="2574" max="2574" width="11" style="341" customWidth="1"/>
    <col min="2575" max="2575" width="0" style="341" hidden="1" customWidth="1"/>
    <col min="2576" max="2577" width="11.7265625" style="341" customWidth="1"/>
    <col min="2578" max="2816" width="9.1796875" style="341"/>
    <col min="2817" max="2817" width="70" style="341" customWidth="1"/>
    <col min="2818" max="2829" width="12.7265625" style="341" customWidth="1"/>
    <col min="2830" max="2830" width="11" style="341" customWidth="1"/>
    <col min="2831" max="2831" width="0" style="341" hidden="1" customWidth="1"/>
    <col min="2832" max="2833" width="11.7265625" style="341" customWidth="1"/>
    <col min="2834" max="3072" width="9.1796875" style="341"/>
    <col min="3073" max="3073" width="70" style="341" customWidth="1"/>
    <col min="3074" max="3085" width="12.7265625" style="341" customWidth="1"/>
    <col min="3086" max="3086" width="11" style="341" customWidth="1"/>
    <col min="3087" max="3087" width="0" style="341" hidden="1" customWidth="1"/>
    <col min="3088" max="3089" width="11.7265625" style="341" customWidth="1"/>
    <col min="3090" max="3328" width="9.1796875" style="341"/>
    <col min="3329" max="3329" width="70" style="341" customWidth="1"/>
    <col min="3330" max="3341" width="12.7265625" style="341" customWidth="1"/>
    <col min="3342" max="3342" width="11" style="341" customWidth="1"/>
    <col min="3343" max="3343" width="0" style="341" hidden="1" customWidth="1"/>
    <col min="3344" max="3345" width="11.7265625" style="341" customWidth="1"/>
    <col min="3346" max="3584" width="9.1796875" style="341"/>
    <col min="3585" max="3585" width="70" style="341" customWidth="1"/>
    <col min="3586" max="3597" width="12.7265625" style="341" customWidth="1"/>
    <col min="3598" max="3598" width="11" style="341" customWidth="1"/>
    <col min="3599" max="3599" width="0" style="341" hidden="1" customWidth="1"/>
    <col min="3600" max="3601" width="11.7265625" style="341" customWidth="1"/>
    <col min="3602" max="3840" width="9.1796875" style="341"/>
    <col min="3841" max="3841" width="70" style="341" customWidth="1"/>
    <col min="3842" max="3853" width="12.7265625" style="341" customWidth="1"/>
    <col min="3854" max="3854" width="11" style="341" customWidth="1"/>
    <col min="3855" max="3855" width="0" style="341" hidden="1" customWidth="1"/>
    <col min="3856" max="3857" width="11.7265625" style="341" customWidth="1"/>
    <col min="3858" max="4096" width="9.1796875" style="341"/>
    <col min="4097" max="4097" width="70" style="341" customWidth="1"/>
    <col min="4098" max="4109" width="12.7265625" style="341" customWidth="1"/>
    <col min="4110" max="4110" width="11" style="341" customWidth="1"/>
    <col min="4111" max="4111" width="0" style="341" hidden="1" customWidth="1"/>
    <col min="4112" max="4113" width="11.7265625" style="341" customWidth="1"/>
    <col min="4114" max="4352" width="9.1796875" style="341"/>
    <col min="4353" max="4353" width="70" style="341" customWidth="1"/>
    <col min="4354" max="4365" width="12.7265625" style="341" customWidth="1"/>
    <col min="4366" max="4366" width="11" style="341" customWidth="1"/>
    <col min="4367" max="4367" width="0" style="341" hidden="1" customWidth="1"/>
    <col min="4368" max="4369" width="11.7265625" style="341" customWidth="1"/>
    <col min="4370" max="4608" width="9.1796875" style="341"/>
    <col min="4609" max="4609" width="70" style="341" customWidth="1"/>
    <col min="4610" max="4621" width="12.7265625" style="341" customWidth="1"/>
    <col min="4622" max="4622" width="11" style="341" customWidth="1"/>
    <col min="4623" max="4623" width="0" style="341" hidden="1" customWidth="1"/>
    <col min="4624" max="4625" width="11.7265625" style="341" customWidth="1"/>
    <col min="4626" max="4864" width="9.1796875" style="341"/>
    <col min="4865" max="4865" width="70" style="341" customWidth="1"/>
    <col min="4866" max="4877" width="12.7265625" style="341" customWidth="1"/>
    <col min="4878" max="4878" width="11" style="341" customWidth="1"/>
    <col min="4879" max="4879" width="0" style="341" hidden="1" customWidth="1"/>
    <col min="4880" max="4881" width="11.7265625" style="341" customWidth="1"/>
    <col min="4882" max="5120" width="9.1796875" style="341"/>
    <col min="5121" max="5121" width="70" style="341" customWidth="1"/>
    <col min="5122" max="5133" width="12.7265625" style="341" customWidth="1"/>
    <col min="5134" max="5134" width="11" style="341" customWidth="1"/>
    <col min="5135" max="5135" width="0" style="341" hidden="1" customWidth="1"/>
    <col min="5136" max="5137" width="11.7265625" style="341" customWidth="1"/>
    <col min="5138" max="5376" width="9.1796875" style="341"/>
    <col min="5377" max="5377" width="70" style="341" customWidth="1"/>
    <col min="5378" max="5389" width="12.7265625" style="341" customWidth="1"/>
    <col min="5390" max="5390" width="11" style="341" customWidth="1"/>
    <col min="5391" max="5391" width="0" style="341" hidden="1" customWidth="1"/>
    <col min="5392" max="5393" width="11.7265625" style="341" customWidth="1"/>
    <col min="5394" max="5632" width="9.1796875" style="341"/>
    <col min="5633" max="5633" width="70" style="341" customWidth="1"/>
    <col min="5634" max="5645" width="12.7265625" style="341" customWidth="1"/>
    <col min="5646" max="5646" width="11" style="341" customWidth="1"/>
    <col min="5647" max="5647" width="0" style="341" hidden="1" customWidth="1"/>
    <col min="5648" max="5649" width="11.7265625" style="341" customWidth="1"/>
    <col min="5650" max="5888" width="9.1796875" style="341"/>
    <col min="5889" max="5889" width="70" style="341" customWidth="1"/>
    <col min="5890" max="5901" width="12.7265625" style="341" customWidth="1"/>
    <col min="5902" max="5902" width="11" style="341" customWidth="1"/>
    <col min="5903" max="5903" width="0" style="341" hidden="1" customWidth="1"/>
    <col min="5904" max="5905" width="11.7265625" style="341" customWidth="1"/>
    <col min="5906" max="6144" width="9.1796875" style="341"/>
    <col min="6145" max="6145" width="70" style="341" customWidth="1"/>
    <col min="6146" max="6157" width="12.7265625" style="341" customWidth="1"/>
    <col min="6158" max="6158" width="11" style="341" customWidth="1"/>
    <col min="6159" max="6159" width="0" style="341" hidden="1" customWidth="1"/>
    <col min="6160" max="6161" width="11.7265625" style="341" customWidth="1"/>
    <col min="6162" max="6400" width="9.1796875" style="341"/>
    <col min="6401" max="6401" width="70" style="341" customWidth="1"/>
    <col min="6402" max="6413" width="12.7265625" style="341" customWidth="1"/>
    <col min="6414" max="6414" width="11" style="341" customWidth="1"/>
    <col min="6415" max="6415" width="0" style="341" hidden="1" customWidth="1"/>
    <col min="6416" max="6417" width="11.7265625" style="341" customWidth="1"/>
    <col min="6418" max="6656" width="9.1796875" style="341"/>
    <col min="6657" max="6657" width="70" style="341" customWidth="1"/>
    <col min="6658" max="6669" width="12.7265625" style="341" customWidth="1"/>
    <col min="6670" max="6670" width="11" style="341" customWidth="1"/>
    <col min="6671" max="6671" width="0" style="341" hidden="1" customWidth="1"/>
    <col min="6672" max="6673" width="11.7265625" style="341" customWidth="1"/>
    <col min="6674" max="6912" width="9.1796875" style="341"/>
    <col min="6913" max="6913" width="70" style="341" customWidth="1"/>
    <col min="6914" max="6925" width="12.7265625" style="341" customWidth="1"/>
    <col min="6926" max="6926" width="11" style="341" customWidth="1"/>
    <col min="6927" max="6927" width="0" style="341" hidden="1" customWidth="1"/>
    <col min="6928" max="6929" width="11.7265625" style="341" customWidth="1"/>
    <col min="6930" max="7168" width="9.1796875" style="341"/>
    <col min="7169" max="7169" width="70" style="341" customWidth="1"/>
    <col min="7170" max="7181" width="12.7265625" style="341" customWidth="1"/>
    <col min="7182" max="7182" width="11" style="341" customWidth="1"/>
    <col min="7183" max="7183" width="0" style="341" hidden="1" customWidth="1"/>
    <col min="7184" max="7185" width="11.7265625" style="341" customWidth="1"/>
    <col min="7186" max="7424" width="9.1796875" style="341"/>
    <col min="7425" max="7425" width="70" style="341" customWidth="1"/>
    <col min="7426" max="7437" width="12.7265625" style="341" customWidth="1"/>
    <col min="7438" max="7438" width="11" style="341" customWidth="1"/>
    <col min="7439" max="7439" width="0" style="341" hidden="1" customWidth="1"/>
    <col min="7440" max="7441" width="11.7265625" style="341" customWidth="1"/>
    <col min="7442" max="7680" width="9.1796875" style="341"/>
    <col min="7681" max="7681" width="70" style="341" customWidth="1"/>
    <col min="7682" max="7693" width="12.7265625" style="341" customWidth="1"/>
    <col min="7694" max="7694" width="11" style="341" customWidth="1"/>
    <col min="7695" max="7695" width="0" style="341" hidden="1" customWidth="1"/>
    <col min="7696" max="7697" width="11.7265625" style="341" customWidth="1"/>
    <col min="7698" max="7936" width="9.1796875" style="341"/>
    <col min="7937" max="7937" width="70" style="341" customWidth="1"/>
    <col min="7938" max="7949" width="12.7265625" style="341" customWidth="1"/>
    <col min="7950" max="7950" width="11" style="341" customWidth="1"/>
    <col min="7951" max="7951" width="0" style="341" hidden="1" customWidth="1"/>
    <col min="7952" max="7953" width="11.7265625" style="341" customWidth="1"/>
    <col min="7954" max="8192" width="9.1796875" style="341"/>
    <col min="8193" max="8193" width="70" style="341" customWidth="1"/>
    <col min="8194" max="8205" width="12.7265625" style="341" customWidth="1"/>
    <col min="8206" max="8206" width="11" style="341" customWidth="1"/>
    <col min="8207" max="8207" width="0" style="341" hidden="1" customWidth="1"/>
    <col min="8208" max="8209" width="11.7265625" style="341" customWidth="1"/>
    <col min="8210" max="8448" width="9.1796875" style="341"/>
    <col min="8449" max="8449" width="70" style="341" customWidth="1"/>
    <col min="8450" max="8461" width="12.7265625" style="341" customWidth="1"/>
    <col min="8462" max="8462" width="11" style="341" customWidth="1"/>
    <col min="8463" max="8463" width="0" style="341" hidden="1" customWidth="1"/>
    <col min="8464" max="8465" width="11.7265625" style="341" customWidth="1"/>
    <col min="8466" max="8704" width="9.1796875" style="341"/>
    <col min="8705" max="8705" width="70" style="341" customWidth="1"/>
    <col min="8706" max="8717" width="12.7265625" style="341" customWidth="1"/>
    <col min="8718" max="8718" width="11" style="341" customWidth="1"/>
    <col min="8719" max="8719" width="0" style="341" hidden="1" customWidth="1"/>
    <col min="8720" max="8721" width="11.7265625" style="341" customWidth="1"/>
    <col min="8722" max="8960" width="9.1796875" style="341"/>
    <col min="8961" max="8961" width="70" style="341" customWidth="1"/>
    <col min="8962" max="8973" width="12.7265625" style="341" customWidth="1"/>
    <col min="8974" max="8974" width="11" style="341" customWidth="1"/>
    <col min="8975" max="8975" width="0" style="341" hidden="1" customWidth="1"/>
    <col min="8976" max="8977" width="11.7265625" style="341" customWidth="1"/>
    <col min="8978" max="9216" width="9.1796875" style="341"/>
    <col min="9217" max="9217" width="70" style="341" customWidth="1"/>
    <col min="9218" max="9229" width="12.7265625" style="341" customWidth="1"/>
    <col min="9230" max="9230" width="11" style="341" customWidth="1"/>
    <col min="9231" max="9231" width="0" style="341" hidden="1" customWidth="1"/>
    <col min="9232" max="9233" width="11.7265625" style="341" customWidth="1"/>
    <col min="9234" max="9472" width="9.1796875" style="341"/>
    <col min="9473" max="9473" width="70" style="341" customWidth="1"/>
    <col min="9474" max="9485" width="12.7265625" style="341" customWidth="1"/>
    <col min="9486" max="9486" width="11" style="341" customWidth="1"/>
    <col min="9487" max="9487" width="0" style="341" hidden="1" customWidth="1"/>
    <col min="9488" max="9489" width="11.7265625" style="341" customWidth="1"/>
    <col min="9490" max="9728" width="9.1796875" style="341"/>
    <col min="9729" max="9729" width="70" style="341" customWidth="1"/>
    <col min="9730" max="9741" width="12.7265625" style="341" customWidth="1"/>
    <col min="9742" max="9742" width="11" style="341" customWidth="1"/>
    <col min="9743" max="9743" width="0" style="341" hidden="1" customWidth="1"/>
    <col min="9744" max="9745" width="11.7265625" style="341" customWidth="1"/>
    <col min="9746" max="9984" width="9.1796875" style="341"/>
    <col min="9985" max="9985" width="70" style="341" customWidth="1"/>
    <col min="9986" max="9997" width="12.7265625" style="341" customWidth="1"/>
    <col min="9998" max="9998" width="11" style="341" customWidth="1"/>
    <col min="9999" max="9999" width="0" style="341" hidden="1" customWidth="1"/>
    <col min="10000" max="10001" width="11.7265625" style="341" customWidth="1"/>
    <col min="10002" max="10240" width="9.1796875" style="341"/>
    <col min="10241" max="10241" width="70" style="341" customWidth="1"/>
    <col min="10242" max="10253" width="12.7265625" style="341" customWidth="1"/>
    <col min="10254" max="10254" width="11" style="341" customWidth="1"/>
    <col min="10255" max="10255" width="0" style="341" hidden="1" customWidth="1"/>
    <col min="10256" max="10257" width="11.7265625" style="341" customWidth="1"/>
    <col min="10258" max="10496" width="9.1796875" style="341"/>
    <col min="10497" max="10497" width="70" style="341" customWidth="1"/>
    <col min="10498" max="10509" width="12.7265625" style="341" customWidth="1"/>
    <col min="10510" max="10510" width="11" style="341" customWidth="1"/>
    <col min="10511" max="10511" width="0" style="341" hidden="1" customWidth="1"/>
    <col min="10512" max="10513" width="11.7265625" style="341" customWidth="1"/>
    <col min="10514" max="10752" width="9.1796875" style="341"/>
    <col min="10753" max="10753" width="70" style="341" customWidth="1"/>
    <col min="10754" max="10765" width="12.7265625" style="341" customWidth="1"/>
    <col min="10766" max="10766" width="11" style="341" customWidth="1"/>
    <col min="10767" max="10767" width="0" style="341" hidden="1" customWidth="1"/>
    <col min="10768" max="10769" width="11.7265625" style="341" customWidth="1"/>
    <col min="10770" max="11008" width="9.1796875" style="341"/>
    <col min="11009" max="11009" width="70" style="341" customWidth="1"/>
    <col min="11010" max="11021" width="12.7265625" style="341" customWidth="1"/>
    <col min="11022" max="11022" width="11" style="341" customWidth="1"/>
    <col min="11023" max="11023" width="0" style="341" hidden="1" customWidth="1"/>
    <col min="11024" max="11025" width="11.7265625" style="341" customWidth="1"/>
    <col min="11026" max="11264" width="9.1796875" style="341"/>
    <col min="11265" max="11265" width="70" style="341" customWidth="1"/>
    <col min="11266" max="11277" width="12.7265625" style="341" customWidth="1"/>
    <col min="11278" max="11278" width="11" style="341" customWidth="1"/>
    <col min="11279" max="11279" width="0" style="341" hidden="1" customWidth="1"/>
    <col min="11280" max="11281" width="11.7265625" style="341" customWidth="1"/>
    <col min="11282" max="11520" width="9.1796875" style="341"/>
    <col min="11521" max="11521" width="70" style="341" customWidth="1"/>
    <col min="11522" max="11533" width="12.7265625" style="341" customWidth="1"/>
    <col min="11534" max="11534" width="11" style="341" customWidth="1"/>
    <col min="11535" max="11535" width="0" style="341" hidden="1" customWidth="1"/>
    <col min="11536" max="11537" width="11.7265625" style="341" customWidth="1"/>
    <col min="11538" max="11776" width="9.1796875" style="341"/>
    <col min="11777" max="11777" width="70" style="341" customWidth="1"/>
    <col min="11778" max="11789" width="12.7265625" style="341" customWidth="1"/>
    <col min="11790" max="11790" width="11" style="341" customWidth="1"/>
    <col min="11791" max="11791" width="0" style="341" hidden="1" customWidth="1"/>
    <col min="11792" max="11793" width="11.7265625" style="341" customWidth="1"/>
    <col min="11794" max="12032" width="9.1796875" style="341"/>
    <col min="12033" max="12033" width="70" style="341" customWidth="1"/>
    <col min="12034" max="12045" width="12.7265625" style="341" customWidth="1"/>
    <col min="12046" max="12046" width="11" style="341" customWidth="1"/>
    <col min="12047" max="12047" width="0" style="341" hidden="1" customWidth="1"/>
    <col min="12048" max="12049" width="11.7265625" style="341" customWidth="1"/>
    <col min="12050" max="12288" width="9.1796875" style="341"/>
    <col min="12289" max="12289" width="70" style="341" customWidth="1"/>
    <col min="12290" max="12301" width="12.7265625" style="341" customWidth="1"/>
    <col min="12302" max="12302" width="11" style="341" customWidth="1"/>
    <col min="12303" max="12303" width="0" style="341" hidden="1" customWidth="1"/>
    <col min="12304" max="12305" width="11.7265625" style="341" customWidth="1"/>
    <col min="12306" max="12544" width="9.1796875" style="341"/>
    <col min="12545" max="12545" width="70" style="341" customWidth="1"/>
    <col min="12546" max="12557" width="12.7265625" style="341" customWidth="1"/>
    <col min="12558" max="12558" width="11" style="341" customWidth="1"/>
    <col min="12559" max="12559" width="0" style="341" hidden="1" customWidth="1"/>
    <col min="12560" max="12561" width="11.7265625" style="341" customWidth="1"/>
    <col min="12562" max="12800" width="9.1796875" style="341"/>
    <col min="12801" max="12801" width="70" style="341" customWidth="1"/>
    <col min="12802" max="12813" width="12.7265625" style="341" customWidth="1"/>
    <col min="12814" max="12814" width="11" style="341" customWidth="1"/>
    <col min="12815" max="12815" width="0" style="341" hidden="1" customWidth="1"/>
    <col min="12816" max="12817" width="11.7265625" style="341" customWidth="1"/>
    <col min="12818" max="13056" width="9.1796875" style="341"/>
    <col min="13057" max="13057" width="70" style="341" customWidth="1"/>
    <col min="13058" max="13069" width="12.7265625" style="341" customWidth="1"/>
    <col min="13070" max="13070" width="11" style="341" customWidth="1"/>
    <col min="13071" max="13071" width="0" style="341" hidden="1" customWidth="1"/>
    <col min="13072" max="13073" width="11.7265625" style="341" customWidth="1"/>
    <col min="13074" max="13312" width="9.1796875" style="341"/>
    <col min="13313" max="13313" width="70" style="341" customWidth="1"/>
    <col min="13314" max="13325" width="12.7265625" style="341" customWidth="1"/>
    <col min="13326" max="13326" width="11" style="341" customWidth="1"/>
    <col min="13327" max="13327" width="0" style="341" hidden="1" customWidth="1"/>
    <col min="13328" max="13329" width="11.7265625" style="341" customWidth="1"/>
    <col min="13330" max="13568" width="9.1796875" style="341"/>
    <col min="13569" max="13569" width="70" style="341" customWidth="1"/>
    <col min="13570" max="13581" width="12.7265625" style="341" customWidth="1"/>
    <col min="13582" max="13582" width="11" style="341" customWidth="1"/>
    <col min="13583" max="13583" width="0" style="341" hidden="1" customWidth="1"/>
    <col min="13584" max="13585" width="11.7265625" style="341" customWidth="1"/>
    <col min="13586" max="13824" width="9.1796875" style="341"/>
    <col min="13825" max="13825" width="70" style="341" customWidth="1"/>
    <col min="13826" max="13837" width="12.7265625" style="341" customWidth="1"/>
    <col min="13838" max="13838" width="11" style="341" customWidth="1"/>
    <col min="13839" max="13839" width="0" style="341" hidden="1" customWidth="1"/>
    <col min="13840" max="13841" width="11.7265625" style="341" customWidth="1"/>
    <col min="13842" max="14080" width="9.1796875" style="341"/>
    <col min="14081" max="14081" width="70" style="341" customWidth="1"/>
    <col min="14082" max="14093" width="12.7265625" style="341" customWidth="1"/>
    <col min="14094" max="14094" width="11" style="341" customWidth="1"/>
    <col min="14095" max="14095" width="0" style="341" hidden="1" customWidth="1"/>
    <col min="14096" max="14097" width="11.7265625" style="341" customWidth="1"/>
    <col min="14098" max="14336" width="9.1796875" style="341"/>
    <col min="14337" max="14337" width="70" style="341" customWidth="1"/>
    <col min="14338" max="14349" width="12.7265625" style="341" customWidth="1"/>
    <col min="14350" max="14350" width="11" style="341" customWidth="1"/>
    <col min="14351" max="14351" width="0" style="341" hidden="1" customWidth="1"/>
    <col min="14352" max="14353" width="11.7265625" style="341" customWidth="1"/>
    <col min="14354" max="14592" width="9.1796875" style="341"/>
    <col min="14593" max="14593" width="70" style="341" customWidth="1"/>
    <col min="14594" max="14605" width="12.7265625" style="341" customWidth="1"/>
    <col min="14606" max="14606" width="11" style="341" customWidth="1"/>
    <col min="14607" max="14607" width="0" style="341" hidden="1" customWidth="1"/>
    <col min="14608" max="14609" width="11.7265625" style="341" customWidth="1"/>
    <col min="14610" max="14848" width="9.1796875" style="341"/>
    <col min="14849" max="14849" width="70" style="341" customWidth="1"/>
    <col min="14850" max="14861" width="12.7265625" style="341" customWidth="1"/>
    <col min="14862" max="14862" width="11" style="341" customWidth="1"/>
    <col min="14863" max="14863" width="0" style="341" hidden="1" customWidth="1"/>
    <col min="14864" max="14865" width="11.7265625" style="341" customWidth="1"/>
    <col min="14866" max="15104" width="9.1796875" style="341"/>
    <col min="15105" max="15105" width="70" style="341" customWidth="1"/>
    <col min="15106" max="15117" width="12.7265625" style="341" customWidth="1"/>
    <col min="15118" max="15118" width="11" style="341" customWidth="1"/>
    <col min="15119" max="15119" width="0" style="341" hidden="1" customWidth="1"/>
    <col min="15120" max="15121" width="11.7265625" style="341" customWidth="1"/>
    <col min="15122" max="15360" width="9.1796875" style="341"/>
    <col min="15361" max="15361" width="70" style="341" customWidth="1"/>
    <col min="15362" max="15373" width="12.7265625" style="341" customWidth="1"/>
    <col min="15374" max="15374" width="11" style="341" customWidth="1"/>
    <col min="15375" max="15375" width="0" style="341" hidden="1" customWidth="1"/>
    <col min="15376" max="15377" width="11.7265625" style="341" customWidth="1"/>
    <col min="15378" max="15616" width="9.1796875" style="341"/>
    <col min="15617" max="15617" width="70" style="341" customWidth="1"/>
    <col min="15618" max="15629" width="12.7265625" style="341" customWidth="1"/>
    <col min="15630" max="15630" width="11" style="341" customWidth="1"/>
    <col min="15631" max="15631" width="0" style="341" hidden="1" customWidth="1"/>
    <col min="15632" max="15633" width="11.7265625" style="341" customWidth="1"/>
    <col min="15634" max="15872" width="9.1796875" style="341"/>
    <col min="15873" max="15873" width="70" style="341" customWidth="1"/>
    <col min="15874" max="15885" width="12.7265625" style="341" customWidth="1"/>
    <col min="15886" max="15886" width="11" style="341" customWidth="1"/>
    <col min="15887" max="15887" width="0" style="341" hidden="1" customWidth="1"/>
    <col min="15888" max="15889" width="11.7265625" style="341" customWidth="1"/>
    <col min="15890" max="16128" width="9.1796875" style="341"/>
    <col min="16129" max="16129" width="70" style="341" customWidth="1"/>
    <col min="16130" max="16141" width="12.7265625" style="341" customWidth="1"/>
    <col min="16142" max="16142" width="11" style="341" customWidth="1"/>
    <col min="16143" max="16143" width="0" style="341" hidden="1" customWidth="1"/>
    <col min="16144" max="16145" width="11.7265625" style="341" customWidth="1"/>
    <col min="16146" max="16384" width="9.1796875" style="341"/>
  </cols>
  <sheetData>
    <row r="1" spans="1:17" ht="13.5" customHeight="1">
      <c r="L1" s="342"/>
      <c r="O1" s="342"/>
      <c r="P1" s="342"/>
      <c r="Q1" s="342"/>
    </row>
    <row r="2" spans="1:17" ht="13.5" customHeight="1">
      <c r="C2" s="604" t="s">
        <v>39</v>
      </c>
      <c r="L2" s="342"/>
      <c r="O2" s="342"/>
      <c r="P2" s="342"/>
      <c r="Q2" s="342"/>
    </row>
    <row r="3" spans="1:17" ht="13.5" customHeight="1">
      <c r="C3" s="604" t="s">
        <v>162</v>
      </c>
      <c r="F3" s="343"/>
      <c r="G3" s="343"/>
      <c r="H3" s="343"/>
      <c r="I3" s="343"/>
      <c r="L3" s="342"/>
      <c r="O3" s="342"/>
      <c r="P3" s="342"/>
      <c r="Q3" s="342"/>
    </row>
    <row r="4" spans="1:17" ht="13.5" customHeight="1">
      <c r="B4" s="343"/>
      <c r="C4" s="605" t="str">
        <f>'Program MW '!H3</f>
        <v>December 2019</v>
      </c>
      <c r="D4" s="343"/>
      <c r="L4" s="342"/>
      <c r="O4" s="342"/>
      <c r="P4" s="342"/>
      <c r="Q4" s="342"/>
    </row>
    <row r="5" spans="1:17" ht="13.5" customHeight="1">
      <c r="L5" s="342"/>
      <c r="O5" s="342"/>
      <c r="P5" s="342"/>
      <c r="Q5" s="342"/>
    </row>
    <row r="6" spans="1:17" s="382" customFormat="1" ht="13.5" customHeight="1"/>
    <row r="7" spans="1:17" s="382" customFormat="1" ht="18" customHeight="1">
      <c r="A7" s="436"/>
      <c r="B7" s="606" t="s">
        <v>163</v>
      </c>
      <c r="C7" s="436"/>
      <c r="D7" s="436"/>
      <c r="E7" s="436"/>
      <c r="F7" s="436"/>
      <c r="G7" s="436"/>
      <c r="H7" s="436"/>
      <c r="I7" s="436"/>
      <c r="J7" s="436"/>
      <c r="K7" s="436"/>
      <c r="L7" s="436"/>
      <c r="M7" s="437"/>
      <c r="N7" s="769" t="s">
        <v>164</v>
      </c>
      <c r="O7" s="767" t="s">
        <v>165</v>
      </c>
      <c r="P7" s="383"/>
      <c r="Q7" s="769" t="s">
        <v>166</v>
      </c>
    </row>
    <row r="8" spans="1:17" s="382" customFormat="1" ht="39" customHeight="1">
      <c r="A8" s="575"/>
      <c r="B8" s="608" t="s">
        <v>42</v>
      </c>
      <c r="C8" s="609" t="s">
        <v>43</v>
      </c>
      <c r="D8" s="609" t="s">
        <v>44</v>
      </c>
      <c r="E8" s="609" t="s">
        <v>45</v>
      </c>
      <c r="F8" s="609" t="s">
        <v>31</v>
      </c>
      <c r="G8" s="609" t="s">
        <v>46</v>
      </c>
      <c r="H8" s="609" t="s">
        <v>59</v>
      </c>
      <c r="I8" s="609" t="s">
        <v>113</v>
      </c>
      <c r="J8" s="609" t="s">
        <v>114</v>
      </c>
      <c r="K8" s="713" t="s">
        <v>167</v>
      </c>
      <c r="L8" s="609" t="s">
        <v>115</v>
      </c>
      <c r="M8" s="610" t="s">
        <v>64</v>
      </c>
      <c r="N8" s="770"/>
      <c r="O8" s="768"/>
      <c r="P8" s="384" t="s">
        <v>168</v>
      </c>
      <c r="Q8" s="770"/>
    </row>
    <row r="9" spans="1:17" s="382" customFormat="1" ht="15.5">
      <c r="A9" s="634" t="s">
        <v>169</v>
      </c>
      <c r="B9" s="572"/>
      <c r="N9" s="466"/>
      <c r="O9" s="385"/>
      <c r="P9" s="385"/>
      <c r="Q9" s="399"/>
    </row>
    <row r="10" spans="1:17" s="382" customFormat="1" ht="13">
      <c r="A10" s="630" t="s">
        <v>170</v>
      </c>
      <c r="B10" s="572"/>
      <c r="C10" s="572"/>
      <c r="D10" s="572"/>
      <c r="E10" s="572"/>
      <c r="F10" s="572"/>
      <c r="G10" s="572"/>
      <c r="H10" s="572"/>
      <c r="I10" s="572"/>
      <c r="J10" s="572"/>
      <c r="K10" s="572"/>
      <c r="L10" s="572"/>
      <c r="M10" s="572"/>
      <c r="N10" s="467"/>
      <c r="O10" s="571"/>
      <c r="P10" s="386"/>
      <c r="Q10" s="400"/>
    </row>
    <row r="11" spans="1:17" s="382" customFormat="1" ht="13">
      <c r="A11" s="631" t="s">
        <v>171</v>
      </c>
      <c r="B11" s="611">
        <v>42611</v>
      </c>
      <c r="C11" s="607">
        <v>49062</v>
      </c>
      <c r="D11" s="607">
        <v>60541.3</v>
      </c>
      <c r="E11" s="607">
        <v>48725.86</v>
      </c>
      <c r="F11" s="607">
        <v>25727.32</v>
      </c>
      <c r="G11" s="607">
        <v>32493.73</v>
      </c>
      <c r="H11" s="607">
        <v>20048</v>
      </c>
      <c r="I11" s="607">
        <v>46782.59</v>
      </c>
      <c r="J11" s="607">
        <v>28315.51</v>
      </c>
      <c r="K11" s="607">
        <v>30437.29</v>
      </c>
      <c r="L11" s="607">
        <v>29466.83</v>
      </c>
      <c r="M11" s="613">
        <v>28856.16</v>
      </c>
      <c r="N11" s="624">
        <v>695389.41999999993</v>
      </c>
      <c r="O11" s="707">
        <f t="shared" ref="O11:O23" si="0">SUM(B11:M11)+N11</f>
        <v>1138457.0099999998</v>
      </c>
      <c r="P11" s="708"/>
      <c r="Q11" s="629">
        <f>857842+424005+425005</f>
        <v>1706852</v>
      </c>
    </row>
    <row r="12" spans="1:17" s="382" customFormat="1" ht="13">
      <c r="A12" s="631" t="s">
        <v>172</v>
      </c>
      <c r="B12" s="612">
        <v>630.88</v>
      </c>
      <c r="C12" s="614">
        <v>0</v>
      </c>
      <c r="D12" s="614">
        <v>1.63</v>
      </c>
      <c r="E12" s="614">
        <v>240.14</v>
      </c>
      <c r="F12" s="614">
        <v>68.02</v>
      </c>
      <c r="G12" s="614">
        <v>1407.06</v>
      </c>
      <c r="H12" s="614">
        <v>394.12000000000018</v>
      </c>
      <c r="I12" s="614">
        <v>1076.3999999999999</v>
      </c>
      <c r="J12" s="614">
        <v>4010.95</v>
      </c>
      <c r="K12" s="614">
        <v>-852.33</v>
      </c>
      <c r="L12" s="614">
        <v>1052.94</v>
      </c>
      <c r="M12" s="615">
        <v>1451.9299999999998</v>
      </c>
      <c r="N12" s="627">
        <v>7805.91</v>
      </c>
      <c r="O12" s="625">
        <f t="shared" si="0"/>
        <v>17287.650000000001</v>
      </c>
      <c r="P12" s="628"/>
      <c r="Q12" s="629">
        <v>35302</v>
      </c>
    </row>
    <row r="13" spans="1:17" s="382" customFormat="1" ht="15">
      <c r="A13" s="631" t="s">
        <v>173</v>
      </c>
      <c r="B13" s="612">
        <v>0</v>
      </c>
      <c r="C13" s="614">
        <v>0</v>
      </c>
      <c r="D13" s="614">
        <v>0</v>
      </c>
      <c r="E13" s="614">
        <v>560</v>
      </c>
      <c r="F13" s="614">
        <v>-560</v>
      </c>
      <c r="G13" s="614">
        <v>0</v>
      </c>
      <c r="H13" s="614">
        <v>0</v>
      </c>
      <c r="I13" s="614">
        <v>0</v>
      </c>
      <c r="J13" s="614">
        <v>0</v>
      </c>
      <c r="K13" s="614">
        <v>0</v>
      </c>
      <c r="L13" s="614">
        <v>0</v>
      </c>
      <c r="M13" s="615">
        <v>0</v>
      </c>
      <c r="N13" s="625">
        <v>0</v>
      </c>
      <c r="O13" s="625">
        <f t="shared" si="0"/>
        <v>0</v>
      </c>
      <c r="P13" s="623"/>
      <c r="Q13" s="615">
        <v>1000</v>
      </c>
    </row>
    <row r="14" spans="1:17" s="382" customFormat="1" ht="13">
      <c r="A14" s="631" t="s">
        <v>174</v>
      </c>
      <c r="B14" s="612">
        <v>1254.17</v>
      </c>
      <c r="C14" s="614">
        <v>0</v>
      </c>
      <c r="D14" s="614">
        <v>3.26</v>
      </c>
      <c r="E14" s="614">
        <v>477.39</v>
      </c>
      <c r="F14" s="614">
        <v>135.51</v>
      </c>
      <c r="G14" s="614">
        <v>2797.1399999999994</v>
      </c>
      <c r="H14" s="614">
        <v>734.68000000000029</v>
      </c>
      <c r="I14" s="614">
        <v>3.75</v>
      </c>
      <c r="J14" s="614">
        <v>7973.61</v>
      </c>
      <c r="K14" s="614">
        <v>-1694.38</v>
      </c>
      <c r="L14" s="614">
        <v>2093.1899999999996</v>
      </c>
      <c r="M14" s="615">
        <v>2886.39</v>
      </c>
      <c r="N14" s="625">
        <v>4889.6399999999994</v>
      </c>
      <c r="O14" s="625">
        <f t="shared" si="0"/>
        <v>21554.349999999995</v>
      </c>
      <c r="P14" s="623"/>
      <c r="Q14" s="615">
        <v>78149</v>
      </c>
    </row>
    <row r="15" spans="1:17" s="382" customFormat="1" ht="13">
      <c r="A15" s="631" t="s">
        <v>175</v>
      </c>
      <c r="B15" s="612">
        <v>3373.82</v>
      </c>
      <c r="C15" s="614">
        <v>0</v>
      </c>
      <c r="D15" s="614">
        <v>6.52</v>
      </c>
      <c r="E15" s="614">
        <v>1183.3399999999999</v>
      </c>
      <c r="F15" s="614">
        <v>314.45999999999998</v>
      </c>
      <c r="G15" s="614">
        <v>6933.54</v>
      </c>
      <c r="H15" s="614">
        <v>2258.17</v>
      </c>
      <c r="I15" s="614">
        <v>1779.61</v>
      </c>
      <c r="J15" s="614">
        <v>19759.47</v>
      </c>
      <c r="K15" s="614">
        <v>-4200.0300000000007</v>
      </c>
      <c r="L15" s="614">
        <v>5188.57</v>
      </c>
      <c r="M15" s="615">
        <v>7154.75</v>
      </c>
      <c r="N15" s="627">
        <v>49396.569999999992</v>
      </c>
      <c r="O15" s="625">
        <f t="shared" si="0"/>
        <v>93148.79</v>
      </c>
      <c r="P15" s="628"/>
      <c r="Q15" s="629">
        <f>606299/2</f>
        <v>303149.5</v>
      </c>
    </row>
    <row r="16" spans="1:17" s="382" customFormat="1" ht="13">
      <c r="A16" s="631" t="s">
        <v>176</v>
      </c>
      <c r="B16" s="612">
        <v>7258.97</v>
      </c>
      <c r="C16" s="614">
        <v>8382.0300000000007</v>
      </c>
      <c r="D16" s="614">
        <v>16.309999999999999</v>
      </c>
      <c r="E16" s="614">
        <v>12221.68</v>
      </c>
      <c r="F16" s="614">
        <v>749.03</v>
      </c>
      <c r="G16" s="614">
        <v>16565.89</v>
      </c>
      <c r="H16" s="614">
        <v>4346.7499999999982</v>
      </c>
      <c r="I16" s="614">
        <v>4156.58</v>
      </c>
      <c r="J16" s="614">
        <v>46141.390000000014</v>
      </c>
      <c r="K16" s="614">
        <v>-9806.9</v>
      </c>
      <c r="L16" s="614">
        <v>12115.149999999994</v>
      </c>
      <c r="M16" s="615">
        <v>16706.05</v>
      </c>
      <c r="N16" s="625">
        <v>30843.66</v>
      </c>
      <c r="O16" s="625">
        <f t="shared" si="0"/>
        <v>149696.59</v>
      </c>
      <c r="P16" s="623"/>
      <c r="Q16" s="615">
        <v>303150</v>
      </c>
    </row>
    <row r="17" spans="1:122" s="382" customFormat="1" ht="15">
      <c r="A17" s="631" t="s">
        <v>177</v>
      </c>
      <c r="B17" s="612">
        <v>34234</v>
      </c>
      <c r="C17" s="614">
        <v>527</v>
      </c>
      <c r="D17" s="614">
        <v>22944.47</v>
      </c>
      <c r="E17" s="614">
        <v>-18736.37</v>
      </c>
      <c r="F17" s="614">
        <v>-21404.05</v>
      </c>
      <c r="G17" s="614">
        <v>24946.959999999999</v>
      </c>
      <c r="H17" s="614">
        <v>6581.54</v>
      </c>
      <c r="I17" s="614">
        <v>6374.9999999999991</v>
      </c>
      <c r="J17" s="614">
        <v>70972.73</v>
      </c>
      <c r="K17" s="614">
        <v>-14848.990000000002</v>
      </c>
      <c r="L17" s="614">
        <v>18343.97</v>
      </c>
      <c r="M17" s="615">
        <v>25295.239999999994</v>
      </c>
      <c r="N17" s="625">
        <v>73279.320000000007</v>
      </c>
      <c r="O17" s="625">
        <f t="shared" si="0"/>
        <v>228510.82</v>
      </c>
      <c r="P17" s="623"/>
      <c r="Q17" s="615">
        <v>643043</v>
      </c>
    </row>
    <row r="18" spans="1:122" s="382" customFormat="1" ht="13">
      <c r="A18" s="632" t="s">
        <v>178</v>
      </c>
      <c r="B18" s="612">
        <v>5655.16</v>
      </c>
      <c r="C18" s="614">
        <v>0</v>
      </c>
      <c r="D18" s="614">
        <v>11.42</v>
      </c>
      <c r="E18" s="614">
        <v>2152.58</v>
      </c>
      <c r="F18" s="614">
        <v>1382.35</v>
      </c>
      <c r="G18" s="614">
        <v>12612.590000000002</v>
      </c>
      <c r="H18" s="614">
        <v>3386.3399999999992</v>
      </c>
      <c r="I18" s="614">
        <v>3236.72</v>
      </c>
      <c r="J18" s="614">
        <v>39602.280000000006</v>
      </c>
      <c r="K18" s="614">
        <v>-4015.16</v>
      </c>
      <c r="L18" s="614">
        <v>12163.710000000001</v>
      </c>
      <c r="M18" s="615">
        <v>15859.98</v>
      </c>
      <c r="N18" s="625">
        <v>21089.97</v>
      </c>
      <c r="O18" s="625">
        <f t="shared" si="0"/>
        <v>113137.94</v>
      </c>
      <c r="P18" s="623"/>
      <c r="Q18" s="615">
        <v>383701</v>
      </c>
    </row>
    <row r="19" spans="1:122" s="382" customFormat="1" ht="15">
      <c r="A19" s="632" t="s">
        <v>179</v>
      </c>
      <c r="B19" s="612">
        <v>19845.090000000004</v>
      </c>
      <c r="C19" s="614">
        <v>-31.059999999999988</v>
      </c>
      <c r="D19" s="614">
        <v>42.41</v>
      </c>
      <c r="E19" s="614">
        <v>7172.36</v>
      </c>
      <c r="F19" s="614">
        <v>3025.26</v>
      </c>
      <c r="G19" s="614">
        <v>42362.04</v>
      </c>
      <c r="H19" s="614">
        <v>11487.59</v>
      </c>
      <c r="I19" s="614">
        <v>14193.27</v>
      </c>
      <c r="J19" s="614">
        <v>119092.28000000001</v>
      </c>
      <c r="K19" s="614">
        <v>-25456.879999999997</v>
      </c>
      <c r="L19" s="614">
        <v>76742.320000000007</v>
      </c>
      <c r="M19" s="615">
        <v>63972.369999999995</v>
      </c>
      <c r="N19" s="625">
        <v>107380.29999999978</v>
      </c>
      <c r="O19" s="625">
        <f t="shared" si="0"/>
        <v>439827.34999999986</v>
      </c>
      <c r="P19" s="623"/>
      <c r="Q19" s="615">
        <v>1102357</v>
      </c>
    </row>
    <row r="20" spans="1:122" s="382" customFormat="1" ht="15">
      <c r="A20" s="632" t="s">
        <v>180</v>
      </c>
      <c r="B20" s="612">
        <v>51094.54</v>
      </c>
      <c r="C20" s="614">
        <v>0</v>
      </c>
      <c r="D20" s="614">
        <v>22977.08</v>
      </c>
      <c r="E20" s="614">
        <v>-12160.02</v>
      </c>
      <c r="F20" s="614">
        <v>-20091.32</v>
      </c>
      <c r="G20" s="614">
        <v>71423.86</v>
      </c>
      <c r="H20" s="614">
        <v>35456.759999999995</v>
      </c>
      <c r="I20" s="614">
        <v>18906.22</v>
      </c>
      <c r="J20" s="614">
        <v>181518.92000000004</v>
      </c>
      <c r="K20" s="614">
        <v>-37160.5</v>
      </c>
      <c r="L20" s="614">
        <v>67459.22</v>
      </c>
      <c r="M20" s="615">
        <v>74831.72</v>
      </c>
      <c r="N20" s="625">
        <v>210841.10000000003</v>
      </c>
      <c r="O20" s="625">
        <f t="shared" si="0"/>
        <v>665097.58000000007</v>
      </c>
      <c r="P20" s="623"/>
      <c r="Q20" s="615">
        <v>1653537</v>
      </c>
    </row>
    <row r="21" spans="1:122" s="382" customFormat="1" ht="13">
      <c r="A21" s="632" t="s">
        <v>181</v>
      </c>
      <c r="B21" s="612">
        <v>0</v>
      </c>
      <c r="C21" s="614">
        <v>0</v>
      </c>
      <c r="D21" s="614">
        <v>0</v>
      </c>
      <c r="E21" s="614">
        <v>0</v>
      </c>
      <c r="F21" s="614">
        <v>0</v>
      </c>
      <c r="G21" s="614">
        <v>0</v>
      </c>
      <c r="H21" s="614">
        <v>0</v>
      </c>
      <c r="I21" s="614">
        <v>0</v>
      </c>
      <c r="J21" s="614">
        <v>0</v>
      </c>
      <c r="K21" s="614">
        <v>0</v>
      </c>
      <c r="L21" s="614">
        <v>0</v>
      </c>
      <c r="M21" s="615">
        <v>0</v>
      </c>
      <c r="N21" s="625">
        <v>2328.7200000000003</v>
      </c>
      <c r="O21" s="625">
        <f t="shared" si="0"/>
        <v>2328.7200000000003</v>
      </c>
      <c r="P21" s="623"/>
      <c r="Q21" s="615">
        <v>0</v>
      </c>
    </row>
    <row r="22" spans="1:122" s="382" customFormat="1" ht="13">
      <c r="A22" s="633" t="s">
        <v>182</v>
      </c>
      <c r="B22" s="612">
        <v>0</v>
      </c>
      <c r="C22" s="614">
        <v>0</v>
      </c>
      <c r="D22" s="614">
        <v>0</v>
      </c>
      <c r="E22" s="614">
        <v>0</v>
      </c>
      <c r="F22" s="614">
        <v>0</v>
      </c>
      <c r="G22" s="614">
        <v>0</v>
      </c>
      <c r="H22" s="614">
        <v>0</v>
      </c>
      <c r="I22" s="614">
        <v>0</v>
      </c>
      <c r="J22" s="614">
        <v>0</v>
      </c>
      <c r="K22" s="614">
        <v>0</v>
      </c>
      <c r="L22" s="614">
        <v>0</v>
      </c>
      <c r="M22" s="615">
        <v>0</v>
      </c>
      <c r="N22" s="625">
        <v>530.37000000000012</v>
      </c>
      <c r="O22" s="625">
        <f t="shared" si="0"/>
        <v>530.37000000000012</v>
      </c>
      <c r="P22" s="623"/>
      <c r="Q22" s="615">
        <v>50000</v>
      </c>
    </row>
    <row r="23" spans="1:122" s="382" customFormat="1" ht="13">
      <c r="A23" s="632" t="s">
        <v>183</v>
      </c>
      <c r="B23" s="612">
        <v>0</v>
      </c>
      <c r="C23" s="614">
        <v>0</v>
      </c>
      <c r="D23" s="614">
        <v>0</v>
      </c>
      <c r="E23" s="614">
        <v>0</v>
      </c>
      <c r="F23" s="614">
        <v>0</v>
      </c>
      <c r="G23" s="614">
        <v>0</v>
      </c>
      <c r="H23" s="614">
        <v>0</v>
      </c>
      <c r="I23" s="614">
        <v>0</v>
      </c>
      <c r="J23" s="614">
        <v>0</v>
      </c>
      <c r="K23" s="614">
        <v>0</v>
      </c>
      <c r="L23" s="614">
        <v>0</v>
      </c>
      <c r="M23" s="615">
        <v>0</v>
      </c>
      <c r="N23" s="625">
        <v>0</v>
      </c>
      <c r="O23" s="625">
        <f t="shared" si="0"/>
        <v>0</v>
      </c>
      <c r="P23" s="623"/>
      <c r="Q23" s="615">
        <v>0</v>
      </c>
    </row>
    <row r="24" spans="1:122" s="382" customFormat="1" ht="13">
      <c r="A24" s="403"/>
      <c r="B24" s="454"/>
      <c r="C24" s="571"/>
      <c r="D24" s="571"/>
      <c r="E24" s="571"/>
      <c r="F24" s="571"/>
      <c r="G24" s="571"/>
      <c r="H24" s="571"/>
      <c r="I24" s="571"/>
      <c r="J24" s="571"/>
      <c r="K24" s="571"/>
      <c r="L24" s="571"/>
      <c r="M24" s="399"/>
      <c r="N24" s="625"/>
      <c r="O24" s="625"/>
      <c r="P24" s="623"/>
      <c r="Q24" s="615"/>
    </row>
    <row r="25" spans="1:122" s="382" customFormat="1" ht="15">
      <c r="A25" s="635" t="s">
        <v>184</v>
      </c>
      <c r="B25" s="454"/>
      <c r="C25" s="571"/>
      <c r="D25" s="571"/>
      <c r="E25" s="571"/>
      <c r="F25" s="571"/>
      <c r="G25" s="571"/>
      <c r="H25" s="571"/>
      <c r="I25" s="571"/>
      <c r="J25" s="571"/>
      <c r="K25" s="571"/>
      <c r="L25" s="571"/>
      <c r="M25" s="399"/>
      <c r="N25" s="625"/>
      <c r="O25" s="625"/>
      <c r="P25" s="623"/>
      <c r="Q25" s="615"/>
    </row>
    <row r="26" spans="1:122" s="382" customFormat="1" ht="13">
      <c r="A26" s="636" t="s">
        <v>185</v>
      </c>
      <c r="B26" s="454"/>
      <c r="C26" s="571"/>
      <c r="D26" s="571"/>
      <c r="E26" s="571"/>
      <c r="F26" s="571"/>
      <c r="G26" s="571"/>
      <c r="H26" s="571"/>
      <c r="I26" s="571"/>
      <c r="J26" s="571"/>
      <c r="K26" s="571"/>
      <c r="L26" s="571"/>
      <c r="M26" s="399"/>
      <c r="N26" s="625"/>
      <c r="O26" s="625"/>
      <c r="P26" s="623"/>
      <c r="Q26" s="615"/>
    </row>
    <row r="27" spans="1:122" s="382" customFormat="1" ht="13">
      <c r="A27" s="631" t="s">
        <v>186</v>
      </c>
      <c r="B27" s="612">
        <v>0</v>
      </c>
      <c r="C27" s="614">
        <v>0</v>
      </c>
      <c r="D27" s="614">
        <v>0</v>
      </c>
      <c r="E27" s="614">
        <v>0</v>
      </c>
      <c r="F27" s="614">
        <v>0</v>
      </c>
      <c r="G27" s="614">
        <v>0</v>
      </c>
      <c r="H27" s="614">
        <v>0</v>
      </c>
      <c r="I27" s="614">
        <v>0</v>
      </c>
      <c r="J27" s="614">
        <v>0</v>
      </c>
      <c r="K27" s="614">
        <v>0</v>
      </c>
      <c r="L27" s="614">
        <v>0</v>
      </c>
      <c r="M27" s="615">
        <v>0</v>
      </c>
      <c r="N27" s="625">
        <v>0</v>
      </c>
      <c r="O27" s="625">
        <f t="shared" ref="O27:O31" si="1">SUM(B27:M27)</f>
        <v>0</v>
      </c>
      <c r="P27" s="623"/>
      <c r="Q27" s="615"/>
    </row>
    <row r="28" spans="1:122" s="382" customFormat="1" ht="13">
      <c r="A28" s="631" t="s">
        <v>187</v>
      </c>
      <c r="B28" s="612">
        <v>0</v>
      </c>
      <c r="C28" s="614">
        <v>0</v>
      </c>
      <c r="D28" s="614">
        <v>0</v>
      </c>
      <c r="E28" s="614">
        <v>0</v>
      </c>
      <c r="F28" s="614">
        <v>0</v>
      </c>
      <c r="G28" s="614">
        <v>0</v>
      </c>
      <c r="H28" s="614">
        <v>0</v>
      </c>
      <c r="I28" s="614">
        <v>0</v>
      </c>
      <c r="J28" s="614">
        <v>0</v>
      </c>
      <c r="K28" s="614">
        <v>0</v>
      </c>
      <c r="L28" s="614">
        <v>0</v>
      </c>
      <c r="M28" s="615">
        <v>0</v>
      </c>
      <c r="N28" s="625">
        <v>0</v>
      </c>
      <c r="O28" s="625">
        <f t="shared" si="1"/>
        <v>0</v>
      </c>
      <c r="P28" s="623"/>
      <c r="Q28" s="615"/>
    </row>
    <row r="29" spans="1:122" s="382" customFormat="1" ht="13">
      <c r="A29" s="631" t="s">
        <v>188</v>
      </c>
      <c r="B29" s="612">
        <v>0</v>
      </c>
      <c r="C29" s="614">
        <v>0</v>
      </c>
      <c r="D29" s="614">
        <v>0</v>
      </c>
      <c r="E29" s="614">
        <v>0</v>
      </c>
      <c r="F29" s="614">
        <v>0</v>
      </c>
      <c r="G29" s="614">
        <v>0</v>
      </c>
      <c r="H29" s="614">
        <v>0</v>
      </c>
      <c r="I29" s="614">
        <v>0</v>
      </c>
      <c r="J29" s="614">
        <v>0</v>
      </c>
      <c r="K29" s="614">
        <v>0</v>
      </c>
      <c r="L29" s="614">
        <v>0</v>
      </c>
      <c r="M29" s="615">
        <v>0</v>
      </c>
      <c r="N29" s="625">
        <v>0</v>
      </c>
      <c r="O29" s="625">
        <f t="shared" si="1"/>
        <v>0</v>
      </c>
      <c r="P29" s="623"/>
      <c r="Q29" s="615"/>
    </row>
    <row r="30" spans="1:122" s="382" customFormat="1" ht="13">
      <c r="A30" s="631" t="s">
        <v>189</v>
      </c>
      <c r="B30" s="612">
        <v>0</v>
      </c>
      <c r="C30" s="614">
        <v>0</v>
      </c>
      <c r="D30" s="614">
        <v>0</v>
      </c>
      <c r="E30" s="614">
        <v>0</v>
      </c>
      <c r="F30" s="614">
        <v>0</v>
      </c>
      <c r="G30" s="614">
        <v>0</v>
      </c>
      <c r="H30" s="614">
        <v>0</v>
      </c>
      <c r="I30" s="614">
        <v>0</v>
      </c>
      <c r="J30" s="614">
        <v>0</v>
      </c>
      <c r="K30" s="614">
        <v>0</v>
      </c>
      <c r="L30" s="614">
        <v>0</v>
      </c>
      <c r="M30" s="615">
        <v>0</v>
      </c>
      <c r="N30" s="625">
        <v>0</v>
      </c>
      <c r="O30" s="625">
        <f t="shared" si="1"/>
        <v>0</v>
      </c>
      <c r="P30" s="623"/>
      <c r="Q30" s="615"/>
    </row>
    <row r="31" spans="1:122" s="382" customFormat="1" ht="13">
      <c r="A31" s="631" t="s">
        <v>190</v>
      </c>
      <c r="B31" s="616">
        <v>0</v>
      </c>
      <c r="C31" s="617">
        <v>0</v>
      </c>
      <c r="D31" s="617">
        <v>0</v>
      </c>
      <c r="E31" s="617">
        <v>0</v>
      </c>
      <c r="F31" s="617">
        <v>0</v>
      </c>
      <c r="G31" s="617">
        <v>0</v>
      </c>
      <c r="H31" s="617">
        <v>0</v>
      </c>
      <c r="I31" s="617">
        <v>0</v>
      </c>
      <c r="J31" s="617">
        <v>0</v>
      </c>
      <c r="K31" s="617">
        <v>0</v>
      </c>
      <c r="L31" s="617">
        <v>0</v>
      </c>
      <c r="M31" s="618">
        <v>0</v>
      </c>
      <c r="N31" s="626">
        <v>0</v>
      </c>
      <c r="O31" s="626">
        <f t="shared" si="1"/>
        <v>0</v>
      </c>
      <c r="P31" s="623"/>
      <c r="Q31" s="615"/>
    </row>
    <row r="32" spans="1:122" s="387" customFormat="1" ht="15.5">
      <c r="A32" s="637" t="s">
        <v>191</v>
      </c>
      <c r="B32" s="619">
        <f>SUM(B11:B31)</f>
        <v>165957.63</v>
      </c>
      <c r="C32" s="620">
        <f t="shared" ref="C32:O32" si="2">SUM(C11:C31)</f>
        <v>57939.97</v>
      </c>
      <c r="D32" s="620">
        <f t="shared" si="2"/>
        <v>106544.4</v>
      </c>
      <c r="E32" s="620">
        <f t="shared" si="2"/>
        <v>41836.959999999992</v>
      </c>
      <c r="F32" s="620">
        <f t="shared" si="2"/>
        <v>-10653.420000000002</v>
      </c>
      <c r="G32" s="620">
        <f t="shared" si="2"/>
        <v>211542.81</v>
      </c>
      <c r="H32" s="620">
        <f t="shared" si="2"/>
        <v>84693.95</v>
      </c>
      <c r="I32" s="620">
        <f t="shared" si="2"/>
        <v>96510.14</v>
      </c>
      <c r="J32" s="620">
        <f t="shared" si="2"/>
        <v>517387.14000000007</v>
      </c>
      <c r="K32" s="620">
        <f t="shared" si="2"/>
        <v>-67597.88</v>
      </c>
      <c r="L32" s="620">
        <f t="shared" si="2"/>
        <v>224625.9</v>
      </c>
      <c r="M32" s="620">
        <f t="shared" si="2"/>
        <v>237014.59</v>
      </c>
      <c r="N32" s="620">
        <v>1203774.98</v>
      </c>
      <c r="O32" s="620">
        <f t="shared" si="2"/>
        <v>2869577.1700000004</v>
      </c>
      <c r="P32" s="432"/>
      <c r="Q32" s="433"/>
      <c r="R32" s="382"/>
      <c r="S32" s="382"/>
      <c r="T32" s="382"/>
      <c r="U32" s="382"/>
      <c r="V32" s="382"/>
      <c r="W32" s="382"/>
      <c r="X32" s="382"/>
      <c r="Y32" s="382"/>
      <c r="Z32" s="382"/>
      <c r="AA32" s="382"/>
      <c r="AB32" s="382"/>
      <c r="AC32" s="382"/>
      <c r="AD32" s="382"/>
      <c r="AE32" s="382"/>
      <c r="AF32" s="382"/>
      <c r="AG32" s="382"/>
      <c r="AH32" s="382"/>
      <c r="AI32" s="382"/>
      <c r="AJ32" s="382"/>
      <c r="AK32" s="382"/>
      <c r="AL32" s="382"/>
      <c r="AM32" s="382"/>
      <c r="AN32" s="382"/>
      <c r="AO32" s="382"/>
      <c r="AP32" s="382"/>
      <c r="AQ32" s="382"/>
      <c r="AR32" s="382"/>
      <c r="AS32" s="382"/>
      <c r="AT32" s="382"/>
      <c r="AU32" s="382"/>
      <c r="AV32" s="382"/>
      <c r="AW32" s="382"/>
      <c r="AX32" s="382"/>
      <c r="AY32" s="382"/>
      <c r="AZ32" s="382"/>
      <c r="BA32" s="382"/>
      <c r="BB32" s="382"/>
      <c r="BC32" s="382"/>
      <c r="BD32" s="382"/>
      <c r="BE32" s="382"/>
      <c r="BF32" s="382"/>
      <c r="BG32" s="382"/>
      <c r="BH32" s="382"/>
      <c r="BI32" s="382"/>
      <c r="BJ32" s="382"/>
      <c r="BK32" s="382"/>
      <c r="BL32" s="382"/>
      <c r="BM32" s="382"/>
      <c r="BN32" s="382"/>
      <c r="BO32" s="382"/>
      <c r="BP32" s="382"/>
      <c r="BQ32" s="382"/>
      <c r="BR32" s="382"/>
      <c r="BS32" s="382"/>
      <c r="BT32" s="382"/>
      <c r="BU32" s="382"/>
      <c r="BV32" s="382"/>
      <c r="BW32" s="382"/>
      <c r="BX32" s="382"/>
      <c r="BY32" s="382"/>
      <c r="BZ32" s="382"/>
      <c r="CA32" s="382"/>
      <c r="CB32" s="382"/>
      <c r="CC32" s="382"/>
      <c r="CD32" s="382"/>
      <c r="CE32" s="382"/>
      <c r="CF32" s="382"/>
      <c r="CG32" s="382"/>
      <c r="CH32" s="382"/>
      <c r="CI32" s="382"/>
      <c r="CJ32" s="382"/>
      <c r="CK32" s="382"/>
      <c r="CL32" s="382"/>
      <c r="CM32" s="382"/>
      <c r="CN32" s="382"/>
      <c r="CO32" s="382"/>
      <c r="CP32" s="382"/>
      <c r="CQ32" s="382"/>
      <c r="CR32" s="382"/>
      <c r="CS32" s="382"/>
      <c r="CT32" s="382"/>
      <c r="CU32" s="382"/>
      <c r="CV32" s="382"/>
      <c r="CW32" s="382"/>
      <c r="CX32" s="382"/>
      <c r="CY32" s="382"/>
      <c r="CZ32" s="382"/>
      <c r="DA32" s="382"/>
      <c r="DB32" s="382"/>
      <c r="DC32" s="382"/>
      <c r="DD32" s="382"/>
      <c r="DE32" s="382"/>
      <c r="DF32" s="382"/>
      <c r="DG32" s="382"/>
      <c r="DH32" s="382"/>
      <c r="DI32" s="382"/>
      <c r="DJ32" s="382"/>
      <c r="DK32" s="382"/>
      <c r="DL32" s="382"/>
      <c r="DM32" s="382"/>
      <c r="DN32" s="382"/>
      <c r="DO32" s="382"/>
      <c r="DP32" s="382"/>
      <c r="DQ32" s="382"/>
      <c r="DR32" s="382"/>
    </row>
    <row r="33" spans="1:17" s="382" customFormat="1" ht="13">
      <c r="A33" s="404"/>
      <c r="B33" s="454"/>
      <c r="C33" s="385"/>
      <c r="D33" s="385"/>
      <c r="E33" s="385"/>
      <c r="F33" s="385"/>
      <c r="G33" s="385"/>
      <c r="H33" s="385"/>
      <c r="I33" s="385"/>
      <c r="J33" s="385"/>
      <c r="K33" s="385"/>
      <c r="L33" s="385"/>
      <c r="M33" s="385"/>
      <c r="N33" s="385"/>
      <c r="O33" s="385"/>
      <c r="P33" s="385"/>
      <c r="Q33" s="399"/>
    </row>
    <row r="34" spans="1:17" s="382" customFormat="1" ht="15.5">
      <c r="A34" s="638" t="s">
        <v>192</v>
      </c>
      <c r="B34" s="454"/>
      <c r="C34" s="571"/>
      <c r="D34" s="571"/>
      <c r="E34" s="571"/>
      <c r="F34" s="571"/>
      <c r="G34" s="571"/>
      <c r="H34" s="571"/>
      <c r="I34" s="571"/>
      <c r="J34" s="571"/>
      <c r="K34" s="571"/>
      <c r="L34" s="571"/>
      <c r="M34" s="571"/>
      <c r="N34" s="386"/>
      <c r="O34" s="571"/>
      <c r="P34" s="385"/>
      <c r="Q34" s="400"/>
    </row>
    <row r="35" spans="1:17" s="382" customFormat="1" ht="13">
      <c r="A35" s="632" t="s">
        <v>186</v>
      </c>
      <c r="B35" s="611">
        <v>0</v>
      </c>
      <c r="C35" s="607">
        <v>0</v>
      </c>
      <c r="D35" s="607">
        <v>0</v>
      </c>
      <c r="E35" s="607">
        <v>0</v>
      </c>
      <c r="F35" s="607">
        <v>0</v>
      </c>
      <c r="G35" s="607">
        <v>0</v>
      </c>
      <c r="H35" s="607">
        <v>0</v>
      </c>
      <c r="I35" s="607">
        <v>0</v>
      </c>
      <c r="J35" s="607">
        <v>0</v>
      </c>
      <c r="K35" s="607">
        <v>0</v>
      </c>
      <c r="L35" s="607">
        <v>0</v>
      </c>
      <c r="M35" s="613">
        <v>0</v>
      </c>
      <c r="N35" s="611">
        <v>0</v>
      </c>
      <c r="O35" s="613">
        <f>SUM(B35:M35)+N35</f>
        <v>0</v>
      </c>
      <c r="P35" s="385"/>
      <c r="Q35" s="399"/>
    </row>
    <row r="36" spans="1:17" s="382" customFormat="1" ht="13">
      <c r="A36" s="631" t="s">
        <v>187</v>
      </c>
      <c r="B36" s="612">
        <v>0</v>
      </c>
      <c r="C36" s="614">
        <v>8382.0300000000007</v>
      </c>
      <c r="D36" s="614">
        <v>163.1</v>
      </c>
      <c r="E36" s="614">
        <v>1831.8200000000002</v>
      </c>
      <c r="F36" s="614">
        <v>3469.83</v>
      </c>
      <c r="G36" s="614">
        <v>9187.86</v>
      </c>
      <c r="H36" s="614">
        <v>5279.32</v>
      </c>
      <c r="I36" s="614">
        <v>269.14</v>
      </c>
      <c r="J36" s="614">
        <v>1680.74</v>
      </c>
      <c r="K36" s="614">
        <v>1227.1799999999998</v>
      </c>
      <c r="L36" s="614">
        <v>2178.7799999999997</v>
      </c>
      <c r="M36" s="615">
        <v>0</v>
      </c>
      <c r="N36" s="612">
        <v>79345.81</v>
      </c>
      <c r="O36" s="615">
        <f>SUM(B36:M36)+N36</f>
        <v>113015.61</v>
      </c>
      <c r="P36" s="385"/>
      <c r="Q36" s="399"/>
    </row>
    <row r="37" spans="1:17" s="382" customFormat="1" ht="13">
      <c r="A37" s="631" t="s">
        <v>188</v>
      </c>
      <c r="B37" s="612">
        <v>27234.080000000002</v>
      </c>
      <c r="C37" s="614">
        <v>30339.049999999996</v>
      </c>
      <c r="D37" s="614">
        <v>32484.85</v>
      </c>
      <c r="E37" s="614">
        <v>41442.11</v>
      </c>
      <c r="F37" s="614">
        <v>29594.639999999999</v>
      </c>
      <c r="G37" s="614">
        <v>25124.799999999996</v>
      </c>
      <c r="H37" s="614">
        <v>17859.189999999999</v>
      </c>
      <c r="I37" s="614">
        <v>38002.550000000003</v>
      </c>
      <c r="J37" s="614">
        <v>24469.829999999987</v>
      </c>
      <c r="K37" s="614">
        <v>27546.890000000007</v>
      </c>
      <c r="L37" s="614">
        <v>25921.980000000003</v>
      </c>
      <c r="M37" s="615">
        <v>26105.879999999997</v>
      </c>
      <c r="N37" s="612">
        <v>423225.05999999982</v>
      </c>
      <c r="O37" s="615">
        <f>SUM(B37:M37)+N37</f>
        <v>769350.9099999998</v>
      </c>
      <c r="Q37" s="401"/>
    </row>
    <row r="38" spans="1:17" s="382" customFormat="1" ht="13">
      <c r="A38" s="631" t="s">
        <v>193</v>
      </c>
      <c r="B38" s="612">
        <v>76540.19</v>
      </c>
      <c r="C38" s="614">
        <v>11777</v>
      </c>
      <c r="D38" s="614">
        <v>0</v>
      </c>
      <c r="E38" s="614">
        <v>41133.17</v>
      </c>
      <c r="F38" s="614">
        <v>14499.93</v>
      </c>
      <c r="G38" s="614">
        <v>171375.6</v>
      </c>
      <c r="H38" s="614">
        <v>45774.560000000005</v>
      </c>
      <c r="I38" s="614">
        <v>45621.270000000004</v>
      </c>
      <c r="J38" s="614">
        <v>488599.42000000004</v>
      </c>
      <c r="K38" s="614">
        <v>-98772.64</v>
      </c>
      <c r="L38" s="614">
        <v>193829.13</v>
      </c>
      <c r="M38" s="615">
        <v>203505.34000000003</v>
      </c>
      <c r="N38" s="612">
        <v>378002</v>
      </c>
      <c r="O38" s="615">
        <f>SUM(B38:M38)+N38</f>
        <v>1571884.9700000002</v>
      </c>
      <c r="Q38" s="401"/>
    </row>
    <row r="39" spans="1:17" s="382" customFormat="1" ht="15">
      <c r="A39" s="631" t="s">
        <v>194</v>
      </c>
      <c r="B39" s="616">
        <v>62183.67</v>
      </c>
      <c r="C39" s="617">
        <v>7442.25</v>
      </c>
      <c r="D39" s="617">
        <v>73896.45</v>
      </c>
      <c r="E39" s="617">
        <v>-42570.15</v>
      </c>
      <c r="F39" s="617">
        <v>-58217.82</v>
      </c>
      <c r="G39" s="617">
        <v>5854.47</v>
      </c>
      <c r="H39" s="617">
        <v>15780.800000000001</v>
      </c>
      <c r="I39" s="617">
        <v>12617.13</v>
      </c>
      <c r="J39" s="617">
        <v>2637.14</v>
      </c>
      <c r="K39" s="617">
        <v>2400.6800000000003</v>
      </c>
      <c r="L39" s="617">
        <v>2696</v>
      </c>
      <c r="M39" s="618">
        <v>7403.2800000000007</v>
      </c>
      <c r="N39" s="616">
        <v>323204.55999999994</v>
      </c>
      <c r="O39" s="618">
        <f>SUM(B39:M39)+N39</f>
        <v>415328.45999999996</v>
      </c>
      <c r="Q39" s="401"/>
    </row>
    <row r="40" spans="1:17" s="382" customFormat="1" ht="15.5">
      <c r="A40" s="637" t="s">
        <v>195</v>
      </c>
      <c r="B40" s="621">
        <f>SUM(B35:B39)</f>
        <v>165957.94</v>
      </c>
      <c r="C40" s="622">
        <f t="shared" ref="C40:M40" si="3">SUM(C35:C39)</f>
        <v>57940.329999999994</v>
      </c>
      <c r="D40" s="622">
        <f t="shared" si="3"/>
        <v>106544.4</v>
      </c>
      <c r="E40" s="622">
        <f t="shared" si="3"/>
        <v>41836.950000000004</v>
      </c>
      <c r="F40" s="622">
        <f t="shared" si="3"/>
        <v>-10653.419999999998</v>
      </c>
      <c r="G40" s="622">
        <f t="shared" si="3"/>
        <v>211542.73</v>
      </c>
      <c r="H40" s="622">
        <f t="shared" si="3"/>
        <v>84693.87000000001</v>
      </c>
      <c r="I40" s="622">
        <f t="shared" si="3"/>
        <v>96510.090000000011</v>
      </c>
      <c r="J40" s="622">
        <f t="shared" si="3"/>
        <v>517387.13000000006</v>
      </c>
      <c r="K40" s="622">
        <f t="shared" si="3"/>
        <v>-67597.889999999985</v>
      </c>
      <c r="L40" s="622">
        <f t="shared" si="3"/>
        <v>224625.89</v>
      </c>
      <c r="M40" s="622">
        <f t="shared" si="3"/>
        <v>237014.50000000003</v>
      </c>
      <c r="N40" s="620">
        <v>1203777.4299999997</v>
      </c>
      <c r="O40" s="622">
        <f>SUM(O35:O39)</f>
        <v>2869579.95</v>
      </c>
      <c r="P40" s="434"/>
      <c r="Q40" s="435"/>
    </row>
    <row r="41" spans="1:17" s="382" customFormat="1" ht="13">
      <c r="A41" s="405"/>
      <c r="B41" s="456"/>
      <c r="C41" s="388"/>
      <c r="D41" s="388"/>
      <c r="E41" s="388"/>
      <c r="F41" s="388"/>
      <c r="G41" s="388"/>
      <c r="H41" s="388"/>
      <c r="I41" s="388"/>
      <c r="J41" s="388"/>
      <c r="K41" s="388"/>
      <c r="L41" s="388"/>
      <c r="M41" s="388"/>
      <c r="N41" s="388"/>
      <c r="O41" s="388"/>
      <c r="P41" s="389"/>
      <c r="Q41" s="402"/>
    </row>
    <row r="42" spans="1:17" s="382" customFormat="1" ht="15.5">
      <c r="A42" s="638" t="s">
        <v>196</v>
      </c>
      <c r="B42" s="455"/>
      <c r="C42" s="386"/>
      <c r="D42" s="386"/>
      <c r="E42" s="386"/>
      <c r="F42" s="386"/>
      <c r="G42" s="386"/>
      <c r="H42" s="386"/>
      <c r="I42" s="386"/>
      <c r="J42" s="386"/>
      <c r="K42" s="386"/>
      <c r="L42" s="386"/>
      <c r="M42" s="386"/>
      <c r="N42" s="386"/>
      <c r="O42" s="386"/>
      <c r="P42" s="385"/>
      <c r="Q42" s="400"/>
    </row>
    <row r="43" spans="1:17" s="382" customFormat="1" ht="15">
      <c r="A43" s="631" t="s">
        <v>197</v>
      </c>
      <c r="B43" s="612">
        <v>0</v>
      </c>
      <c r="C43" s="623">
        <v>0</v>
      </c>
      <c r="D43" s="623">
        <v>0</v>
      </c>
      <c r="E43" s="623">
        <v>184.8</v>
      </c>
      <c r="F43" s="623">
        <v>-184.8</v>
      </c>
      <c r="G43" s="623">
        <v>0</v>
      </c>
      <c r="H43" s="623">
        <v>0</v>
      </c>
      <c r="I43" s="623">
        <v>0</v>
      </c>
      <c r="J43" s="623">
        <v>0</v>
      </c>
      <c r="K43" s="623">
        <v>0</v>
      </c>
      <c r="L43" s="623">
        <v>0</v>
      </c>
      <c r="M43" s="623">
        <v>0</v>
      </c>
      <c r="N43" s="624">
        <v>0</v>
      </c>
      <c r="O43" s="624">
        <f>SUM(B43:M43)+N43</f>
        <v>0</v>
      </c>
      <c r="P43" s="385"/>
      <c r="Q43" s="399"/>
    </row>
    <row r="44" spans="1:17" s="382" customFormat="1" ht="13">
      <c r="A44" s="632" t="s">
        <v>198</v>
      </c>
      <c r="B44" s="612">
        <v>44261.16</v>
      </c>
      <c r="C44" s="623">
        <v>16033.669999999996</v>
      </c>
      <c r="D44" s="623">
        <v>18681.82</v>
      </c>
      <c r="E44" s="623">
        <v>21278.73</v>
      </c>
      <c r="F44" s="623">
        <v>10276.61</v>
      </c>
      <c r="G44" s="623">
        <v>70006.349999999991</v>
      </c>
      <c r="H44" s="623">
        <v>23021.87</v>
      </c>
      <c r="I44" s="623">
        <v>33348.720000000001</v>
      </c>
      <c r="J44" s="623">
        <v>181693.01</v>
      </c>
      <c r="K44" s="623">
        <v>-22875.839999999997</v>
      </c>
      <c r="L44" s="623">
        <v>99531.400000000009</v>
      </c>
      <c r="M44" s="623">
        <v>90117.75</v>
      </c>
      <c r="N44" s="625">
        <v>344660.9699999998</v>
      </c>
      <c r="O44" s="625">
        <f>SUM(B44:M44)+N44</f>
        <v>930036.21999999974</v>
      </c>
      <c r="P44" s="385"/>
      <c r="Q44" s="399"/>
    </row>
    <row r="45" spans="1:17" s="382" customFormat="1" ht="14.25" customHeight="1">
      <c r="A45" s="631" t="s">
        <v>199</v>
      </c>
      <c r="B45" s="612">
        <v>43677.31</v>
      </c>
      <c r="C45" s="623">
        <v>16064.759999999997</v>
      </c>
      <c r="D45" s="623">
        <v>30114.93</v>
      </c>
      <c r="E45" s="623">
        <v>5639.3200000000015</v>
      </c>
      <c r="F45" s="623">
        <v>-4250.1499999999996</v>
      </c>
      <c r="G45" s="623">
        <v>49336.68</v>
      </c>
      <c r="H45" s="623">
        <v>25482.279999999995</v>
      </c>
      <c r="I45" s="623">
        <v>24295.480000000003</v>
      </c>
      <c r="J45" s="623">
        <v>109747.00000000003</v>
      </c>
      <c r="K45" s="623">
        <v>-11131.690000000002</v>
      </c>
      <c r="L45" s="623">
        <v>45896.35</v>
      </c>
      <c r="M45" s="623">
        <v>49826.720000000001</v>
      </c>
      <c r="N45" s="625">
        <v>314336.88999999996</v>
      </c>
      <c r="O45" s="625">
        <f>SUM(B45:M45)+N45</f>
        <v>699035.87999999989</v>
      </c>
      <c r="P45" s="385"/>
      <c r="Q45" s="399"/>
    </row>
    <row r="46" spans="1:17" s="382" customFormat="1" ht="15">
      <c r="A46" s="631" t="s">
        <v>200</v>
      </c>
      <c r="B46" s="612">
        <v>78019.45</v>
      </c>
      <c r="C46" s="623">
        <v>25841.9</v>
      </c>
      <c r="D46" s="623">
        <v>57747.65</v>
      </c>
      <c r="E46" s="623">
        <v>14734.110000000006</v>
      </c>
      <c r="F46" s="623">
        <v>-16495.080000000002</v>
      </c>
      <c r="G46" s="623">
        <v>92199.78</v>
      </c>
      <c r="H46" s="623">
        <v>36189.799999999996</v>
      </c>
      <c r="I46" s="623">
        <v>38865.94000000001</v>
      </c>
      <c r="J46" s="623">
        <v>225947.13000000003</v>
      </c>
      <c r="K46" s="623">
        <v>-33590.350000000006</v>
      </c>
      <c r="L46" s="623">
        <v>79198.149999999994</v>
      </c>
      <c r="M46" s="623">
        <v>97070.12</v>
      </c>
      <c r="N46" s="626">
        <v>544778.64</v>
      </c>
      <c r="O46" s="626">
        <f>SUM(B46:M46)+N46</f>
        <v>1240507.2400000002</v>
      </c>
      <c r="Q46" s="401"/>
    </row>
    <row r="47" spans="1:17" s="382" customFormat="1" ht="15.5">
      <c r="A47" s="637" t="s">
        <v>201</v>
      </c>
      <c r="B47" s="619">
        <f t="shared" ref="B47:M47" si="4">SUM(B43:B46)</f>
        <v>165957.91999999998</v>
      </c>
      <c r="C47" s="620">
        <f t="shared" si="4"/>
        <v>57940.329999999994</v>
      </c>
      <c r="D47" s="620">
        <f>SUM(D43:D46)</f>
        <v>106544.4</v>
      </c>
      <c r="E47" s="620">
        <f t="shared" si="4"/>
        <v>41836.960000000006</v>
      </c>
      <c r="F47" s="620">
        <f t="shared" si="4"/>
        <v>-10653.42</v>
      </c>
      <c r="G47" s="620">
        <f t="shared" si="4"/>
        <v>211542.81</v>
      </c>
      <c r="H47" s="620">
        <f t="shared" si="4"/>
        <v>84693.949999999983</v>
      </c>
      <c r="I47" s="620">
        <f t="shared" si="4"/>
        <v>96510.140000000014</v>
      </c>
      <c r="J47" s="620">
        <f t="shared" si="4"/>
        <v>517387.14</v>
      </c>
      <c r="K47" s="620">
        <f t="shared" si="4"/>
        <v>-67597.88</v>
      </c>
      <c r="L47" s="620">
        <f t="shared" si="4"/>
        <v>224625.9</v>
      </c>
      <c r="M47" s="620">
        <f t="shared" si="4"/>
        <v>237014.59</v>
      </c>
      <c r="N47" s="620">
        <v>1203776.4999999998</v>
      </c>
      <c r="O47" s="620">
        <f>SUM(O43:O46)</f>
        <v>2869579.34</v>
      </c>
      <c r="P47" s="432">
        <f>SUM(P43:P46)</f>
        <v>0</v>
      </c>
      <c r="Q47" s="435"/>
    </row>
    <row r="48" spans="1:17" s="382" customFormat="1" ht="13">
      <c r="B48" s="385"/>
      <c r="C48" s="385"/>
      <c r="D48" s="385"/>
      <c r="E48" s="385"/>
      <c r="F48" s="385"/>
      <c r="G48" s="385"/>
      <c r="H48" s="385"/>
      <c r="I48" s="385"/>
      <c r="J48" s="385"/>
      <c r="K48" s="385"/>
      <c r="L48" s="385"/>
      <c r="M48" s="385"/>
      <c r="O48" s="385"/>
      <c r="P48" s="385"/>
      <c r="Q48" s="385"/>
    </row>
    <row r="49" spans="1:17" s="382" customFormat="1" ht="13">
      <c r="A49" s="390" t="s">
        <v>67</v>
      </c>
      <c r="B49" s="391"/>
      <c r="C49" s="391"/>
      <c r="D49" s="391"/>
      <c r="E49" s="391"/>
      <c r="F49" s="391"/>
      <c r="G49" s="391"/>
      <c r="H49" s="391"/>
      <c r="I49" s="391"/>
      <c r="J49" s="391"/>
      <c r="K49" s="391"/>
      <c r="L49" s="391"/>
      <c r="M49" s="391"/>
      <c r="N49" s="390"/>
      <c r="O49" s="391"/>
      <c r="P49" s="391"/>
      <c r="Q49" s="391"/>
    </row>
    <row r="50" spans="1:17" ht="16.5">
      <c r="A50" s="468" t="s">
        <v>202</v>
      </c>
      <c r="D50" s="339"/>
      <c r="E50" s="243"/>
      <c r="F50" s="339"/>
      <c r="N50" s="468"/>
    </row>
    <row r="51" spans="1:17" ht="16.5">
      <c r="A51" s="468" t="s">
        <v>203</v>
      </c>
      <c r="D51" s="339"/>
      <c r="E51" s="243"/>
      <c r="F51" s="339"/>
      <c r="N51" s="468"/>
    </row>
    <row r="52" spans="1:17" ht="16.5">
      <c r="A52" s="468" t="s">
        <v>204</v>
      </c>
      <c r="D52" s="339"/>
      <c r="E52" s="243"/>
      <c r="F52" s="339"/>
      <c r="N52" s="468"/>
    </row>
    <row r="53" spans="1:17" ht="16.5">
      <c r="A53" s="468" t="s">
        <v>205</v>
      </c>
      <c r="D53" s="339"/>
      <c r="E53" s="243"/>
      <c r="F53" s="339"/>
      <c r="N53" s="281"/>
    </row>
    <row r="54" spans="1:17" ht="16.5">
      <c r="A54" s="281" t="s">
        <v>76</v>
      </c>
      <c r="D54" s="339"/>
      <c r="E54" s="243"/>
      <c r="F54" s="339"/>
      <c r="N54" s="508"/>
    </row>
    <row r="55" spans="1:17">
      <c r="E55" s="344"/>
      <c r="F55" s="339"/>
    </row>
  </sheetData>
  <mergeCells count="3">
    <mergeCell ref="O7:O8"/>
    <mergeCell ref="Q7:Q8"/>
    <mergeCell ref="N7:N8"/>
  </mergeCells>
  <printOptions horizontalCentered="1"/>
  <pageMargins left="0" right="0" top="0.55000000000000004" bottom="0.17" header="0.3" footer="0.15"/>
  <pageSetup paperSize="5" scale="65" orientation="landscape" cellComments="atEnd" r:id="rId1"/>
  <headerFooter alignWithMargins="0">
    <oddHeader xml:space="preserve">&amp;C&amp;"Arial,Bold"
</oddHeader>
    <oddFooter xml:space="preserve">&amp;Rpage 8 of 12
&amp;A
&amp;D  &amp;T
</oddFooter>
  </headerFooter>
  <customProperties>
    <customPr name="_pios_id" r:id="rId2"/>
  </customPropertie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E19"/>
  <sheetViews>
    <sheetView zoomScaleNormal="100" zoomScaleSheetLayoutView="100" workbookViewId="0">
      <selection activeCell="C12" sqref="C12"/>
    </sheetView>
  </sheetViews>
  <sheetFormatPr defaultColWidth="9.1796875" defaultRowHeight="12.5"/>
  <cols>
    <col min="1" max="1" width="29.26953125" style="168" customWidth="1"/>
    <col min="2" max="2" width="15" style="168" customWidth="1"/>
    <col min="3" max="3" width="49.7265625" style="168" customWidth="1"/>
    <col min="4" max="4" width="11.1796875" style="168" customWidth="1"/>
    <col min="5" max="5" width="57" style="168" customWidth="1"/>
    <col min="6" max="16384" width="9.1796875" style="168"/>
  </cols>
  <sheetData>
    <row r="1" spans="1:5" ht="13">
      <c r="C1" s="175" t="s">
        <v>39</v>
      </c>
    </row>
    <row r="2" spans="1:5" ht="13">
      <c r="C2" s="175" t="s">
        <v>206</v>
      </c>
    </row>
    <row r="3" spans="1:5" ht="13">
      <c r="C3" s="229" t="str">
        <f>'Program MW '!H3</f>
        <v>December 2019</v>
      </c>
    </row>
    <row r="4" spans="1:5">
      <c r="C4" s="227"/>
    </row>
    <row r="5" spans="1:5">
      <c r="B5" s="227"/>
      <c r="D5" s="227"/>
    </row>
    <row r="6" spans="1:5" s="21" customFormat="1" ht="13">
      <c r="A6" s="347"/>
      <c r="B6" s="347"/>
    </row>
    <row r="7" spans="1:5" s="21" customFormat="1"/>
    <row r="8" spans="1:5" s="23" customFormat="1" ht="13">
      <c r="A8" s="22" t="s">
        <v>207</v>
      </c>
      <c r="B8" s="22" t="s">
        <v>208</v>
      </c>
      <c r="C8" s="22" t="s">
        <v>209</v>
      </c>
      <c r="D8" s="22" t="s">
        <v>210</v>
      </c>
      <c r="E8" s="22" t="s">
        <v>211</v>
      </c>
    </row>
    <row r="9" spans="1:5" s="532" customFormat="1" ht="50">
      <c r="A9" s="528">
        <v>1</v>
      </c>
      <c r="B9" s="529">
        <v>-234498</v>
      </c>
      <c r="C9" s="536" t="s">
        <v>212</v>
      </c>
      <c r="D9" s="531">
        <v>43302</v>
      </c>
      <c r="E9" s="530" t="s">
        <v>213</v>
      </c>
    </row>
    <row r="10" spans="1:5" s="535" customFormat="1" ht="50">
      <c r="A10" s="533">
        <v>4</v>
      </c>
      <c r="B10" s="534">
        <v>-700000</v>
      </c>
      <c r="C10" s="537" t="s">
        <v>214</v>
      </c>
      <c r="D10" s="531">
        <v>43302</v>
      </c>
      <c r="E10" s="530" t="s">
        <v>215</v>
      </c>
    </row>
    <row r="11" spans="1:5" s="535" customFormat="1" ht="62.5">
      <c r="A11" s="533">
        <v>7</v>
      </c>
      <c r="B11" s="534">
        <v>-194400</v>
      </c>
      <c r="C11" s="537" t="s">
        <v>216</v>
      </c>
      <c r="D11" s="531">
        <v>43304</v>
      </c>
      <c r="E11" s="538" t="s">
        <v>217</v>
      </c>
    </row>
    <row r="12" spans="1:5" s="535" customFormat="1" ht="137.5">
      <c r="A12" s="533" t="s">
        <v>218</v>
      </c>
      <c r="B12" s="534">
        <v>1128898</v>
      </c>
      <c r="C12" s="537" t="s">
        <v>219</v>
      </c>
      <c r="D12" s="531">
        <v>43302</v>
      </c>
      <c r="E12" s="530" t="s">
        <v>220</v>
      </c>
    </row>
    <row r="13" spans="1:5" ht="13">
      <c r="A13" s="170" t="s">
        <v>107</v>
      </c>
      <c r="B13" s="274">
        <f>SUM(B9:B12)</f>
        <v>0</v>
      </c>
      <c r="C13" s="169"/>
      <c r="D13" s="169"/>
      <c r="E13" s="169"/>
    </row>
    <row r="14" spans="1:5">
      <c r="A14" s="169"/>
      <c r="B14" s="169"/>
      <c r="C14" s="169"/>
      <c r="D14" s="169"/>
      <c r="E14" s="169"/>
    </row>
    <row r="16" spans="1:5">
      <c r="A16" s="168" t="s">
        <v>67</v>
      </c>
    </row>
    <row r="17" spans="1:5">
      <c r="A17" s="591" t="s">
        <v>221</v>
      </c>
    </row>
    <row r="19" spans="1:5" ht="14.5">
      <c r="A19" s="282" t="s">
        <v>76</v>
      </c>
      <c r="E19" s="171"/>
    </row>
  </sheetData>
  <phoneticPr fontId="42" type="noConversion"/>
  <printOptions horizontalCentered="1"/>
  <pageMargins left="0" right="0" top="0.55000000000000004" bottom="0.17" header="0.3" footer="0.15"/>
  <pageSetup paperSize="5" orientation="landscape" cellComments="atEnd" r:id="rId1"/>
  <headerFooter alignWithMargins="0">
    <oddHeader xml:space="preserve">&amp;C&amp;"Arial,Bold"
</oddHeader>
    <oddFooter>&amp;Rpage 7 of 12
&amp;A
&amp;D  &amp;T</oddFooter>
  </headerFooter>
  <customProperties>
    <customPr name="_pios_id" r:id="rId2"/>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E6A178DBBAEAD4A9FF98983B80ABD98" ma:contentTypeVersion="11" ma:contentTypeDescription="Create a new document." ma:contentTypeScope="" ma:versionID="130e10d0e69ae72bdb0aad78de4ab1d1">
  <xsd:schema xmlns:xsd="http://www.w3.org/2001/XMLSchema" xmlns:xs="http://www.w3.org/2001/XMLSchema" xmlns:p="http://schemas.microsoft.com/office/2006/metadata/properties" xmlns:ns2="23f0c027-30bf-4053-a099-2f7893e59033" xmlns:ns3="9bf079a2-8838-46e4-a25e-754293e27338" targetNamespace="http://schemas.microsoft.com/office/2006/metadata/properties" ma:root="true" ma:fieldsID="5be01dd2727f1fcfa4d2b6df54e9a969" ns2:_="" ns3:_="">
    <xsd:import namespace="23f0c027-30bf-4053-a099-2f7893e59033"/>
    <xsd:import namespace="9bf079a2-8838-46e4-a25e-754293e27338"/>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3f0c027-30bf-4053-a099-2f7893e5903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bf079a2-8838-46e4-a25e-754293e27338"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_dlc_DocId" ma:index="16" nillable="true" ma:displayName="Document ID Value" ma:description="The value of the document ID assigned to this item." ma:internalName="_dlc_DocId" ma:readOnly="true">
      <xsd:simpleType>
        <xsd:restriction base="dms:Text"/>
      </xsd:simpleType>
    </xsd:element>
    <xsd:element name="_dlc_DocIdUrl" ma:index="17"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8"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haredWithUsers xmlns="9bf079a2-8838-46e4-a25e-754293e27338">
      <UserInfo>
        <DisplayName>Valdivieso, Guillermo</DisplayName>
        <AccountId>212</AccountId>
        <AccountType/>
      </UserInfo>
    </SharedWithUsers>
    <_dlc_DocId xmlns="9bf079a2-8838-46e4-a25e-754293e27338">7RCVYNPDDY4V-393752548-480</_dlc_DocId>
    <_dlc_DocIdUrl xmlns="9bf079a2-8838-46e4-a25e-754293e27338">
      <Url>https://sempra.sharepoint.com/teams/sdgecp/po/drps/_layouts/15/DocIdRedir.aspx?ID=7RCVYNPDDY4V-393752548-480</Url>
      <Description>7RCVYNPDDY4V-393752548-480</Description>
    </_dlc_DocIdUrl>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025085FF-39AA-450F-90B4-2EE8986AEF9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3f0c027-30bf-4053-a099-2f7893e59033"/>
    <ds:schemaRef ds:uri="9bf079a2-8838-46e4-a25e-754293e2733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B9CE5A5-034A-44C5-96B1-1FD952A1C468}">
  <ds:schemaRefs>
    <ds:schemaRef ds:uri="http://schemas.microsoft.com/office/infopath/2007/PartnerControl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9bf079a2-8838-46e4-a25e-754293e27338"/>
    <ds:schemaRef ds:uri="23f0c027-30bf-4053-a099-2f7893e59033"/>
    <ds:schemaRef ds:uri="http://www.w3.org/XML/1998/namespace"/>
    <ds:schemaRef ds:uri="http://purl.org/dc/dcmitype/"/>
  </ds:schemaRefs>
</ds:datastoreItem>
</file>

<file path=customXml/itemProps3.xml><?xml version="1.0" encoding="utf-8"?>
<ds:datastoreItem xmlns:ds="http://schemas.openxmlformats.org/officeDocument/2006/customXml" ds:itemID="{B9BCF475-1DB9-4419-A429-5743143F8A2F}">
  <ds:schemaRefs>
    <ds:schemaRef ds:uri="http://schemas.microsoft.com/sharepoint/v3/contenttype/forms"/>
  </ds:schemaRefs>
</ds:datastoreItem>
</file>

<file path=customXml/itemProps4.xml><?xml version="1.0" encoding="utf-8"?>
<ds:datastoreItem xmlns:ds="http://schemas.openxmlformats.org/officeDocument/2006/customXml" ds:itemID="{5F3276DD-421B-4C61-836D-71402BB1BCFE}">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11</vt:i4>
      </vt:variant>
    </vt:vector>
  </HeadingPairs>
  <TitlesOfParts>
    <vt:vector size="25" baseType="lpstr">
      <vt:lpstr>Business Unit Reporting</vt:lpstr>
      <vt:lpstr>Program MW </vt:lpstr>
      <vt:lpstr>Ex ante LI &amp; Eligibility Stats</vt:lpstr>
      <vt:lpstr>Ex post LI &amp; Eligibility Stats</vt:lpstr>
      <vt:lpstr>TA-TI Distribution@</vt:lpstr>
      <vt:lpstr>Auto DR (TI) &amp; Tech Deployment</vt:lpstr>
      <vt:lpstr>17-18 DRP Carryover Expend</vt:lpstr>
      <vt:lpstr>Marketing</vt:lpstr>
      <vt:lpstr>Fund Shift Log</vt:lpstr>
      <vt:lpstr>DRP Expenditures</vt:lpstr>
      <vt:lpstr>Event Summary</vt:lpstr>
      <vt:lpstr>SDGE Costs - AMDRMA Balance</vt:lpstr>
      <vt:lpstr>SDGE Costs -GRC </vt:lpstr>
      <vt:lpstr>SDGE Costs -DPDRMA</vt:lpstr>
      <vt:lpstr>'17-18 DRP Carryover Expend'!Print_Area</vt:lpstr>
      <vt:lpstr>'Auto DR (TI) &amp; Tech Deployment'!Print_Area</vt:lpstr>
      <vt:lpstr>'DRP Expenditures'!Print_Area</vt:lpstr>
      <vt:lpstr>'Ex ante LI &amp; Eligibility Stats'!Print_Area</vt:lpstr>
      <vt:lpstr>'Ex post LI &amp; Eligibility Stats'!Print_Area</vt:lpstr>
      <vt:lpstr>'Fund Shift Log'!Print_Area</vt:lpstr>
      <vt:lpstr>Marketing!Print_Area</vt:lpstr>
      <vt:lpstr>'Program MW '!Print_Area</vt:lpstr>
      <vt:lpstr>'SDGE Costs - AMDRMA Balance'!Print_Area</vt:lpstr>
      <vt:lpstr>'SDGE Costs -DPDRMA'!Print_Area</vt:lpstr>
      <vt:lpstr>'SDGE Costs -GRC '!Print_Area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Josh Bode2</dc:creator>
  <cp:keywords/>
  <dc:description/>
  <cp:lastModifiedBy>Valdivieso, Guillermo</cp:lastModifiedBy>
  <cp:revision/>
  <dcterms:created xsi:type="dcterms:W3CDTF">2013-01-03T17:03:43Z</dcterms:created>
  <dcterms:modified xsi:type="dcterms:W3CDTF">2020-01-16T23:16:44Z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0x010100DE6A178DBBAEAD4A9FF98983B80ABD98</vt:lpwstr>
  </property>
  <property fmtid="{D5CDD505-2E9C-101B-9397-08002B2CF9AE}" pid="3" name="BExAnalyzer_OldName">
    <vt:lpwstr>Jan 2018 CPUC Monthly DR Report.xlsx</vt:lpwstr>
  </property>
  <property fmtid="{D5CDD505-2E9C-101B-9397-08002B2CF9AE}" pid="4" name="Order">
    <vt:r8>40500</vt:r8>
  </property>
  <property fmtid="{D5CDD505-2E9C-101B-9397-08002B2CF9AE}" pid="5" name="AuthorIds_UIVersion_2048">
    <vt:lpwstr>143</vt:lpwstr>
  </property>
  <property fmtid="{D5CDD505-2E9C-101B-9397-08002B2CF9AE}" pid="6" name="AuthorIds_UIVersion_10240">
    <vt:lpwstr>126,212</vt:lpwstr>
  </property>
  <property fmtid="{D5CDD505-2E9C-101B-9397-08002B2CF9AE}" pid="7" name="_dlc_DocIdItemGuid">
    <vt:lpwstr>3c644787-9c96-475b-ae5a-44babad3d4f7</vt:lpwstr>
  </property>
</Properties>
</file>