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drawings/drawing1.xml" ContentType="application/vnd.openxmlformats-officedocument.drawing+xml"/>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https://sempra-my.sharepoint.com/personal/kpitsko_semprautilities_com/Documents/User Folders/Desktop/Approvals/"/>
    </mc:Choice>
  </mc:AlternateContent>
  <xr:revisionPtr revIDLastSave="0" documentId="8_{E350188B-1762-4B04-84CD-2D515A4BB70D}" xr6:coauthVersionLast="47" xr6:coauthVersionMax="47" xr10:uidLastSave="{00000000-0000-0000-0000-000000000000}"/>
  <bookViews>
    <workbookView xWindow="-110" yWindow="-110" windowWidth="38620" windowHeight="21220" tabRatio="873" firstSheet="1" activeTab="8"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Event Summary" sheetId="57" r:id="rId6"/>
    <sheet name="Auto DR (TI) &amp; Tech Deployment" sheetId="131" r:id="rId7"/>
    <sheet name="Marketing" sheetId="134" r:id="rId8"/>
    <sheet name="DRP Expenditures" sheetId="117" r:id="rId9"/>
    <sheet name="Fund Shift Log" sheetId="29"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8">#REF!</definedName>
    <definedName name="_DAT1" localSheetId="7">#REF!</definedName>
    <definedName name="_DAT1" localSheetId="10">#REF!</definedName>
    <definedName name="_DAT1" localSheetId="12">#REF!</definedName>
    <definedName name="_DAT1">#REF!</definedName>
    <definedName name="_DAT10" localSheetId="8">#REF!</definedName>
    <definedName name="_DAT10" localSheetId="7">#REF!</definedName>
    <definedName name="_DAT10" localSheetId="12">#REF!</definedName>
    <definedName name="_DAT10">#REF!</definedName>
    <definedName name="_DAT11" localSheetId="8">#REF!</definedName>
    <definedName name="_DAT11" localSheetId="7">#REF!</definedName>
    <definedName name="_DAT11" localSheetId="12">#REF!</definedName>
    <definedName name="_DAT11">#REF!</definedName>
    <definedName name="_DAT12" localSheetId="8">#REF!</definedName>
    <definedName name="_DAT12" localSheetId="12">#REF!</definedName>
    <definedName name="_DAT12">#REF!</definedName>
    <definedName name="_DAT13" localSheetId="8">#REF!</definedName>
    <definedName name="_DAT13" localSheetId="12">#REF!</definedName>
    <definedName name="_DAT13">#REF!</definedName>
    <definedName name="_DAT14" localSheetId="8">#REF!</definedName>
    <definedName name="_DAT14" localSheetId="12">#REF!</definedName>
    <definedName name="_DAT14">#REF!</definedName>
    <definedName name="_DAT15" localSheetId="8">#REF!</definedName>
    <definedName name="_DAT15" localSheetId="12">#REF!</definedName>
    <definedName name="_DAT15">#REF!</definedName>
    <definedName name="_DAT16" localSheetId="8">#REF!</definedName>
    <definedName name="_DAT16" localSheetId="12">#REF!</definedName>
    <definedName name="_DAT16">#REF!</definedName>
    <definedName name="_DAT17" localSheetId="8">#REF!</definedName>
    <definedName name="_DAT17" localSheetId="12">#REF!</definedName>
    <definedName name="_DAT17">#REF!</definedName>
    <definedName name="_DAT2" localSheetId="8">#REF!</definedName>
    <definedName name="_DAT2" localSheetId="12">#REF!</definedName>
    <definedName name="_DAT2">#REF!</definedName>
    <definedName name="_DAT3" localSheetId="8">#REF!</definedName>
    <definedName name="_DAT3" localSheetId="12">#REF!</definedName>
    <definedName name="_DAT3">#REF!</definedName>
    <definedName name="_DAT4" localSheetId="8">#REF!</definedName>
    <definedName name="_DAT4" localSheetId="12">#REF!</definedName>
    <definedName name="_DAT4">#REF!</definedName>
    <definedName name="_DAT5" localSheetId="8">#REF!</definedName>
    <definedName name="_DAT5" localSheetId="12">#REF!</definedName>
    <definedName name="_DAT5">#REF!</definedName>
    <definedName name="_DAT6" localSheetId="8">#REF!</definedName>
    <definedName name="_DAT6" localSheetId="12">#REF!</definedName>
    <definedName name="_DAT6">#REF!</definedName>
    <definedName name="_DAT7" localSheetId="8">#REF!</definedName>
    <definedName name="_DAT7" localSheetId="12">#REF!</definedName>
    <definedName name="_DAT7">#REF!</definedName>
    <definedName name="_DAT8" localSheetId="8">#REF!</definedName>
    <definedName name="_DAT8" localSheetId="12">#REF!</definedName>
    <definedName name="_DAT8">#REF!</definedName>
    <definedName name="_DAT9" localSheetId="8">#REF!</definedName>
    <definedName name="_DAT9" localSheetId="12">#REF!</definedName>
    <definedName name="_DAT9">#REF!</definedName>
    <definedName name="_xlnm._FilterDatabase" localSheetId="5" hidden="1">'Event Summary'!$A$8:$G$10</definedName>
    <definedName name="Achieve_GRC" localSheetId="8">#REF!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8">#REF!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8">#REF!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8">#REF!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8">#REF!</definedName>
    <definedName name="DATA1" localSheetId="12">#REF!</definedName>
    <definedName name="DATA1">#REF!</definedName>
    <definedName name="DATA10" localSheetId="8">#REF!</definedName>
    <definedName name="DATA10" localSheetId="12">#REF!</definedName>
    <definedName name="DATA10">#REF!</definedName>
    <definedName name="DATA11" localSheetId="8">#REF!</definedName>
    <definedName name="DATA11" localSheetId="12">#REF!</definedName>
    <definedName name="DATA11">#REF!</definedName>
    <definedName name="DATA12" localSheetId="8">#REF!</definedName>
    <definedName name="DATA12" localSheetId="12">#REF!</definedName>
    <definedName name="DATA12">#REF!</definedName>
    <definedName name="DATA13" localSheetId="8">#REF!</definedName>
    <definedName name="DATA13" localSheetId="12">#REF!</definedName>
    <definedName name="DATA13">#REF!</definedName>
    <definedName name="DATA14" localSheetId="8">#REF!</definedName>
    <definedName name="DATA14" localSheetId="12">#REF!</definedName>
    <definedName name="DATA14">#REF!</definedName>
    <definedName name="DATA15" localSheetId="8">#REF!</definedName>
    <definedName name="DATA15" localSheetId="12">#REF!</definedName>
    <definedName name="DATA15">#REF!</definedName>
    <definedName name="DATA16" localSheetId="8">#REF!</definedName>
    <definedName name="DATA16" localSheetId="12">#REF!</definedName>
    <definedName name="DATA16">#REF!</definedName>
    <definedName name="DATA17" localSheetId="8">#REF!</definedName>
    <definedName name="DATA17" localSheetId="12">#REF!</definedName>
    <definedName name="DATA17">#REF!</definedName>
    <definedName name="DATA18" localSheetId="8">#REF!</definedName>
    <definedName name="DATA18" localSheetId="12">#REF!</definedName>
    <definedName name="DATA18">#REF!</definedName>
    <definedName name="DATA19" localSheetId="8">#REF!</definedName>
    <definedName name="DATA19" localSheetId="12">#REF!</definedName>
    <definedName name="DATA19">#REF!</definedName>
    <definedName name="DATA2" localSheetId="8">#REF!</definedName>
    <definedName name="DATA2" localSheetId="12">#REF!</definedName>
    <definedName name="DATA2">#REF!</definedName>
    <definedName name="DATA20" localSheetId="8">#REF!</definedName>
    <definedName name="DATA20" localSheetId="12">#REF!</definedName>
    <definedName name="DATA20">#REF!</definedName>
    <definedName name="DATA3" localSheetId="8">#REF!</definedName>
    <definedName name="DATA3" localSheetId="12">#REF!</definedName>
    <definedName name="DATA3">#REF!</definedName>
    <definedName name="DATA4" localSheetId="8">#REF!</definedName>
    <definedName name="DATA4" localSheetId="12">#REF!</definedName>
    <definedName name="DATA4">#REF!</definedName>
    <definedName name="DATA5" localSheetId="8">#REF!</definedName>
    <definedName name="DATA5" localSheetId="12">#REF!</definedName>
    <definedName name="DATA5">#REF!</definedName>
    <definedName name="data5000">'[1]ACTMA Detail'!$N$2:$N$102</definedName>
    <definedName name="DATA6" localSheetId="8">#REF!</definedName>
    <definedName name="DATA6" localSheetId="7">#REF!</definedName>
    <definedName name="DATA6" localSheetId="12">#REF!</definedName>
    <definedName name="DATA6">#REF!</definedName>
    <definedName name="DATA7" localSheetId="8">#REF!</definedName>
    <definedName name="DATA7" localSheetId="7">#REF!</definedName>
    <definedName name="DATA7" localSheetId="12">#REF!</definedName>
    <definedName name="DATA7">#REF!</definedName>
    <definedName name="DATA8" localSheetId="8">#REF!</definedName>
    <definedName name="DATA8" localSheetId="7">#REF!</definedName>
    <definedName name="DATA8" localSheetId="12">#REF!</definedName>
    <definedName name="DATA8">#REF!</definedName>
    <definedName name="DATA9" localSheetId="8">#REF!</definedName>
    <definedName name="DATA9" localSheetId="12">#REF!</definedName>
    <definedName name="DATA9">#REF!</definedName>
    <definedName name="DayTypeList" localSheetId="8">[2]LOOKUP!$E$2:$E$14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8">#REF!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8">#REF!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8">#REF!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8">#REF!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8">#REF!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6">'Auto DR (TI) &amp; Tech Deployment'!$A$1:$M$44</definedName>
    <definedName name="_xlnm.Print_Area" localSheetId="8">'DRP Expenditures'!$A$54:$M$54</definedName>
    <definedName name="_xlnm.Print_Area" localSheetId="2">'Ex ante LI &amp; Eligibility Stats'!$A$1:$O$19</definedName>
    <definedName name="_xlnm.Print_Area" localSheetId="3">'Ex post LI &amp; Eligibility Stats'!$A$1:$O$31</definedName>
    <definedName name="_xlnm.Print_Area" localSheetId="9">'Fund Shift Log'!$A$1:$E$23</definedName>
    <definedName name="_xlnm.Print_Area" localSheetId="7">Marketing!$A$1:$Q$40</definedName>
    <definedName name="_xlnm.Print_Area" localSheetId="1">'Program MW '!$A$1:$S$57</definedName>
    <definedName name="_xlnm.Print_Area" localSheetId="12">'SDGE Costs -DPDRMA'!$A$2:$N$45</definedName>
    <definedName name="_xlnm.Print_Area" localSheetId="11">'SDGE Costs -GRC '!$A$1:$N$34</definedName>
    <definedName name="Reliability_Expectations" localSheetId="8">#REF!</definedName>
    <definedName name="Reliability_Expectations" localSheetId="2">#REF!</definedName>
    <definedName name="Reliability_Expectations" localSheetId="3">#REF!</definedName>
    <definedName name="Reliability_Expectations" localSheetId="7">#REF!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8">#REF!</definedName>
    <definedName name="Stabilization_Customer_Base" localSheetId="2">#REF!</definedName>
    <definedName name="Stabilization_Customer_Base" localSheetId="3">#REF!</definedName>
    <definedName name="Stabilization_Customer_Base" localSheetId="7">#REF!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8">#REF!</definedName>
    <definedName name="TEST0" localSheetId="7">#REF!</definedName>
    <definedName name="TEST0" localSheetId="12">#REF!</definedName>
    <definedName name="TEST0">#REF!</definedName>
    <definedName name="TEST1" localSheetId="8">#REF!</definedName>
    <definedName name="TEST1" localSheetId="12">#REF!</definedName>
    <definedName name="TEST1">#REF!</definedName>
    <definedName name="TEST10" localSheetId="8">#REF!</definedName>
    <definedName name="TEST10" localSheetId="12">#REF!</definedName>
    <definedName name="TEST10">#REF!</definedName>
    <definedName name="TEST11" localSheetId="8">#REF!</definedName>
    <definedName name="TEST11" localSheetId="12">#REF!</definedName>
    <definedName name="TEST11">#REF!</definedName>
    <definedName name="TEST12" localSheetId="8">#REF!</definedName>
    <definedName name="TEST12" localSheetId="12">#REF!</definedName>
    <definedName name="TEST12">#REF!</definedName>
    <definedName name="TEST13" localSheetId="8">#REF!</definedName>
    <definedName name="TEST13" localSheetId="12">#REF!</definedName>
    <definedName name="TEST13">#REF!</definedName>
    <definedName name="TEST14" localSheetId="8">#REF!</definedName>
    <definedName name="TEST14" localSheetId="12">#REF!</definedName>
    <definedName name="TEST14">#REF!</definedName>
    <definedName name="TEST15" localSheetId="8">#REF!</definedName>
    <definedName name="TEST15" localSheetId="12">#REF!</definedName>
    <definedName name="TEST15">#REF!</definedName>
    <definedName name="TEST16" localSheetId="8">#REF!</definedName>
    <definedName name="TEST16" localSheetId="12">#REF!</definedName>
    <definedName name="TEST16">#REF!</definedName>
    <definedName name="TEST17" localSheetId="8">#REF!</definedName>
    <definedName name="TEST17" localSheetId="12">#REF!</definedName>
    <definedName name="TEST17">#REF!</definedName>
    <definedName name="TEST18" localSheetId="8">#REF!</definedName>
    <definedName name="TEST18" localSheetId="12">#REF!</definedName>
    <definedName name="TEST18">#REF!</definedName>
    <definedName name="TEST19" localSheetId="8">#REF!</definedName>
    <definedName name="TEST19" localSheetId="12">#REF!</definedName>
    <definedName name="TEST19">#REF!</definedName>
    <definedName name="TEST2" localSheetId="8">#REF!</definedName>
    <definedName name="TEST2" localSheetId="12">#REF!</definedName>
    <definedName name="TEST2">#REF!</definedName>
    <definedName name="TEST20" localSheetId="8">#REF!</definedName>
    <definedName name="TEST20" localSheetId="12">#REF!</definedName>
    <definedName name="TEST20">#REF!</definedName>
    <definedName name="TEST21" localSheetId="8">#REF!</definedName>
    <definedName name="TEST21" localSheetId="12">#REF!</definedName>
    <definedName name="TEST21">#REF!</definedName>
    <definedName name="TEST22" localSheetId="8">#REF!</definedName>
    <definedName name="TEST22" localSheetId="12">#REF!</definedName>
    <definedName name="TEST22">#REF!</definedName>
    <definedName name="TEST23" localSheetId="8">#REF!</definedName>
    <definedName name="TEST23" localSheetId="12">#REF!</definedName>
    <definedName name="TEST23">#REF!</definedName>
    <definedName name="TEST24" localSheetId="8">#REF!</definedName>
    <definedName name="TEST24" localSheetId="12">#REF!</definedName>
    <definedName name="TEST24">#REF!</definedName>
    <definedName name="TEST25" localSheetId="8">#REF!</definedName>
    <definedName name="TEST25" localSheetId="12">#REF!</definedName>
    <definedName name="TEST25">#REF!</definedName>
    <definedName name="TEST26" localSheetId="8">#REF!</definedName>
    <definedName name="TEST26" localSheetId="12">#REF!</definedName>
    <definedName name="TEST26">#REF!</definedName>
    <definedName name="TEST27" localSheetId="8">#REF!</definedName>
    <definedName name="TEST27" localSheetId="12">#REF!</definedName>
    <definedName name="TEST27">#REF!</definedName>
    <definedName name="TEST28" localSheetId="8">#REF!</definedName>
    <definedName name="TEST28" localSheetId="12">#REF!</definedName>
    <definedName name="TEST28">#REF!</definedName>
    <definedName name="TEST3" localSheetId="8">#REF!</definedName>
    <definedName name="TEST3" localSheetId="12">#REF!</definedName>
    <definedName name="TEST3">#REF!</definedName>
    <definedName name="TEST4" localSheetId="8">#REF!</definedName>
    <definedName name="TEST4" localSheetId="12">#REF!</definedName>
    <definedName name="TEST4">#REF!</definedName>
    <definedName name="TEST5" localSheetId="8">#REF!</definedName>
    <definedName name="TEST5" localSheetId="12">#REF!</definedName>
    <definedName name="TEST5">#REF!</definedName>
    <definedName name="TEST6" localSheetId="8">#REF!</definedName>
    <definedName name="TEST6" localSheetId="12">#REF!</definedName>
    <definedName name="TEST6">#REF!</definedName>
    <definedName name="TEST7" localSheetId="8">#REF!</definedName>
    <definedName name="TEST7" localSheetId="12">#REF!</definedName>
    <definedName name="TEST7">#REF!</definedName>
    <definedName name="TEST8" localSheetId="8">#REF!</definedName>
    <definedName name="TEST8" localSheetId="12">#REF!</definedName>
    <definedName name="TEST8">#REF!</definedName>
    <definedName name="TEST9" localSheetId="8">#REF!</definedName>
    <definedName name="TEST9" localSheetId="12">#REF!</definedName>
    <definedName name="TEST9">#REF!</definedName>
    <definedName name="TESTHKEY" localSheetId="8">#REF!</definedName>
    <definedName name="TESTHKEY" localSheetId="12">#REF!</definedName>
    <definedName name="TESTHKEY">#REF!</definedName>
    <definedName name="TESTKEYS" localSheetId="8">#REF!</definedName>
    <definedName name="TESTKEYS" localSheetId="12">#REF!</definedName>
    <definedName name="TESTKEYS">#REF!</definedName>
    <definedName name="TESTVKEY" localSheetId="8">#REF!</definedName>
    <definedName name="TESTVKEY" localSheetId="12">#REF!</definedName>
    <definedName name="TESTVKEY">#REF!</definedName>
    <definedName name="Valued_Service_Provider" localSheetId="8">#REF!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8">#REF!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Stats'!$A$2:$O$28</definedName>
    <definedName name="Z_E5DF83AA_DC53_4EBF_A523_33DA0FE284E8_.wvu.PrintArea" localSheetId="1" hidden="1">'Program MW '!$A$1:$Z$48</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117" l="1"/>
  <c r="G37" i="129" l="1"/>
  <c r="G52" i="119"/>
  <c r="G31" i="134"/>
  <c r="G36" i="131" l="1"/>
  <c r="G34" i="131"/>
  <c r="G23" i="131"/>
  <c r="G24" i="131"/>
  <c r="F13" i="131"/>
  <c r="F37" i="129"/>
  <c r="N46" i="119"/>
  <c r="F36" i="131" l="1"/>
  <c r="F34" i="131"/>
  <c r="F23" i="131"/>
  <c r="F24" i="131"/>
  <c r="O36" i="117"/>
  <c r="E47" i="117"/>
  <c r="E46" i="117"/>
  <c r="D14" i="117"/>
  <c r="E14" i="117" s="1"/>
  <c r="E28" i="117"/>
  <c r="E29" i="117"/>
  <c r="E12" i="117"/>
  <c r="E11" i="117"/>
  <c r="E37" i="129" l="1"/>
  <c r="E36" i="131"/>
  <c r="E39" i="131"/>
  <c r="E34" i="131"/>
  <c r="E23" i="131"/>
  <c r="E24" i="131"/>
  <c r="D16" i="129"/>
  <c r="D13" i="129"/>
  <c r="D26" i="119"/>
  <c r="D25" i="119"/>
  <c r="D24" i="119"/>
  <c r="D22" i="119"/>
  <c r="D19" i="119"/>
  <c r="D21" i="119"/>
  <c r="D43" i="119"/>
  <c r="D17" i="119"/>
  <c r="D16" i="119"/>
  <c r="D42" i="119"/>
  <c r="D15" i="119"/>
  <c r="D13" i="119"/>
  <c r="D11" i="119"/>
  <c r="D39" i="119"/>
  <c r="D38" i="119"/>
  <c r="D10" i="119"/>
  <c r="D37" i="119"/>
  <c r="D9" i="119"/>
  <c r="D46" i="117"/>
  <c r="D45" i="117"/>
  <c r="E45" i="117" s="1"/>
  <c r="D44" i="117"/>
  <c r="E44" i="117" s="1"/>
  <c r="D34" i="117"/>
  <c r="E34" i="117" s="1"/>
  <c r="D35" i="117"/>
  <c r="D23" i="117"/>
  <c r="E23" i="117" s="1"/>
  <c r="D13" i="117"/>
  <c r="D12" i="117"/>
  <c r="D36" i="131" l="1"/>
  <c r="D34" i="131"/>
  <c r="D23" i="131"/>
  <c r="C37" i="129" l="1"/>
  <c r="C36" i="131"/>
  <c r="C34" i="131"/>
  <c r="C38" i="131"/>
  <c r="C39" i="131"/>
  <c r="C24" i="131"/>
  <c r="C23" i="131"/>
  <c r="B17" i="29" l="1"/>
  <c r="F22" i="33" l="1"/>
  <c r="H33" i="129" l="1"/>
  <c r="O15" i="117"/>
  <c r="B37" i="129" l="1"/>
  <c r="Q11" i="134" l="1"/>
  <c r="B39" i="131" l="1"/>
  <c r="B36" i="131"/>
  <c r="B34" i="131"/>
  <c r="B24" i="131"/>
  <c r="B23" i="131"/>
  <c r="O19" i="35" l="1"/>
  <c r="N19" i="35"/>
  <c r="O18" i="35"/>
  <c r="N18" i="35"/>
  <c r="O17" i="35"/>
  <c r="N17" i="35"/>
  <c r="O16" i="35"/>
  <c r="N16" i="35"/>
  <c r="O15" i="35"/>
  <c r="N15" i="35"/>
  <c r="O14" i="35"/>
  <c r="N14" i="35"/>
  <c r="O13" i="35"/>
  <c r="N13" i="35"/>
  <c r="O12" i="35"/>
  <c r="N12" i="35"/>
  <c r="O11" i="35"/>
  <c r="N11" i="35"/>
  <c r="O10" i="35"/>
  <c r="N10" i="35"/>
  <c r="O9" i="35"/>
  <c r="N9" i="35"/>
  <c r="C34" i="119" l="1"/>
  <c r="D34" i="119"/>
  <c r="E34" i="119"/>
  <c r="F34" i="119"/>
  <c r="G34" i="119"/>
  <c r="H34" i="119"/>
  <c r="I34" i="119"/>
  <c r="J34" i="119"/>
  <c r="K34" i="119"/>
  <c r="L34" i="119"/>
  <c r="M34" i="119"/>
  <c r="M31" i="134" l="1"/>
  <c r="O36" i="33" l="1"/>
  <c r="C4" i="57" l="1"/>
  <c r="L13" i="131"/>
  <c r="K13" i="131" l="1"/>
  <c r="N12" i="134"/>
  <c r="O12" i="134" s="1"/>
  <c r="N13" i="134"/>
  <c r="N14" i="134"/>
  <c r="O14" i="134" s="1"/>
  <c r="N15" i="134"/>
  <c r="O15" i="134" s="1"/>
  <c r="N16" i="134"/>
  <c r="O16" i="134" s="1"/>
  <c r="N17" i="134"/>
  <c r="O17" i="134" s="1"/>
  <c r="N18" i="134"/>
  <c r="O18" i="134" s="1"/>
  <c r="N19" i="134"/>
  <c r="O19" i="134" s="1"/>
  <c r="N20" i="134"/>
  <c r="O20" i="134" s="1"/>
  <c r="N21" i="134"/>
  <c r="O21" i="134" s="1"/>
  <c r="N22" i="134"/>
  <c r="O22" i="134" s="1"/>
  <c r="N11" i="134"/>
  <c r="O11" i="134" s="1"/>
  <c r="N23" i="134" l="1"/>
  <c r="I40" i="33" l="1"/>
  <c r="J13" i="131" l="1"/>
  <c r="J38" i="134" l="1"/>
  <c r="N10" i="119" l="1"/>
  <c r="N11" i="119"/>
  <c r="N12" i="119"/>
  <c r="N13" i="119"/>
  <c r="N14" i="119"/>
  <c r="N15" i="119"/>
  <c r="N16" i="119"/>
  <c r="N17" i="119"/>
  <c r="N18" i="119"/>
  <c r="N19" i="119"/>
  <c r="N20" i="119"/>
  <c r="N21" i="119"/>
  <c r="N22" i="119"/>
  <c r="N23" i="119"/>
  <c r="N24" i="119"/>
  <c r="N25" i="119"/>
  <c r="N26" i="119"/>
  <c r="N27" i="119"/>
  <c r="N28" i="119"/>
  <c r="N29" i="119"/>
  <c r="N30" i="119"/>
  <c r="N31" i="119"/>
  <c r="N32" i="119"/>
  <c r="N33" i="119"/>
  <c r="N37" i="119"/>
  <c r="N38" i="119"/>
  <c r="N39" i="119"/>
  <c r="N40" i="119"/>
  <c r="N41" i="119"/>
  <c r="N42" i="119"/>
  <c r="N43" i="119"/>
  <c r="N44" i="119"/>
  <c r="N45" i="119"/>
  <c r="N48" i="119"/>
  <c r="P46" i="117"/>
  <c r="P45" i="117"/>
  <c r="P44" i="117"/>
  <c r="L30" i="117"/>
  <c r="K30" i="117"/>
  <c r="J30" i="117"/>
  <c r="P48" i="117" l="1"/>
  <c r="N49" i="119"/>
  <c r="O13" i="134" l="1"/>
  <c r="O23" i="134" s="1"/>
  <c r="S44" i="33" l="1"/>
  <c r="R44" i="33"/>
  <c r="S43" i="33"/>
  <c r="R43" i="33"/>
  <c r="S42" i="33"/>
  <c r="R42" i="33"/>
  <c r="S41" i="33"/>
  <c r="R41" i="33"/>
  <c r="S40" i="33"/>
  <c r="R40" i="33"/>
  <c r="S39" i="33"/>
  <c r="R39" i="33"/>
  <c r="S38" i="33"/>
  <c r="R38" i="33"/>
  <c r="S37" i="33"/>
  <c r="R37" i="33"/>
  <c r="S36" i="33"/>
  <c r="R36" i="33"/>
  <c r="S34" i="33"/>
  <c r="R34" i="33"/>
  <c r="P44" i="33"/>
  <c r="O44" i="33"/>
  <c r="P43" i="33"/>
  <c r="O43" i="33"/>
  <c r="P42" i="33"/>
  <c r="O42" i="33"/>
  <c r="P41" i="33"/>
  <c r="O41" i="33"/>
  <c r="P40" i="33"/>
  <c r="O40" i="33"/>
  <c r="P39" i="33"/>
  <c r="O39" i="33"/>
  <c r="P38" i="33"/>
  <c r="O38" i="33"/>
  <c r="P37" i="33"/>
  <c r="O37" i="33"/>
  <c r="P36" i="33"/>
  <c r="L25" i="131" s="1"/>
  <c r="P34" i="33"/>
  <c r="O34" i="33"/>
  <c r="M44" i="33"/>
  <c r="L44" i="33"/>
  <c r="M43" i="33"/>
  <c r="L43" i="33"/>
  <c r="M42" i="33"/>
  <c r="L42" i="33"/>
  <c r="M41" i="33"/>
  <c r="L41" i="33"/>
  <c r="M40" i="33"/>
  <c r="L40" i="33"/>
  <c r="M39" i="33"/>
  <c r="L39" i="33"/>
  <c r="M38" i="33"/>
  <c r="L38" i="33"/>
  <c r="M37" i="33"/>
  <c r="L37" i="33"/>
  <c r="M36" i="33"/>
  <c r="K25" i="131" s="1"/>
  <c r="L36" i="33"/>
  <c r="M34" i="33"/>
  <c r="L34" i="33"/>
  <c r="J44" i="33"/>
  <c r="I44" i="33"/>
  <c r="J43" i="33"/>
  <c r="I43" i="33"/>
  <c r="J42" i="33"/>
  <c r="I42" i="33"/>
  <c r="J41" i="33"/>
  <c r="I41" i="33"/>
  <c r="J40" i="33"/>
  <c r="J39" i="33"/>
  <c r="J40" i="131" s="1"/>
  <c r="I39" i="33"/>
  <c r="J38" i="33"/>
  <c r="I38" i="33"/>
  <c r="J37" i="33"/>
  <c r="I37" i="33"/>
  <c r="J36" i="33"/>
  <c r="J25" i="131" s="1"/>
  <c r="I36" i="33"/>
  <c r="J34" i="33"/>
  <c r="I34" i="33"/>
  <c r="S31" i="33"/>
  <c r="R31" i="33"/>
  <c r="P31" i="33"/>
  <c r="O31" i="33"/>
  <c r="M31" i="33"/>
  <c r="L31" i="33"/>
  <c r="J31" i="33"/>
  <c r="I31" i="33"/>
  <c r="F31" i="33"/>
  <c r="C31" i="33"/>
  <c r="G31" i="33"/>
  <c r="L40" i="131" l="1"/>
  <c r="K40" i="131"/>
  <c r="G44" i="33"/>
  <c r="F44" i="33"/>
  <c r="G43" i="33"/>
  <c r="F43" i="33"/>
  <c r="G42" i="33"/>
  <c r="F42" i="33"/>
  <c r="G41" i="33"/>
  <c r="F41" i="33"/>
  <c r="G40" i="33"/>
  <c r="F40" i="33"/>
  <c r="G39" i="33"/>
  <c r="F39" i="33"/>
  <c r="G38" i="33"/>
  <c r="F38" i="33"/>
  <c r="G37" i="33"/>
  <c r="F37" i="33"/>
  <c r="G36" i="33"/>
  <c r="I25" i="131" s="1"/>
  <c r="F36" i="33"/>
  <c r="G34" i="33"/>
  <c r="F34" i="33"/>
  <c r="D36" i="33"/>
  <c r="D37" i="33"/>
  <c r="D38" i="33"/>
  <c r="D39" i="33"/>
  <c r="D40" i="33"/>
  <c r="D41" i="33"/>
  <c r="D42" i="33"/>
  <c r="D43" i="33"/>
  <c r="D44" i="33"/>
  <c r="C36" i="33"/>
  <c r="C37" i="33"/>
  <c r="C38" i="33"/>
  <c r="C39" i="33"/>
  <c r="C40" i="33"/>
  <c r="C41" i="33"/>
  <c r="C42" i="33"/>
  <c r="C43" i="33"/>
  <c r="C44" i="33"/>
  <c r="D34" i="33"/>
  <c r="C34" i="33"/>
  <c r="D31" i="33"/>
  <c r="S45" i="33" l="1"/>
  <c r="R45" i="33"/>
  <c r="S32" i="33"/>
  <c r="R32" i="33"/>
  <c r="P45" i="33"/>
  <c r="O45" i="33"/>
  <c r="P32" i="33"/>
  <c r="O32" i="33"/>
  <c r="L45" i="33"/>
  <c r="M32" i="33"/>
  <c r="L32" i="33"/>
  <c r="J45" i="33"/>
  <c r="J32" i="33"/>
  <c r="I32" i="33"/>
  <c r="F45" i="33"/>
  <c r="G32" i="33"/>
  <c r="F32" i="33"/>
  <c r="D45" i="33"/>
  <c r="D32" i="33"/>
  <c r="C32" i="33"/>
  <c r="R46" i="33" l="1"/>
  <c r="S46" i="33"/>
  <c r="O46" i="33"/>
  <c r="G45" i="33"/>
  <c r="G46" i="33" s="1"/>
  <c r="M45" i="33"/>
  <c r="M46" i="33" s="1"/>
  <c r="C45" i="33"/>
  <c r="C46" i="33" s="1"/>
  <c r="I45" i="33"/>
  <c r="I46" i="33" s="1"/>
  <c r="P46" i="33"/>
  <c r="L46" i="33"/>
  <c r="J46" i="33"/>
  <c r="F46" i="33"/>
  <c r="D46" i="33"/>
  <c r="N13" i="129" l="1"/>
  <c r="N14" i="129"/>
  <c r="N15" i="129"/>
  <c r="N16" i="129"/>
  <c r="S22" i="33" l="1"/>
  <c r="R22" i="33"/>
  <c r="S21" i="33"/>
  <c r="R21" i="33"/>
  <c r="S20" i="33"/>
  <c r="R20" i="33"/>
  <c r="S19" i="33"/>
  <c r="R19" i="33"/>
  <c r="S18" i="33"/>
  <c r="R18" i="33"/>
  <c r="S17" i="33"/>
  <c r="R17" i="33"/>
  <c r="S16" i="33"/>
  <c r="R16" i="33"/>
  <c r="S15" i="33"/>
  <c r="R15" i="33"/>
  <c r="G33" i="131" s="1"/>
  <c r="S14" i="33"/>
  <c r="G22" i="131" s="1"/>
  <c r="R14" i="33"/>
  <c r="S12" i="33"/>
  <c r="R12" i="33"/>
  <c r="S9" i="33"/>
  <c r="S10" i="33" s="1"/>
  <c r="R9" i="33"/>
  <c r="R10" i="33" s="1"/>
  <c r="G23" i="134" l="1"/>
  <c r="N15" i="117" l="1"/>
  <c r="N14" i="117"/>
  <c r="O14" i="117" s="1"/>
  <c r="N13" i="117"/>
  <c r="N12" i="117"/>
  <c r="O12" i="117" s="1"/>
  <c r="O13" i="117" l="1"/>
  <c r="D24" i="131"/>
  <c r="P9" i="33" l="1"/>
  <c r="O9" i="33"/>
  <c r="P22" i="33" l="1"/>
  <c r="O22" i="33"/>
  <c r="P21" i="33"/>
  <c r="O21" i="33"/>
  <c r="P20" i="33"/>
  <c r="O20" i="33"/>
  <c r="P19" i="33"/>
  <c r="O19" i="33"/>
  <c r="P18" i="33"/>
  <c r="O18" i="33"/>
  <c r="P17" i="33"/>
  <c r="O17" i="33"/>
  <c r="P16" i="33"/>
  <c r="O16" i="33"/>
  <c r="P15" i="33"/>
  <c r="O15" i="33"/>
  <c r="P14" i="33"/>
  <c r="O14" i="33"/>
  <c r="P12" i="33"/>
  <c r="O12" i="33"/>
  <c r="F33" i="131" l="1"/>
  <c r="F40" i="131" s="1"/>
  <c r="F22" i="131"/>
  <c r="F25" i="131" s="1"/>
  <c r="N23" i="33"/>
  <c r="F23" i="134" l="1"/>
  <c r="M40" i="131" l="1"/>
  <c r="I40" i="131"/>
  <c r="H40" i="131"/>
  <c r="G40" i="131"/>
  <c r="P10" i="33"/>
  <c r="M22" i="33" l="1"/>
  <c r="L22" i="33"/>
  <c r="M21" i="33"/>
  <c r="L21" i="33"/>
  <c r="M20" i="33"/>
  <c r="L20" i="33"/>
  <c r="M19" i="33"/>
  <c r="L19" i="33"/>
  <c r="M18" i="33"/>
  <c r="L18" i="33"/>
  <c r="M17" i="33"/>
  <c r="L17" i="33"/>
  <c r="M16" i="33"/>
  <c r="L16" i="33"/>
  <c r="M15" i="33"/>
  <c r="E33" i="131" s="1"/>
  <c r="L15" i="33"/>
  <c r="M14" i="33"/>
  <c r="E22" i="131" s="1"/>
  <c r="E25" i="131" s="1"/>
  <c r="L14" i="33"/>
  <c r="M12" i="33"/>
  <c r="L12" i="33"/>
  <c r="M9" i="33"/>
  <c r="M10" i="33" s="1"/>
  <c r="L9" i="33"/>
  <c r="L10" i="33" s="1"/>
  <c r="M23" i="33" l="1"/>
  <c r="M24" i="33" s="1"/>
  <c r="L23" i="33"/>
  <c r="L24" i="33" s="1"/>
  <c r="D39" i="131" l="1"/>
  <c r="J22" i="33" l="1"/>
  <c r="J21" i="33"/>
  <c r="J20" i="33"/>
  <c r="J19" i="33"/>
  <c r="J18" i="33"/>
  <c r="J17" i="33"/>
  <c r="J16" i="33"/>
  <c r="J15" i="33"/>
  <c r="D33" i="131" s="1"/>
  <c r="J14" i="33"/>
  <c r="D22" i="131" s="1"/>
  <c r="D25" i="131" s="1"/>
  <c r="J12" i="33"/>
  <c r="J9" i="33"/>
  <c r="I22" i="33"/>
  <c r="I21" i="33"/>
  <c r="I20" i="33"/>
  <c r="I19" i="33"/>
  <c r="I18" i="33"/>
  <c r="I17" i="33"/>
  <c r="I16" i="33"/>
  <c r="I15" i="33"/>
  <c r="I14" i="33"/>
  <c r="I12" i="33"/>
  <c r="I9" i="33"/>
  <c r="D23" i="134" l="1"/>
  <c r="B38" i="131" l="1"/>
  <c r="D17" i="33" l="1"/>
  <c r="C14" i="33"/>
  <c r="D16" i="33"/>
  <c r="M49" i="119" l="1"/>
  <c r="L49" i="119"/>
  <c r="K49" i="119"/>
  <c r="J49" i="119"/>
  <c r="I49" i="119"/>
  <c r="H49" i="119"/>
  <c r="G49" i="119"/>
  <c r="F49" i="119"/>
  <c r="E49" i="119"/>
  <c r="D49" i="119"/>
  <c r="C49" i="119"/>
  <c r="B49" i="119"/>
  <c r="B23" i="134"/>
  <c r="N37" i="134" l="1"/>
  <c r="O37" i="134" s="1"/>
  <c r="N36" i="134"/>
  <c r="O36" i="134" s="1"/>
  <c r="N35" i="134"/>
  <c r="O35" i="134" s="1"/>
  <c r="N34" i="134"/>
  <c r="O34" i="134" s="1"/>
  <c r="N30" i="134"/>
  <c r="O30" i="134" s="1"/>
  <c r="N29" i="134"/>
  <c r="O29" i="134" s="1"/>
  <c r="N28" i="134"/>
  <c r="O28" i="134" s="1"/>
  <c r="N27" i="134"/>
  <c r="O27" i="134" s="1"/>
  <c r="N26" i="134"/>
  <c r="O26" i="134" s="1"/>
  <c r="N38" i="134" l="1"/>
  <c r="N31" i="134"/>
  <c r="N29" i="117" l="1"/>
  <c r="O29" i="117" s="1"/>
  <c r="M13" i="131"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N8" i="35" l="1"/>
  <c r="E23" i="33"/>
  <c r="C31" i="134"/>
  <c r="C16" i="33"/>
  <c r="H9" i="136" s="1"/>
  <c r="C17" i="33"/>
  <c r="H10" i="136" s="1"/>
  <c r="H7" i="136"/>
  <c r="E32" i="33"/>
  <c r="C15" i="33"/>
  <c r="H8" i="136" s="1"/>
  <c r="B34" i="119"/>
  <c r="B50" i="119" s="1"/>
  <c r="B52" i="119" s="1"/>
  <c r="Q15" i="134"/>
  <c r="Q23" i="134" s="1"/>
  <c r="P30" i="117"/>
  <c r="P16" i="117"/>
  <c r="B20" i="117"/>
  <c r="C20" i="117"/>
  <c r="D20" i="117"/>
  <c r="E20" i="117"/>
  <c r="F20" i="117"/>
  <c r="G20" i="117"/>
  <c r="H20" i="117"/>
  <c r="I20" i="117"/>
  <c r="J20" i="117"/>
  <c r="K20" i="117"/>
  <c r="L20" i="117"/>
  <c r="M20" i="117"/>
  <c r="N47" i="117"/>
  <c r="O47" i="117" s="1"/>
  <c r="N34" i="117"/>
  <c r="O34" i="117" s="1"/>
  <c r="N33" i="117"/>
  <c r="N35" i="117"/>
  <c r="O35" i="117" s="1"/>
  <c r="N36" i="117"/>
  <c r="P37" i="117"/>
  <c r="N19" i="117"/>
  <c r="N11" i="117"/>
  <c r="N16" i="117" s="1"/>
  <c r="F15" i="33"/>
  <c r="G15" i="33"/>
  <c r="F16" i="33"/>
  <c r="G16" i="33"/>
  <c r="F17" i="33"/>
  <c r="G17" i="33"/>
  <c r="F18" i="33"/>
  <c r="D37" i="131" s="1"/>
  <c r="F19" i="33"/>
  <c r="D38" i="131" s="1"/>
  <c r="G18" i="33"/>
  <c r="E37" i="131" s="1"/>
  <c r="G19" i="33"/>
  <c r="E38" i="131" s="1"/>
  <c r="D14" i="33"/>
  <c r="B22" i="131" s="1"/>
  <c r="F14" i="33"/>
  <c r="H20" i="136" s="1"/>
  <c r="G14" i="33"/>
  <c r="C22" i="131" s="1"/>
  <c r="H33" i="136"/>
  <c r="H46" i="136"/>
  <c r="M25" i="131"/>
  <c r="M17" i="129"/>
  <c r="M24" i="129"/>
  <c r="M28" i="129"/>
  <c r="M33" i="129"/>
  <c r="B33" i="129"/>
  <c r="C33" i="129"/>
  <c r="D33" i="129"/>
  <c r="E33" i="129"/>
  <c r="F33" i="129"/>
  <c r="G33" i="129"/>
  <c r="I33" i="129"/>
  <c r="J33" i="129"/>
  <c r="K33" i="129"/>
  <c r="L33" i="129"/>
  <c r="N46" i="117"/>
  <c r="O46" i="117" s="1"/>
  <c r="N45" i="117"/>
  <c r="O45" i="117" s="1"/>
  <c r="N44" i="117"/>
  <c r="O44" i="117" s="1"/>
  <c r="H120" i="136"/>
  <c r="K16" i="117"/>
  <c r="H107" i="136"/>
  <c r="N9" i="119"/>
  <c r="B17" i="129"/>
  <c r="B24" i="129"/>
  <c r="B28" i="129"/>
  <c r="C24" i="129"/>
  <c r="D24" i="129"/>
  <c r="E24" i="129"/>
  <c r="F24" i="129"/>
  <c r="G24" i="129"/>
  <c r="H24" i="129"/>
  <c r="I24" i="129"/>
  <c r="J24" i="129"/>
  <c r="K24" i="129"/>
  <c r="L24" i="129"/>
  <c r="D17" i="129"/>
  <c r="D28" i="129"/>
  <c r="F17" i="129"/>
  <c r="F28" i="129"/>
  <c r="L17" i="129"/>
  <c r="L28" i="129"/>
  <c r="N20" i="129"/>
  <c r="Q48" i="117"/>
  <c r="Q16" i="117"/>
  <c r="G13" i="131"/>
  <c r="E13" i="131"/>
  <c r="G48" i="117"/>
  <c r="G41" i="117"/>
  <c r="G37" i="117"/>
  <c r="G30" i="117"/>
  <c r="G24" i="117"/>
  <c r="G16" i="117"/>
  <c r="D13" i="131"/>
  <c r="D38" i="134"/>
  <c r="C13" i="131"/>
  <c r="M16" i="117"/>
  <c r="L16" i="117"/>
  <c r="J16" i="117"/>
  <c r="I16" i="117"/>
  <c r="H16" i="117"/>
  <c r="F16" i="117"/>
  <c r="E16" i="117"/>
  <c r="D16" i="117"/>
  <c r="C16" i="117"/>
  <c r="P41" i="117"/>
  <c r="P24" i="117"/>
  <c r="P20" i="117"/>
  <c r="Q20" i="117"/>
  <c r="P38" i="134"/>
  <c r="M38" i="134"/>
  <c r="L38" i="134"/>
  <c r="K38" i="134"/>
  <c r="I38" i="134"/>
  <c r="H38" i="134"/>
  <c r="G38" i="134"/>
  <c r="F38" i="134"/>
  <c r="E38" i="134"/>
  <c r="C38" i="134"/>
  <c r="B38" i="134"/>
  <c r="L31" i="134"/>
  <c r="K31" i="134"/>
  <c r="J31" i="134"/>
  <c r="I31" i="134"/>
  <c r="H31" i="134"/>
  <c r="F31" i="134"/>
  <c r="E31" i="134"/>
  <c r="D31" i="134"/>
  <c r="B31" i="134"/>
  <c r="M23" i="134"/>
  <c r="L23" i="134"/>
  <c r="K23" i="134"/>
  <c r="J23" i="134"/>
  <c r="I23" i="134"/>
  <c r="H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24" i="117"/>
  <c r="R15" i="117"/>
  <c r="H73" i="136"/>
  <c r="H68" i="136"/>
  <c r="H72" i="136"/>
  <c r="H74" i="136"/>
  <c r="H75" i="136"/>
  <c r="H76" i="136"/>
  <c r="H77" i="136"/>
  <c r="H78" i="136"/>
  <c r="H79" i="136"/>
  <c r="D15" i="33"/>
  <c r="B33" i="131" s="1"/>
  <c r="D32" i="131"/>
  <c r="F32" i="131" s="1"/>
  <c r="H32" i="131" s="1"/>
  <c r="J32" i="131" s="1"/>
  <c r="C32" i="131"/>
  <c r="E32" i="131" s="1"/>
  <c r="G32" i="131" s="1"/>
  <c r="M32" i="131"/>
  <c r="C18" i="33"/>
  <c r="H11" i="136" s="1"/>
  <c r="D18"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K24" i="117"/>
  <c r="M24" i="117"/>
  <c r="Q24" i="117"/>
  <c r="N27" i="117"/>
  <c r="O27" i="117" s="1"/>
  <c r="N28" i="117"/>
  <c r="O28" i="117" s="1"/>
  <c r="M30" i="117"/>
  <c r="Q30" i="117"/>
  <c r="K37" i="117"/>
  <c r="L37" i="117"/>
  <c r="M37" i="117"/>
  <c r="M41" i="117"/>
  <c r="Q37" i="117"/>
  <c r="N40" i="117"/>
  <c r="O40" i="117" s="1"/>
  <c r="K41" i="117"/>
  <c r="L41" i="117"/>
  <c r="Q41" i="117"/>
  <c r="D9" i="33"/>
  <c r="D10" i="33" s="1"/>
  <c r="D12" i="33"/>
  <c r="D19" i="33"/>
  <c r="D21" i="33"/>
  <c r="D22"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I50" i="119"/>
  <c r="E3" i="119"/>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P42" i="36" s="1"/>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O7" i="36"/>
  <c r="L7" i="36"/>
  <c r="K7" i="36"/>
  <c r="H7" i="36"/>
  <c r="D7" i="36"/>
  <c r="C7" i="36"/>
  <c r="C15" i="36" s="1"/>
  <c r="U6" i="36"/>
  <c r="U5" i="36"/>
  <c r="Q6" i="36"/>
  <c r="Q5" i="36"/>
  <c r="M6" i="36"/>
  <c r="M5" i="36"/>
  <c r="I6" i="36"/>
  <c r="E6" i="36"/>
  <c r="E5" i="36"/>
  <c r="I5" i="36"/>
  <c r="H3" i="35"/>
  <c r="H3" i="34"/>
  <c r="Q45" i="33"/>
  <c r="Q32" i="33"/>
  <c r="N45" i="33"/>
  <c r="K45" i="33"/>
  <c r="K32" i="33"/>
  <c r="H45" i="33"/>
  <c r="E45" i="33"/>
  <c r="B45" i="33"/>
  <c r="B32" i="33"/>
  <c r="H146" i="136"/>
  <c r="H25" i="131"/>
  <c r="H133" i="136"/>
  <c r="H94" i="136"/>
  <c r="N32" i="33"/>
  <c r="H32" i="33"/>
  <c r="C27" i="33"/>
  <c r="Q23" i="33"/>
  <c r="Q10" i="33"/>
  <c r="K23" i="33"/>
  <c r="H23" i="33"/>
  <c r="H66" i="136"/>
  <c r="H53" i="136"/>
  <c r="H40" i="136"/>
  <c r="G22" i="33"/>
  <c r="H27" i="136"/>
  <c r="C22" i="33"/>
  <c r="H14" i="136" s="1"/>
  <c r="G21" i="33"/>
  <c r="F21" i="33"/>
  <c r="B23" i="33"/>
  <c r="B10" i="33"/>
  <c r="C19" i="33"/>
  <c r="H12" i="136" s="1"/>
  <c r="G25" i="131"/>
  <c r="H59" i="136"/>
  <c r="H55" i="136"/>
  <c r="H42" i="136"/>
  <c r="H29" i="136"/>
  <c r="G12" i="33"/>
  <c r="F12" i="33"/>
  <c r="H16" i="136" s="1"/>
  <c r="C12" i="33"/>
  <c r="H3" i="136" s="1"/>
  <c r="N10" i="33"/>
  <c r="K10" i="33"/>
  <c r="H10" i="33"/>
  <c r="E10" i="33"/>
  <c r="J10" i="33"/>
  <c r="G9" i="33"/>
  <c r="G10" i="33" s="1"/>
  <c r="F9" i="33"/>
  <c r="C9" i="33"/>
  <c r="C21" i="33"/>
  <c r="H13" i="136" s="1"/>
  <c r="F4" i="33"/>
  <c r="D4" i="33"/>
  <c r="D27" i="33" s="1"/>
  <c r="E40" i="131" l="1"/>
  <c r="O11" i="117"/>
  <c r="P15" i="36"/>
  <c r="Q50" i="117"/>
  <c r="O19" i="117"/>
  <c r="O20" i="117" s="1"/>
  <c r="N20" i="117"/>
  <c r="N48" i="117"/>
  <c r="O24" i="117"/>
  <c r="R24" i="117" s="1"/>
  <c r="N24" i="117"/>
  <c r="N34" i="119"/>
  <c r="N50" i="119" s="1"/>
  <c r="P50" i="117"/>
  <c r="N24" i="33"/>
  <c r="D40" i="131"/>
  <c r="H147" i="136"/>
  <c r="H134" i="136"/>
  <c r="H82" i="136"/>
  <c r="H121" i="136"/>
  <c r="H108" i="136"/>
  <c r="H95" i="136"/>
  <c r="G147" i="136"/>
  <c r="G134" i="136"/>
  <c r="G121" i="136"/>
  <c r="G108" i="136"/>
  <c r="G95" i="136"/>
  <c r="G82" i="136"/>
  <c r="C25" i="131"/>
  <c r="C33" i="131"/>
  <c r="C40" i="131" s="1"/>
  <c r="N46" i="33"/>
  <c r="H85" i="136"/>
  <c r="D42" i="36"/>
  <c r="B50" i="117"/>
  <c r="O33" i="117"/>
  <c r="R33" i="117" s="1"/>
  <c r="R28" i="117"/>
  <c r="R34" i="117"/>
  <c r="R27" i="117"/>
  <c r="R13" i="117"/>
  <c r="R36" i="117"/>
  <c r="R47" i="117"/>
  <c r="R45" i="117"/>
  <c r="R11" i="117"/>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6" i="33"/>
  <c r="H132" i="136"/>
  <c r="C10" i="33"/>
  <c r="H2" i="136"/>
  <c r="H67" i="136"/>
  <c r="H80" i="136"/>
  <c r="F10" i="33"/>
  <c r="H15" i="136"/>
  <c r="H41" i="136"/>
  <c r="I10" i="33"/>
  <c r="H28" i="136"/>
  <c r="O10" i="33"/>
  <c r="H54" i="136"/>
  <c r="H119" i="136"/>
  <c r="H106" i="136"/>
  <c r="H93" i="136"/>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4" i="33"/>
  <c r="Q33" i="36"/>
  <c r="Q42" i="36" s="1"/>
  <c r="H15" i="36"/>
  <c r="X15" i="36"/>
  <c r="G15" i="36"/>
  <c r="C50" i="119"/>
  <c r="C52" i="119" s="1"/>
  <c r="Y13" i="36"/>
  <c r="E33" i="36"/>
  <c r="E42" i="36" s="1"/>
  <c r="F50" i="119"/>
  <c r="F52" i="119" s="1"/>
  <c r="D15" i="36"/>
  <c r="O15" i="36"/>
  <c r="L31" i="120"/>
  <c r="E36" i="129"/>
  <c r="E7" i="36"/>
  <c r="E15" i="36" s="1"/>
  <c r="Q7" i="36"/>
  <c r="Q15" i="36" s="1"/>
  <c r="Y7" i="36"/>
  <c r="H42" i="36"/>
  <c r="B31" i="120"/>
  <c r="H36" i="129"/>
  <c r="L50" i="117"/>
  <c r="R14" i="117"/>
  <c r="N33" i="129"/>
  <c r="L50" i="119"/>
  <c r="I33" i="36"/>
  <c r="K31" i="120"/>
  <c r="F31" i="120"/>
  <c r="E31" i="120"/>
  <c r="B36" i="129"/>
  <c r="M36" i="129"/>
  <c r="L36" i="129"/>
  <c r="N14" i="120"/>
  <c r="O38" i="134"/>
  <c r="I50" i="117"/>
  <c r="C23" i="33"/>
  <c r="M50" i="119"/>
  <c r="E50" i="119"/>
  <c r="E52" i="119" s="1"/>
  <c r="G50" i="119"/>
  <c r="J50" i="119"/>
  <c r="D50" i="119"/>
  <c r="D52" i="119" s="1"/>
  <c r="K50" i="119"/>
  <c r="Q24" i="33"/>
  <c r="C31" i="120"/>
  <c r="I36" i="129"/>
  <c r="D50" i="117"/>
  <c r="G50" i="117"/>
  <c r="G23" i="33"/>
  <c r="G24" i="33" s="1"/>
  <c r="B24" i="33"/>
  <c r="Q46" i="33"/>
  <c r="I7" i="36"/>
  <c r="I15" i="36" s="1"/>
  <c r="T15" i="36"/>
  <c r="Y33" i="36"/>
  <c r="Y42" i="36" s="1"/>
  <c r="M40" i="36"/>
  <c r="H50" i="119"/>
  <c r="M31" i="120"/>
  <c r="I31" i="120"/>
  <c r="N22" i="120"/>
  <c r="C36" i="129"/>
  <c r="J36" i="129"/>
  <c r="G36" i="129"/>
  <c r="K36" i="129"/>
  <c r="H24" i="33"/>
  <c r="E50" i="117"/>
  <c r="N28" i="120"/>
  <c r="O23" i="33"/>
  <c r="K46" i="33"/>
  <c r="W15" i="36"/>
  <c r="G42" i="36"/>
  <c r="U33" i="36"/>
  <c r="U42" i="36" s="1"/>
  <c r="J31" i="120"/>
  <c r="F50" i="117"/>
  <c r="M50" i="117"/>
  <c r="K15" i="36"/>
  <c r="S42" i="36"/>
  <c r="W42" i="36"/>
  <c r="I40" i="36"/>
  <c r="N18" i="120"/>
  <c r="D31" i="120"/>
  <c r="N41" i="117"/>
  <c r="K50" i="117"/>
  <c r="I4" i="33"/>
  <c r="F27" i="33"/>
  <c r="G4" i="33"/>
  <c r="G27" i="33" s="1"/>
  <c r="N28" i="129"/>
  <c r="N17" i="129"/>
  <c r="M33" i="36"/>
  <c r="K42" i="36"/>
  <c r="K24" i="33"/>
  <c r="U7" i="36"/>
  <c r="U15" i="36" s="1"/>
  <c r="D23" i="33"/>
  <c r="D24" i="33" s="1"/>
  <c r="C50" i="117"/>
  <c r="F36" i="129"/>
  <c r="R46" i="117"/>
  <c r="J23" i="33"/>
  <c r="J24" i="33" s="1"/>
  <c r="P23" i="33"/>
  <c r="P24" i="33" s="1"/>
  <c r="E46" i="33"/>
  <c r="B46" i="33"/>
  <c r="H31" i="120"/>
  <c r="O31" i="134"/>
  <c r="F23" i="33"/>
  <c r="I23" i="33"/>
  <c r="R40" i="117"/>
  <c r="O41" i="117"/>
  <c r="R41" i="117" s="1"/>
  <c r="R35" i="117"/>
  <c r="N37" i="117"/>
  <c r="N30" i="117"/>
  <c r="H50" i="117"/>
  <c r="R12" i="117"/>
  <c r="B25" i="131"/>
  <c r="G31" i="120"/>
  <c r="N24" i="129"/>
  <c r="R23" i="33"/>
  <c r="S23" i="33"/>
  <c r="S24" i="33" s="1"/>
  <c r="N36" i="129" l="1"/>
  <c r="N52" i="119"/>
  <c r="Y15" i="36"/>
  <c r="O48" i="117"/>
  <c r="R48" i="117" s="1"/>
  <c r="R44" i="117"/>
  <c r="R23" i="117"/>
  <c r="O16" i="117"/>
  <c r="I42" i="36"/>
  <c r="N50" i="117"/>
  <c r="O30" i="117"/>
  <c r="R30" i="117" s="1"/>
  <c r="B40" i="131"/>
  <c r="O37" i="117"/>
  <c r="R37" i="117" s="1"/>
  <c r="C24" i="33"/>
  <c r="O24" i="33"/>
  <c r="R24" i="33"/>
  <c r="I24" i="33"/>
  <c r="F24" i="33"/>
  <c r="N37" i="129"/>
  <c r="M42" i="36"/>
  <c r="N31" i="120"/>
  <c r="J4" i="33"/>
  <c r="J27" i="33" s="1"/>
  <c r="I27" i="33"/>
  <c r="L4" i="33"/>
  <c r="R16" i="117" l="1"/>
  <c r="O50" i="117"/>
  <c r="R50" i="117" s="1"/>
  <c r="M4" i="33"/>
  <c r="M27" i="33" s="1"/>
  <c r="O4" i="33"/>
  <c r="L27" i="33"/>
  <c r="O27" i="33" l="1"/>
  <c r="P4" i="33"/>
  <c r="P27" i="33" s="1"/>
  <c r="R4" i="33"/>
  <c r="S4" i="33" l="1"/>
  <c r="S27" i="33" s="1"/>
  <c r="R27" i="33"/>
</calcChain>
</file>

<file path=xl/sharedStrings.xml><?xml version="1.0" encoding="utf-8"?>
<sst xmlns="http://schemas.openxmlformats.org/spreadsheetml/2006/main" count="1335" uniqueCount="348">
  <si>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</si>
  <si>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</si>
  <si>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</si>
  <si>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</si>
  <si>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</si>
  <si>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</si>
  <si>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</si>
  <si>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</si>
  <si>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</si>
  <si>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</si>
  <si>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</si>
  <si>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</si>
  <si>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</si>
  <si>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</si>
  <si>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</si>
  <si>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</si>
  <si>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</si>
  <si>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</si>
  <si>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</si>
  <si>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</si>
  <si>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</si>
  <si>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</si>
  <si>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</si>
  <si>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</si>
  <si>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</si>
  <si>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</si>
  <si>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</si>
  <si>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</si>
  <si>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</si>
  <si>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</si>
  <si>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</si>
  <si>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</si>
  <si>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</si>
  <si>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</si>
  <si>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</si>
  <si>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</si>
  <si>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</si>
  <si>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</si>
  <si>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</si>
  <si>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</si>
  <si>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</si>
  <si>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</si>
  <si>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</si>
  <si>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</si>
  <si>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</si>
  <si>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</si>
  <si>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</si>
  <si>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</si>
  <si>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</si>
  <si>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</si>
  <si>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</si>
  <si>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</si>
  <si>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</si>
  <si>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</si>
  <si>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</si>
  <si>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t>TOU-PA-P Agricultural</t>
  </si>
  <si>
    <t xml:space="preserve"> </t>
  </si>
  <si>
    <t>Sub-Total Demand Response Programs</t>
  </si>
  <si>
    <t>Total All Programs</t>
  </si>
  <si>
    <t>July</t>
  </si>
  <si>
    <t xml:space="preserve">August </t>
  </si>
  <si>
    <t>October</t>
  </si>
  <si>
    <t>December</t>
  </si>
  <si>
    <t>Notes: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</si>
  <si>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</si>
  <si>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</si>
  <si>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</si>
  <si>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</si>
  <si>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</si>
  <si>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</si>
  <si>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</si>
  <si>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</si>
  <si>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</si>
  <si>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</si>
  <si>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</si>
  <si>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</si>
  <si>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</si>
  <si>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</si>
  <si>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TOU-DR-P (Voluntary Residential) and TOU-A-P (Small Commercial) include Technology Deployment (TD).</t>
  </si>
  <si>
    <t> </t>
  </si>
  <si>
    <t>Average Ex Post Load Impact kW / Customer</t>
  </si>
  <si>
    <t xml:space="preserve">Notes: </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</si>
  <si>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</si>
  <si>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</si>
  <si>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</si>
  <si>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</si>
  <si>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</si>
  <si>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</si>
  <si>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</si>
  <si>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</si>
  <si>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</si>
  <si>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</si>
  <si>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</si>
  <si>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</si>
  <si>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</si>
  <si>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</si>
  <si>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</si>
  <si>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</si>
  <si>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</si>
  <si>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</si>
  <si>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</si>
  <si>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</si>
  <si>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</si>
  <si>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</si>
  <si>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</si>
  <si>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</si>
  <si>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</si>
  <si>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</si>
  <si>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</si>
  <si>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</si>
  <si>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</si>
  <si>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</si>
  <si>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</si>
  <si>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</si>
  <si>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</si>
  <si>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</si>
  <si>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</si>
  <si>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</si>
  <si>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</si>
  <si>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</si>
  <si>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</si>
  <si>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</si>
  <si>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</si>
  <si>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</si>
  <si>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</si>
  <si>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</si>
  <si>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</si>
  <si>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</si>
  <si>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</si>
  <si>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</si>
  <si>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 xml:space="preserve">Back Up Generators (BUGs) </t>
  </si>
  <si>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</si>
  <si>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</si>
  <si>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</si>
  <si>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</si>
  <si>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</si>
  <si>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</si>
  <si>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</si>
  <si>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</si>
  <si>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</si>
  <si>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</si>
  <si>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</si>
  <si>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</si>
  <si>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t xml:space="preserve">SAN DIEGO GAS &amp; ELECTRIC REPORT COMPANY ON INTERRUPTIBLE LOAD AND DEMAND RESPONSE PROGRAMS </t>
  </si>
  <si>
    <t>YEAR TO DATE PROGRAM EXPENDITURES</t>
  </si>
  <si>
    <t>Cost Item</t>
  </si>
  <si>
    <t>5-Year Funding (2018-2022)</t>
  </si>
  <si>
    <t xml:space="preserve">Fund shift Adjustments </t>
  </si>
  <si>
    <t>Percent Funding</t>
  </si>
  <si>
    <t>Category 1: Supply Side DR Programs</t>
  </si>
  <si>
    <t>AC Saver Day-Ahead</t>
  </si>
  <si>
    <t xml:space="preserve">AC Saver Day-Of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</si>
  <si>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</si>
  <si>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</si>
  <si>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</si>
  <si>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</si>
  <si>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</si>
  <si>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</si>
  <si>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</si>
  <si>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</si>
  <si>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</si>
  <si>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</si>
  <si>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</si>
  <si>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</si>
  <si>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</si>
  <si>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</si>
  <si>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</si>
  <si>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</si>
  <si>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t>Category 6:  Marketing, Education, and Outreach</t>
  </si>
  <si>
    <t xml:space="preserve"> Budget Category 6 Total</t>
  </si>
  <si>
    <t>Category 7:  Portfolio Support</t>
  </si>
  <si>
    <t>Regulatory Policy &amp; Program Support (Gen. Admin.)</t>
  </si>
  <si>
    <t>DR Potential Study</t>
  </si>
  <si>
    <t xml:space="preserve"> Budget Category 7 Total</t>
  </si>
  <si>
    <t>Total Incremental Cost</t>
  </si>
  <si>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</si>
  <si>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</si>
  <si>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</si>
  <si>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</si>
  <si>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</si>
  <si>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</si>
  <si>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</si>
  <si>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</si>
  <si>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</si>
  <si>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</si>
  <si>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</si>
  <si>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</si>
  <si>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</si>
  <si>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</si>
  <si>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</si>
  <si>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</si>
  <si>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</si>
  <si>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</si>
  <si>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</si>
  <si>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</si>
  <si>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</si>
  <si>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</si>
  <si>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</si>
  <si>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</si>
  <si>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</si>
  <si>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</si>
  <si>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</si>
  <si>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</si>
  <si>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t>General Admin</t>
  </si>
  <si>
    <r>
      <t>SW-AG</t>
    </r>
    <r>
      <rPr>
        <vertAlign val="superscript"/>
        <sz val="9"/>
        <color rgb="FFFF0000"/>
        <rFont val="Arial"/>
        <family val="2"/>
      </rPr>
      <t xml:space="preserve"> </t>
    </r>
  </si>
  <si>
    <t xml:space="preserve">Local Marketing Res and Non-Res </t>
  </si>
  <si>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</si>
  <si>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</si>
  <si>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</si>
  <si>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</si>
  <si>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</si>
  <si>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</si>
  <si>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</si>
  <si>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</si>
  <si>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</si>
  <si>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</si>
  <si>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</si>
  <si>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</si>
  <si>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</si>
  <si>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</si>
  <si>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</si>
  <si>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</si>
  <si>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</si>
  <si>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</si>
  <si>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</si>
  <si>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</si>
  <si>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</si>
  <si>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</si>
  <si>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</si>
  <si>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</si>
  <si>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</si>
  <si>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</si>
  <si>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Operations </t>
    </r>
    <r>
      <rPr>
        <vertAlign val="superscript"/>
        <sz val="10"/>
        <color rgb="FFFF0000"/>
        <rFont val="Arial"/>
        <family val="2"/>
      </rPr>
      <t>2</t>
    </r>
  </si>
  <si>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</si>
  <si>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</si>
  <si>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</si>
  <si>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</si>
  <si>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</si>
  <si>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</si>
  <si>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</si>
  <si>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</si>
  <si>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</si>
  <si>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t xml:space="preserve">IT Infrastructure &amp; Systems Support </t>
  </si>
  <si>
    <t xml:space="preserve">EM&amp;V </t>
  </si>
  <si>
    <t>Shifting the funds to IT will allow SDG&amp;E to properly maintain systems to ensure compliance and customer experience. IT is projected to be overspent; M&amp;E and Policy (Gen Admin) have unspent dollars that can be applied towards the IT shortfall.</t>
  </si>
  <si>
    <t>Year-to Date 2021 Expenditures</t>
  </si>
  <si>
    <t>Program Cycle-to-Date Total Expenditures (2018-2021)</t>
  </si>
  <si>
    <t>Program Cycle-to Date 2018-2021 Expenditures</t>
  </si>
  <si>
    <t>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</si>
  <si>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</si>
  <si>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</si>
  <si>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t>
  </si>
  <si>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</si>
  <si>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t>-  CPP-D, TOU-DR-P (Voluntary Residential) and TOU-A-P (Small Commercial) ex-ante estimates include Technology Deployment (TD).</t>
  </si>
  <si>
    <t>2021 Expenditures for Marketing, Education and Outreach</t>
  </si>
  <si>
    <r>
      <t>Base Interruptible Program</t>
    </r>
    <r>
      <rPr>
        <vertAlign val="superscript"/>
        <sz val="10"/>
        <color rgb="FFFF0000"/>
        <rFont val="Arial"/>
        <family val="2"/>
      </rPr>
      <t xml:space="preserve"> </t>
    </r>
  </si>
  <si>
    <t xml:space="preserve">Capacity Bidding Program </t>
  </si>
  <si>
    <r>
      <t>AC Saver Day Ahead</t>
    </r>
    <r>
      <rPr>
        <vertAlign val="superscript"/>
        <sz val="10"/>
        <color rgb="FFFF0000"/>
        <rFont val="Arial"/>
        <family val="2"/>
      </rPr>
      <t xml:space="preserve"> </t>
    </r>
  </si>
  <si>
    <t>AC Saver Day Of</t>
  </si>
  <si>
    <t xml:space="preserve">Technology Deployment </t>
  </si>
  <si>
    <t xml:space="preserve">Collateral- Development, Printing, Distribution etc. (all non-labor costs) </t>
  </si>
  <si>
    <r>
      <t>Paid Media</t>
    </r>
    <r>
      <rPr>
        <vertAlign val="superscript"/>
        <sz val="10"/>
        <color rgb="FFFF0000"/>
        <rFont val="Arial"/>
        <family val="2"/>
      </rPr>
      <t xml:space="preserve"> </t>
    </r>
  </si>
  <si>
    <r>
      <t>Other Costs</t>
    </r>
    <r>
      <rPr>
        <b/>
        <vertAlign val="superscript"/>
        <sz val="10"/>
        <color rgb="FFFF0000"/>
        <rFont val="Arial"/>
        <family val="2"/>
      </rPr>
      <t xml:space="preserve"> 2</t>
    </r>
  </si>
  <si>
    <r>
      <t>IT Infrastructure &amp; Systems Support</t>
    </r>
    <r>
      <rPr>
        <vertAlign val="superscript"/>
        <sz val="10"/>
        <rFont val="Arial"/>
        <family val="2"/>
      </rPr>
      <t xml:space="preserve"> </t>
    </r>
  </si>
  <si>
    <r>
      <t>Regulatory Policy &amp; Program Support (Gen. Admin.)</t>
    </r>
    <r>
      <rPr>
        <vertAlign val="superscript"/>
        <sz val="10"/>
        <color rgb="FFFF0000"/>
        <rFont val="Arial"/>
        <family val="2"/>
      </rPr>
      <t xml:space="preserve"> </t>
    </r>
  </si>
  <si>
    <t xml:space="preserve">Local Marketing Education &amp; Outreach (LME&amp;O) </t>
  </si>
  <si>
    <t xml:space="preserve"> Budget Category 5 Total</t>
  </si>
  <si>
    <r>
      <t>Local Marketing Education &amp; Outreach (LMEO)</t>
    </r>
    <r>
      <rPr>
        <vertAlign val="superscript"/>
        <sz val="10"/>
        <color rgb="FFFF0000"/>
        <rFont val="Arial"/>
        <family val="2"/>
      </rPr>
      <t xml:space="preserve"> </t>
    </r>
  </si>
  <si>
    <t xml:space="preserve">IT </t>
  </si>
  <si>
    <r>
      <t>EM&amp;V</t>
    </r>
    <r>
      <rPr>
        <vertAlign val="superscript"/>
        <sz val="9"/>
        <color rgb="FFFF0000"/>
        <rFont val="Arial"/>
        <family val="2"/>
      </rPr>
      <t xml:space="preserve"> </t>
    </r>
  </si>
  <si>
    <r>
      <t>SW-COM</t>
    </r>
    <r>
      <rPr>
        <vertAlign val="superscript"/>
        <sz val="9"/>
        <color rgb="FFFF0000"/>
        <rFont val="Arial"/>
        <family val="2"/>
      </rPr>
      <t xml:space="preserve"> </t>
    </r>
  </si>
  <si>
    <r>
      <t>SW-IND</t>
    </r>
    <r>
      <rPr>
        <b/>
        <vertAlign val="superscript"/>
        <sz val="9"/>
        <color rgb="FFFF0000"/>
        <rFont val="Arial"/>
        <family val="2"/>
      </rPr>
      <t xml:space="preserve"> </t>
    </r>
  </si>
  <si>
    <t xml:space="preserve">Behavioral </t>
  </si>
  <si>
    <t xml:space="preserve">Rule 32 </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</si>
  <si>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</si>
  <si>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</si>
  <si>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</si>
  <si>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t xml:space="preserve">Ex Ante Estimated MW </t>
  </si>
  <si>
    <t xml:space="preserve">Ex Post Estimated MW </t>
  </si>
  <si>
    <r>
      <rPr>
        <vertAlign val="superscript"/>
        <sz val="11"/>
        <color rgb="FFFF0000"/>
        <rFont val="Arial"/>
        <family val="2"/>
      </rPr>
      <t xml:space="preserve">4 </t>
    </r>
    <r>
      <rPr>
        <vertAlign val="superscript"/>
        <sz val="11"/>
        <rFont val="Arial"/>
        <family val="2"/>
      </rPr>
      <t xml:space="preserve"> </t>
    </r>
    <r>
      <rPr>
        <sz val="11"/>
        <rFont val="Arial"/>
        <family val="2"/>
      </rPr>
      <t>On March 27, 2020 SDG&amp;E filed Advice Letter 3522-E (Tier 3) proposed to close the Over Generation Pilot, SDG&amp;E is awaiting a Decision. The Over Generation Pilot close on December 31, 2020.</t>
    </r>
  </si>
  <si>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3598-E_2898-G/3599-E_2897G.</t>
    </r>
  </si>
  <si>
    <r>
      <t>Rule 32 Meter</t>
    </r>
    <r>
      <rPr>
        <sz val="10"/>
        <rFont val="Arial"/>
        <family val="2"/>
      </rPr>
      <t xml:space="preserve"> </t>
    </r>
    <r>
      <rPr>
        <vertAlign val="superscript"/>
        <sz val="10"/>
        <color rgb="FFFF0000"/>
        <rFont val="Arial"/>
        <family val="2"/>
      </rPr>
      <t>4</t>
    </r>
  </si>
  <si>
    <r>
      <rPr>
        <vertAlign val="superscript"/>
        <sz val="11"/>
        <color rgb="FFFF0000"/>
        <rFont val="Arial"/>
        <family val="2"/>
      </rPr>
      <t>4</t>
    </r>
    <r>
      <rPr>
        <sz val="11"/>
        <rFont val="Arial"/>
        <family val="2"/>
      </rPr>
      <t xml:space="preserve"> January credit is related to labor corrections and labor accrual reversals related to a prior period expense (December 2020).</t>
    </r>
  </si>
  <si>
    <r>
      <rPr>
        <vertAlign val="superscript"/>
        <sz val="11"/>
        <color rgb="FFFF0000"/>
        <rFont val="Arial"/>
        <family val="2"/>
      </rPr>
      <t>2</t>
    </r>
    <r>
      <rPr>
        <sz val="11"/>
        <rFont val="Arial"/>
        <family val="2"/>
      </rPr>
      <t xml:space="preserve"> January credit is related to an accrual reversal. The expense accrual occurred in a prior period (December 2020).</t>
    </r>
  </si>
  <si>
    <t>Per Resolution E-4906 (issued 7/21/18), Ordering Paragraph 30 
approved a total fund shift of $934,498 of which $234,498 shifted from the Capacity Bidding Program to support the Back Up Generators (BUGs) prohibited resources restrictions.</t>
  </si>
  <si>
    <t>Technology Incentives (TI)</t>
  </si>
  <si>
    <t>Per Resolution  E-4906 (issued 7/21/18), Ordering Paragraph 30  approved a total fund shift of $934,498 of which $700,000 to be shifted from the Technology Incentives Program to support the Back Up Generators (BUGs) prohibited resources restrictions.</t>
  </si>
  <si>
    <t>EM&amp;V</t>
  </si>
  <si>
    <t xml:space="preserve">Per SDG&amp;E's AL 3031-E-B (filed July 23, 2018) a total of $194,400 to be shifted from EM&amp;V funds for the cost to test the installation of loggers, meters and the cost of the verification administrator to support the Back Up Generators (BUGs) prohibited resources restrictions.  </t>
  </si>
  <si>
    <t>Back Up Generation Resources (BUGs)</t>
  </si>
  <si>
    <t xml:space="preserve">Per Resolution E-4906 (issued 7/21/18), Ordering Paragraph 30 
approved a total fund shift of $934,498 to support the Back Up Generators (BUGs) prohibited resources restrictions.
Per SDG&amp;E's AL 3031-E-B (filed July 23, 2018) a total of $194,400 to be shifted from EM&amp;V funds for the cost to test the installation of loggers, meters and the cost of the verification administrator to support the Back Up Generators (BUGs) prohibited resources restrictions.  
</t>
  </si>
  <si>
    <t>AMDRMA</t>
  </si>
  <si>
    <t>Category 4: Emerging &amp; Enabling Technologies</t>
  </si>
  <si>
    <t>Category 7: Portfolio Support</t>
  </si>
  <si>
    <t>Program Cycle to Date (2018 - 2021)</t>
  </si>
  <si>
    <t>- The Ex-Ante average per customer estimates are based on Program Year 2019 SDG&amp;E DR Load Impacts report filed April 1st, 2020 for the months of January and February. The Ex-Ante average per customer estimates are based on Program Year 2020 SDG&amp;E DR Load Impacts report filed April 1st, 2021 for the months of March thru December.</t>
  </si>
  <si>
    <t xml:space="preserve">-  The Ex-Post average per customer estimates are based on Program Year 2020 draft SDG&amp;E DR Load Impacts report for the months of January and February. The Ex-Post average per customer estimates are based on Program Year 2020 SDG&amp;E DR Load Impacts report filed April 1st, 2021 for the months of March thru December. </t>
  </si>
  <si>
    <r>
      <rPr>
        <vertAlign val="superscript"/>
        <sz val="11"/>
        <color rgb="FFFF0000"/>
        <rFont val="Arial"/>
        <family val="2"/>
      </rPr>
      <t>1</t>
    </r>
    <r>
      <rPr>
        <sz val="11"/>
        <rFont val="Arial"/>
        <family val="2"/>
      </rPr>
      <t xml:space="preserve">  The Ex-Ante average per customer estimates are based on Program Year 2019 SDG&amp;E DR Load Impacts report filed April 1st, 2020 for the months of January and February. The Ex-Ante average per customer estimates are based on Program Year 2020 SDG&amp;E DR Load Impacts report filed April 1st, 2021 for the months of March thru December. </t>
    </r>
  </si>
  <si>
    <r>
      <rPr>
        <vertAlign val="superscript"/>
        <sz val="11"/>
        <color rgb="FFFF0000"/>
        <rFont val="Arial"/>
        <family val="2"/>
      </rPr>
      <t>2</t>
    </r>
    <r>
      <rPr>
        <sz val="11"/>
        <rFont val="Arial"/>
        <family val="2"/>
      </rPr>
      <t xml:space="preserve">  The Ex-Post average per customer estimates are based on Program Year 2020 draft SDG&amp;E DR Load Impacts report for the months of January and February. The Ex-Post average per customer estimates are based on Program Year 2020 SDG&amp;E DR Load Impacts report filed April 1st, 2021 for the months of March thru December. </t>
    </r>
  </si>
  <si>
    <r>
      <t xml:space="preserve">IDSM DR COM </t>
    </r>
    <r>
      <rPr>
        <vertAlign val="superscript"/>
        <sz val="9"/>
        <color rgb="FFFF0000"/>
        <rFont val="Arial"/>
        <family val="2"/>
      </rPr>
      <t>1,2</t>
    </r>
  </si>
  <si>
    <r>
      <t xml:space="preserve">Local Capacity Requirements (LCR) </t>
    </r>
    <r>
      <rPr>
        <vertAlign val="superscript"/>
        <sz val="9"/>
        <color rgb="FFFF0000"/>
        <rFont val="Arial"/>
        <family val="2"/>
      </rPr>
      <t>1</t>
    </r>
  </si>
  <si>
    <r>
      <rPr>
        <vertAlign val="superscript"/>
        <sz val="10"/>
        <color rgb="FFFF0000"/>
        <rFont val="Arial"/>
        <family val="2"/>
      </rPr>
      <t>1</t>
    </r>
    <r>
      <rPr>
        <vertAlign val="superscript"/>
        <sz val="10"/>
        <rFont val="Arial"/>
        <family val="2"/>
      </rPr>
      <t xml:space="preserve"> </t>
    </r>
    <r>
      <rPr>
        <sz val="10"/>
        <rFont val="Arial"/>
        <family val="2"/>
      </rPr>
      <t>February credits are related to accrual reversals related to a prior period expense (January 2021).</t>
    </r>
  </si>
  <si>
    <r>
      <rPr>
        <vertAlign val="superscript"/>
        <sz val="10"/>
        <color rgb="FFFF0000"/>
        <rFont val="Arial"/>
        <family val="2"/>
      </rPr>
      <t>2</t>
    </r>
    <r>
      <rPr>
        <sz val="10"/>
        <rFont val="Arial"/>
        <family val="2"/>
      </rPr>
      <t xml:space="preserve"> March Credit is related to a discount received on services purchased in a prior period.</t>
    </r>
  </si>
  <si>
    <t>-  Capacity Bidding Program reports the number of nominations not enrollments.</t>
  </si>
  <si>
    <r>
      <t>Technology Incentives</t>
    </r>
    <r>
      <rPr>
        <vertAlign val="superscript"/>
        <sz val="10"/>
        <color rgb="FFFF0000"/>
        <rFont val="Arial"/>
        <family val="2"/>
      </rPr>
      <t xml:space="preserve"> </t>
    </r>
    <r>
      <rPr>
        <b/>
        <vertAlign val="superscript"/>
        <sz val="10"/>
        <color rgb="FFFF0000"/>
        <rFont val="Arial"/>
        <family val="2"/>
      </rPr>
      <t>3</t>
    </r>
  </si>
  <si>
    <r>
      <t>Smart Pricing</t>
    </r>
    <r>
      <rPr>
        <vertAlign val="superscript"/>
        <sz val="10"/>
        <color rgb="FFFF0000"/>
        <rFont val="Arial"/>
        <family val="2"/>
      </rPr>
      <t xml:space="preserve"> </t>
    </r>
    <r>
      <rPr>
        <b/>
        <vertAlign val="superscript"/>
        <sz val="10"/>
        <color rgb="FFFF0000"/>
        <rFont val="Arial"/>
        <family val="2"/>
      </rPr>
      <t>3</t>
    </r>
  </si>
  <si>
    <r>
      <rPr>
        <vertAlign val="superscript"/>
        <sz val="10"/>
        <color rgb="FFFF0000"/>
        <rFont val="Arial"/>
        <family val="2"/>
      </rPr>
      <t>3</t>
    </r>
    <r>
      <rPr>
        <sz val="10"/>
        <rFont val="Arial"/>
        <family val="2"/>
      </rPr>
      <t xml:space="preserve"> April Bill credits for BIP were not posted as a result of Reporting outages related to Envision Cross Over.</t>
    </r>
  </si>
  <si>
    <r>
      <t xml:space="preserve">Labor </t>
    </r>
    <r>
      <rPr>
        <b/>
        <vertAlign val="superscript"/>
        <sz val="10"/>
        <color rgb="FFFF0000"/>
        <rFont val="Arial"/>
        <family val="2"/>
      </rPr>
      <t>4</t>
    </r>
  </si>
  <si>
    <r>
      <t>Base Interruptible Program (BIP)</t>
    </r>
    <r>
      <rPr>
        <b/>
        <vertAlign val="superscript"/>
        <sz val="10"/>
        <color rgb="FFFF0000"/>
        <rFont val="Arial"/>
        <family val="2"/>
      </rPr>
      <t xml:space="preserve"> 1</t>
    </r>
    <r>
      <rPr>
        <vertAlign val="superscript"/>
        <sz val="10"/>
        <color rgb="FFFF0000"/>
        <rFont val="Arial"/>
        <family val="2"/>
      </rPr>
      <t>,</t>
    </r>
    <r>
      <rPr>
        <b/>
        <vertAlign val="superscript"/>
        <sz val="10"/>
        <color rgb="FFFF0000"/>
        <rFont val="Arial"/>
        <family val="2"/>
      </rPr>
      <t>2</t>
    </r>
  </si>
  <si>
    <r>
      <t>Demand Response Auction Mechanism Pilot (DRAM)</t>
    </r>
    <r>
      <rPr>
        <vertAlign val="superscript"/>
        <sz val="10"/>
        <color rgb="FFFF0000"/>
        <rFont val="Arial"/>
        <family val="2"/>
      </rPr>
      <t xml:space="preserve"> 3</t>
    </r>
  </si>
  <si>
    <r>
      <rPr>
        <vertAlign val="superscript"/>
        <sz val="10"/>
        <color rgb="FFFF0000"/>
        <rFont val="Arial"/>
        <family val="2"/>
      </rPr>
      <t>4</t>
    </r>
    <r>
      <rPr>
        <sz val="10"/>
        <rFont val="Arial"/>
        <family val="2"/>
      </rPr>
      <t xml:space="preserve"> BIP April Incentive total was revised to include April bill credits of $1,935 that were posted in a different reporting period as a result of the Envision Cross Over.</t>
    </r>
  </si>
  <si>
    <r>
      <rPr>
        <b/>
        <vertAlign val="superscript"/>
        <sz val="11"/>
        <color rgb="FFFF0000"/>
        <rFont val="Arial"/>
        <family val="2"/>
      </rPr>
      <t>1</t>
    </r>
    <r>
      <rPr>
        <sz val="11"/>
        <rFont val="Arial"/>
        <family val="2"/>
      </rPr>
      <t xml:space="preserve"> BIP total does not include April bill credits as a result of Reporting outages related to Envision Cross Over.</t>
    </r>
  </si>
  <si>
    <r>
      <rPr>
        <vertAlign val="superscript"/>
        <sz val="11"/>
        <color rgb="FFFF0000"/>
        <rFont val="Arial"/>
        <family val="2"/>
      </rPr>
      <t>2</t>
    </r>
    <r>
      <rPr>
        <sz val="11"/>
        <rFont val="Arial"/>
        <family val="2"/>
      </rPr>
      <t xml:space="preserve"> BIP April total of $6,695 was revised to include April bill credits of $1,935 that were posted in a different reporting period as a result of the Envision Cross Over.</t>
    </r>
  </si>
  <si>
    <r>
      <rPr>
        <vertAlign val="superscript"/>
        <sz val="11"/>
        <color rgb="FFFF0000"/>
        <rFont val="Arial"/>
        <family val="2"/>
      </rPr>
      <t>3</t>
    </r>
    <r>
      <rPr>
        <sz val="11"/>
        <rFont val="Arial"/>
        <family val="2"/>
      </rPr>
      <t xml:space="preserve"> May credits are a result of accrual reversals that occurred in prior reporting period (April).</t>
    </r>
  </si>
  <si>
    <r>
      <rPr>
        <b/>
        <vertAlign val="superscript"/>
        <sz val="11"/>
        <color rgb="FFFF0000"/>
        <rFont val="Arial"/>
        <family val="2"/>
      </rPr>
      <t>3</t>
    </r>
    <r>
      <rPr>
        <sz val="11"/>
        <rFont val="Arial"/>
        <family val="2"/>
      </rPr>
      <t xml:space="preserve"> April credits are related to accrual reversals that occurred in a previous reporting period (March).</t>
    </r>
  </si>
  <si>
    <r>
      <rPr>
        <b/>
        <vertAlign val="superscript"/>
        <sz val="11"/>
        <color rgb="FFFF0000"/>
        <rFont val="Arial"/>
        <family val="2"/>
      </rPr>
      <t xml:space="preserve">4 </t>
    </r>
    <r>
      <rPr>
        <sz val="11"/>
        <rFont val="Arial"/>
        <family val="2"/>
      </rPr>
      <t>May credits are related to labor reversals to reflect proper labor allocation.</t>
    </r>
  </si>
  <si>
    <r>
      <t xml:space="preserve">EM&amp;V </t>
    </r>
    <r>
      <rPr>
        <vertAlign val="superscript"/>
        <sz val="9"/>
        <color rgb="FFFF0000"/>
        <rFont val="Arial"/>
        <family val="2"/>
      </rPr>
      <t>6</t>
    </r>
  </si>
  <si>
    <r>
      <t>Demand Response Auction Mechanism (DRAM)</t>
    </r>
    <r>
      <rPr>
        <vertAlign val="superscript"/>
        <sz val="9"/>
        <color rgb="FFFF0000"/>
        <rFont val="Arial"/>
        <family val="2"/>
      </rPr>
      <t xml:space="preserve"> </t>
    </r>
    <r>
      <rPr>
        <b/>
        <vertAlign val="superscript"/>
        <sz val="9"/>
        <color rgb="FFFF0000"/>
        <rFont val="Arial"/>
        <family val="2"/>
      </rPr>
      <t>5</t>
    </r>
  </si>
  <si>
    <r>
      <t xml:space="preserve">Base Interruptible Program (BIP) </t>
    </r>
    <r>
      <rPr>
        <b/>
        <vertAlign val="superscript"/>
        <sz val="9"/>
        <color rgb="FFFF0000"/>
        <rFont val="Arial"/>
        <family val="2"/>
      </rPr>
      <t>3</t>
    </r>
    <r>
      <rPr>
        <vertAlign val="superscript"/>
        <sz val="9"/>
        <color rgb="FFFF0000"/>
        <rFont val="Arial"/>
        <family val="2"/>
      </rPr>
      <t>,4</t>
    </r>
  </si>
  <si>
    <r>
      <rPr>
        <vertAlign val="superscript"/>
        <sz val="10"/>
        <color rgb="FFFF0000"/>
        <rFont val="Arial"/>
        <family val="2"/>
      </rPr>
      <t>5</t>
    </r>
    <r>
      <rPr>
        <sz val="10"/>
        <rFont val="Arial"/>
        <family val="2"/>
      </rPr>
      <t xml:space="preserve"> May incentive credits are a result of accrual reversals that occurred in prior reporting period (April).</t>
    </r>
  </si>
  <si>
    <r>
      <rPr>
        <vertAlign val="superscript"/>
        <sz val="10"/>
        <color rgb="FFFF0000"/>
        <rFont val="Arial"/>
        <family val="2"/>
      </rPr>
      <t xml:space="preserve">6 </t>
    </r>
    <r>
      <rPr>
        <sz val="10"/>
        <rFont val="Arial"/>
        <family val="2"/>
      </rPr>
      <t>EM&amp;V charges for May include a misclassification of incentive payment.  This charge is pending a journal entry to reclassify $540 to the correct cost type and will be reflected in June Report.</t>
    </r>
  </si>
  <si>
    <t>June 2021</t>
  </si>
  <si>
    <t>AC Saver DO (Summer Saver) Commercial</t>
  </si>
  <si>
    <t>Heat Rate</t>
  </si>
  <si>
    <t>6:00pm-8:00pm</t>
  </si>
  <si>
    <t>AC Saver DO (Summer Saver) Residential</t>
  </si>
  <si>
    <t>CBP Day Ahead 11-7</t>
  </si>
  <si>
    <t>Market Price</t>
  </si>
  <si>
    <t>4:00pm-7:00pm</t>
  </si>
  <si>
    <t>CBP Day Ahead 1-9</t>
  </si>
  <si>
    <t>CBP Day Of 1-9</t>
  </si>
  <si>
    <t>Real Time Price</t>
  </si>
  <si>
    <t>5:00pm-7:00pm</t>
  </si>
  <si>
    <t>AC Saver DA Residential</t>
  </si>
  <si>
    <t>6:00pm-9:00pm</t>
  </si>
  <si>
    <t>Temperature and System Load</t>
  </si>
  <si>
    <t>3:00pm-7:00pm</t>
  </si>
  <si>
    <t>5:00pm-9:00pm</t>
  </si>
  <si>
    <t>7:00pm-9:00pm</t>
  </si>
  <si>
    <t>1 If the MW Load Reduction is 0.00, there was no actual load reduction. If the MW Load Reduction is negative, there was an increase of load during the event hours. If there is nothing there, there were no events.</t>
  </si>
  <si>
    <t>2  Program Total Hours (Annual) is cumulative.</t>
  </si>
  <si>
    <t>-  Count of Service Accounts reported for TOU-PA-P Agricultural, TOU-A-P Small Commercial and TOU-DR-P Voluntary Residential for April 2021 includes accounts enrolled through May 13, 2021 due to Envision cutover data validation activities.</t>
  </si>
  <si>
    <t>-  The reduction in the number of customers on AC Saver Day-Ahead Commercial in March is due to the un-enrollment of customer with thermostat that had been offline for more then 18 months.</t>
  </si>
  <si>
    <t>- The TOU-PA-P Agricultural Ex-Post average per customer estimates are based on Program Year 2020 draft SDG&amp;E DR Load Impacts report for the months of January and February. The draft ex-post estimates show an increase load impact of (-0.06kW), therefore the estimates were converted to zero.</t>
  </si>
  <si>
    <r>
      <t xml:space="preserve">General Admin </t>
    </r>
    <r>
      <rPr>
        <vertAlign val="superscript"/>
        <sz val="9"/>
        <color rgb="FFFF0000"/>
        <rFont val="Arial"/>
        <family val="2"/>
      </rPr>
      <t>7</t>
    </r>
  </si>
  <si>
    <r>
      <rPr>
        <vertAlign val="superscript"/>
        <sz val="10"/>
        <color rgb="FFFF0000"/>
        <rFont val="Arial"/>
        <family val="2"/>
      </rPr>
      <t>7</t>
    </r>
    <r>
      <rPr>
        <sz val="10"/>
        <rFont val="Arial"/>
        <family val="2"/>
      </rPr>
      <t xml:space="preserve"> EM&amp;V charges for May include a misclassification of incentive payment, charge was corrected using incorrect program IO to reclassify $540 to the correct cost type. Correction will be reflected in July Reporting.</t>
    </r>
  </si>
  <si>
    <t xml:space="preserve">-  The reduction in the number of customer on AC Saver day-ahead residential in June, is due to approximately 2,500 customers with Google-Nest devices did not agree to the new Google terms and conditions. </t>
  </si>
  <si>
    <t xml:space="preserve">-  CPP-D (Large and Medium Customers) service account numbers are incorrect for May 2021 and June 2021 are an estimate. The reason for this is due to IT conversion data issues.  These should be corrected in next months July 2021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</si>
</sst>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000"/>
    <numFmt numFmtId="177" formatCode="_(* #,##0.00_);_(* \(#,##0.00\);_(* &quot;-&quot;_);_(@_)"/>
    <numFmt numFmtId="178" formatCode="_(&quot;$&quot;* #,##0.0_);_(&quot;$&quot;* \(#,##0.0\);_(&quot;$&quot;* &quot;-&quot;?_);_(@_)"/>
    <numFmt numFmtId="179" formatCode="_(&quot;$&quot;* #,##0.00_);_(&quot;$&quot;* \(#,##0.00\);_(&quot;$&quot;* &quot;-&quot;_);_(@_)"/>
  </numFmts>
  <fonts count="13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vertAlign val="superscript"/>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indexed="37"/>
      <name val="Calibri"/>
      <family val="2"/>
    </font>
    <font>
      <sz val="11"/>
      <color indexed="20"/>
      <name val="Calibri"/>
      <family val="2"/>
    </font>
    <font>
      <b/>
      <sz val="11"/>
      <color indexed="17"/>
      <name val="Calibri"/>
      <family val="2"/>
    </font>
    <font>
      <b/>
      <sz val="11"/>
      <color indexed="52"/>
      <name val="Calibri"/>
      <family val="2"/>
    </font>
    <font>
      <sz val="10"/>
      <name val="Times New Roman"/>
      <family val="1"/>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8"/>
      <color indexed="62"/>
      <name val="Arial"/>
      <family val="2"/>
    </font>
    <font>
      <b/>
      <sz val="8"/>
      <color indexed="8"/>
      <name val="Arial"/>
      <family val="2"/>
    </font>
    <font>
      <b/>
      <sz val="8"/>
      <name val="Arial"/>
      <family val="2"/>
    </font>
    <font>
      <sz val="8"/>
      <color indexed="8"/>
      <name val="Arial"/>
      <family val="2"/>
    </font>
    <font>
      <b/>
      <sz val="16"/>
      <color indexed="23"/>
      <name val="Arial"/>
      <family val="2"/>
    </font>
    <font>
      <sz val="19"/>
      <name val="Arial"/>
      <family val="2"/>
    </font>
    <font>
      <sz val="8"/>
      <color indexed="14"/>
      <name val="Arial"/>
      <family val="2"/>
    </font>
    <font>
      <b/>
      <sz val="18"/>
      <color indexed="56"/>
      <name val="Cambria"/>
      <family val="2"/>
    </font>
    <font>
      <sz val="11"/>
      <color indexed="14"/>
      <name val="Calibri"/>
      <family val="2"/>
    </font>
    <font>
      <b/>
      <sz val="18"/>
      <color theme="3"/>
      <name val="Cambria"/>
      <family val="2"/>
      <scheme val="major"/>
    </font>
    <font>
      <strike/>
      <sz val="11"/>
      <name val="Arial"/>
      <family val="2"/>
    </font>
    <font>
      <strike/>
      <sz val="10"/>
      <name val="Arial"/>
      <family val="2"/>
    </font>
    <font>
      <vertAlign val="superscript"/>
      <sz val="11"/>
      <name val="Arial"/>
      <family val="2"/>
    </font>
    <font>
      <sz val="11"/>
      <name val="Cambria"/>
      <family val="1"/>
    </font>
    <font>
      <sz val="9"/>
      <name val="Cambria"/>
      <family val="1"/>
    </font>
    <font>
      <b/>
      <vertAlign val="superscript"/>
      <sz val="11"/>
      <color rgb="FFFF0000"/>
      <name val="Arial"/>
      <family val="2"/>
    </font>
    <font>
      <sz val="11"/>
      <color rgb="FF444444"/>
      <name val="Arial"/>
      <family val="2"/>
    </font>
    <font>
      <strike/>
      <sz val="11"/>
      <color indexed="8"/>
      <name val="Arial"/>
      <family val="2"/>
    </font>
    <font>
      <sz val="10"/>
      <name val="Arial"/>
    </font>
  </fonts>
  <fills count="126">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indexed="49"/>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61"/>
        <bgColor indexed="61"/>
      </patternFill>
    </fill>
    <fill>
      <patternFill patternType="solid">
        <fgColor indexed="58"/>
        <bgColor indexed="58"/>
      </patternFill>
    </fill>
    <fill>
      <patternFill patternType="solid">
        <fgColor indexed="62"/>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solid">
        <fgColor indexed="60"/>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2"/>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patternFill>
    </fill>
    <fill>
      <patternFill patternType="solid">
        <fgColor indexed="22"/>
        <bgColor indexed="64"/>
      </patternFill>
    </fill>
    <fill>
      <patternFill patternType="solid">
        <fgColor indexed="26"/>
        <bgColor indexed="64"/>
      </patternFill>
    </fill>
    <fill>
      <patternFill patternType="solid">
        <fgColor indexed="20"/>
      </patternFill>
    </fill>
    <fill>
      <patternFill patternType="solid">
        <fgColor rgb="FFFFFF00"/>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58"/>
      </bottom>
      <diagonal/>
    </border>
    <border>
      <left/>
      <right/>
      <top/>
      <bottom style="medium">
        <color indexed="58"/>
      </bottom>
      <diagonal/>
    </border>
    <border>
      <left/>
      <right/>
      <top/>
      <bottom style="medium">
        <color indexed="30"/>
      </bottom>
      <diagonal/>
    </border>
    <border>
      <left/>
      <right/>
      <top/>
      <bottom style="double">
        <color indexed="17"/>
      </bottom>
      <diagonal/>
    </border>
    <border>
      <left/>
      <right/>
      <top/>
      <bottom style="double">
        <color indexed="52"/>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auto="1"/>
      </top>
      <bottom style="thin">
        <color auto="1"/>
      </bottom>
      <diagonal/>
    </border>
    <border>
      <left/>
      <right/>
      <top style="thin">
        <color indexed="64"/>
      </top>
      <bottom/>
      <diagonal/>
    </border>
    <border>
      <left style="medium">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double">
        <color indexed="48"/>
      </bottom>
      <diagonal/>
    </border>
    <border>
      <left style="thin">
        <color indexed="18"/>
      </left>
      <right style="thin">
        <color indexed="18"/>
      </right>
      <top style="thin">
        <color indexed="18"/>
      </top>
      <bottom style="thin">
        <color indexed="18"/>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s>
  <cellStyleXfs count="5686">
    <xf numFmtId="175" fontId="0" fillId="0" borderId="0"/>
    <xf numFmtId="175" fontId="19" fillId="2" borderId="0" applyNumberFormat="0" applyBorder="0" applyAlignment="0" applyProtection="0"/>
    <xf numFmtId="175" fontId="19" fillId="3" borderId="0" applyNumberFormat="0" applyBorder="0" applyAlignment="0" applyProtection="0"/>
    <xf numFmtId="175" fontId="19" fillId="4" borderId="0" applyNumberFormat="0" applyBorder="0" applyAlignment="0" applyProtection="0"/>
    <xf numFmtId="175" fontId="19" fillId="5" borderId="0" applyNumberFormat="0" applyBorder="0" applyAlignment="0" applyProtection="0"/>
    <xf numFmtId="175" fontId="19" fillId="6" borderId="0" applyNumberFormat="0" applyBorder="0" applyAlignment="0" applyProtection="0"/>
    <xf numFmtId="175" fontId="19" fillId="7"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8" borderId="0" applyNumberFormat="0" applyBorder="0" applyAlignment="0" applyProtection="0"/>
    <xf numFmtId="175" fontId="20" fillId="3" borderId="0" applyNumberFormat="0" applyBorder="0" applyAlignment="0" applyProtection="0"/>
    <xf numFmtId="175" fontId="20" fillId="9" borderId="0" applyNumberFormat="0" applyBorder="0" applyAlignment="0" applyProtection="0"/>
    <xf numFmtId="175" fontId="20" fillId="10" borderId="0" applyNumberFormat="0" applyBorder="0" applyAlignment="0" applyProtection="0"/>
    <xf numFmtId="175" fontId="20" fillId="8" borderId="0" applyNumberFormat="0" applyBorder="0" applyAlignment="0" applyProtection="0"/>
    <xf numFmtId="175" fontId="20" fillId="11" borderId="0" applyNumberFormat="0" applyBorder="0" applyAlignment="0" applyProtection="0"/>
    <xf numFmtId="175" fontId="21" fillId="12" borderId="0" applyNumberFormat="0" applyBorder="0" applyAlignment="0" applyProtection="0"/>
    <xf numFmtId="175" fontId="22" fillId="13" borderId="0" applyNumberFormat="0" applyBorder="0" applyAlignment="0" applyProtection="0"/>
    <xf numFmtId="175" fontId="22" fillId="14" borderId="0" applyNumberFormat="0" applyBorder="0" applyAlignment="0" applyProtection="0"/>
    <xf numFmtId="175" fontId="21" fillId="15" borderId="0" applyNumberFormat="0" applyBorder="0" applyAlignment="0" applyProtection="0"/>
    <xf numFmtId="175" fontId="21" fillId="16" borderId="0" applyNumberFormat="0" applyBorder="0" applyAlignment="0" applyProtection="0"/>
    <xf numFmtId="175" fontId="22" fillId="17" borderId="0" applyNumberFormat="0" applyBorder="0" applyAlignment="0" applyProtection="0"/>
    <xf numFmtId="175" fontId="22" fillId="18" borderId="0" applyNumberFormat="0" applyBorder="0" applyAlignment="0" applyProtection="0"/>
    <xf numFmtId="175" fontId="21" fillId="19" borderId="0" applyNumberFormat="0" applyBorder="0" applyAlignment="0" applyProtection="0"/>
    <xf numFmtId="175" fontId="21" fillId="19" borderId="0" applyNumberFormat="0" applyBorder="0" applyAlignment="0" applyProtection="0"/>
    <xf numFmtId="175" fontId="22" fillId="20" borderId="0" applyNumberFormat="0" applyBorder="0" applyAlignment="0" applyProtection="0"/>
    <xf numFmtId="175" fontId="22" fillId="21" borderId="0" applyNumberFormat="0" applyBorder="0" applyAlignment="0" applyProtection="0"/>
    <xf numFmtId="175" fontId="21" fillId="22" borderId="0" applyNumberFormat="0" applyBorder="0" applyAlignment="0" applyProtection="0"/>
    <xf numFmtId="175" fontId="21" fillId="23" borderId="0" applyNumberFormat="0" applyBorder="0" applyAlignment="0" applyProtection="0"/>
    <xf numFmtId="175" fontId="22" fillId="21" borderId="0" applyNumberFormat="0" applyBorder="0" applyAlignment="0" applyProtection="0"/>
    <xf numFmtId="175" fontId="22" fillId="22" borderId="0" applyNumberFormat="0" applyBorder="0" applyAlignment="0" applyProtection="0"/>
    <xf numFmtId="175" fontId="21" fillId="22" borderId="0" applyNumberFormat="0" applyBorder="0" applyAlignment="0" applyProtection="0"/>
    <xf numFmtId="175" fontId="21" fillId="24" borderId="0" applyNumberFormat="0" applyBorder="0" applyAlignment="0" applyProtection="0"/>
    <xf numFmtId="175" fontId="22" fillId="13" borderId="0" applyNumberFormat="0" applyBorder="0" applyAlignment="0" applyProtection="0"/>
    <xf numFmtId="175" fontId="22" fillId="14" borderId="0" applyNumberFormat="0" applyBorder="0" applyAlignment="0" applyProtection="0"/>
    <xf numFmtId="175" fontId="21" fillId="14" borderId="0" applyNumberFormat="0" applyBorder="0" applyAlignment="0" applyProtection="0"/>
    <xf numFmtId="175" fontId="21" fillId="25" borderId="0" applyNumberFormat="0" applyBorder="0" applyAlignment="0" applyProtection="0"/>
    <xf numFmtId="175" fontId="22" fillId="26" borderId="0" applyNumberFormat="0" applyBorder="0" applyAlignment="0" applyProtection="0"/>
    <xf numFmtId="175" fontId="22" fillId="18" borderId="0" applyNumberFormat="0" applyBorder="0" applyAlignment="0" applyProtection="0"/>
    <xf numFmtId="175" fontId="21" fillId="27" borderId="0" applyNumberFormat="0" applyBorder="0" applyAlignment="0" applyProtection="0"/>
    <xf numFmtId="175" fontId="23" fillId="18" borderId="0" applyNumberFormat="0" applyBorder="0" applyAlignment="0" applyProtection="0"/>
    <xf numFmtId="175" fontId="24" fillId="28" borderId="1" applyNumberFormat="0" applyAlignment="0" applyProtection="0"/>
    <xf numFmtId="175" fontId="25" fillId="19" borderId="2" applyNumberFormat="0" applyAlignment="0" applyProtection="0"/>
    <xf numFmtId="43" fontId="15" fillId="0" borderId="0" applyFont="0" applyFill="0" applyBorder="0" applyAlignment="0" applyProtection="0"/>
    <xf numFmtId="43" fontId="50" fillId="0" borderId="0" applyFont="0" applyFill="0" applyBorder="0" applyAlignment="0" applyProtection="0"/>
    <xf numFmtId="43" fontId="15" fillId="0" borderId="0" applyFont="0" applyFill="0" applyBorder="0" applyAlignment="0" applyProtection="0"/>
    <xf numFmtId="44" fontId="50" fillId="0" borderId="0" applyFont="0" applyFill="0" applyBorder="0" applyAlignment="0" applyProtection="0"/>
    <xf numFmtId="44" fontId="15" fillId="0" borderId="0" applyFont="0" applyFill="0" applyBorder="0" applyAlignment="0" applyProtection="0"/>
    <xf numFmtId="44" fontId="51" fillId="0" borderId="0" applyFont="0" applyFill="0" applyBorder="0" applyAlignment="0" applyProtection="0"/>
    <xf numFmtId="44" fontId="15" fillId="0" borderId="0" applyFont="0" applyFill="0" applyBorder="0" applyAlignment="0" applyProtection="0"/>
    <xf numFmtId="44" fontId="51" fillId="0" borderId="0" applyFont="0" applyFill="0" applyBorder="0" applyAlignment="0" applyProtection="0"/>
    <xf numFmtId="175" fontId="26" fillId="29" borderId="0" applyNumberFormat="0" applyBorder="0" applyAlignment="0" applyProtection="0"/>
    <xf numFmtId="175" fontId="26" fillId="30" borderId="0" applyNumberFormat="0" applyBorder="0" applyAlignment="0" applyProtection="0"/>
    <xf numFmtId="175" fontId="26" fillId="31" borderId="0" applyNumberFormat="0" applyBorder="0" applyAlignment="0" applyProtection="0"/>
    <xf numFmtId="175" fontId="27" fillId="0" borderId="0" applyNumberFormat="0" applyFill="0" applyBorder="0" applyAlignment="0" applyProtection="0"/>
    <xf numFmtId="175" fontId="28" fillId="32" borderId="0" applyNumberFormat="0" applyBorder="0" applyAlignment="0" applyProtection="0"/>
    <xf numFmtId="175" fontId="29" fillId="0" borderId="3" applyNumberFormat="0" applyFill="0" applyAlignment="0" applyProtection="0"/>
    <xf numFmtId="175" fontId="30" fillId="0" borderId="4" applyNumberFormat="0" applyFill="0" applyAlignment="0" applyProtection="0"/>
    <xf numFmtId="175" fontId="31" fillId="0" borderId="5" applyNumberFormat="0" applyFill="0" applyAlignment="0" applyProtection="0"/>
    <xf numFmtId="175" fontId="31" fillId="0" borderId="0" applyNumberFormat="0" applyFill="0" applyBorder="0" applyAlignment="0" applyProtection="0"/>
    <xf numFmtId="175" fontId="32" fillId="27" borderId="1" applyNumberFormat="0" applyAlignment="0" applyProtection="0"/>
    <xf numFmtId="175" fontId="33" fillId="0" borderId="6" applyNumberFormat="0" applyFill="0" applyAlignment="0" applyProtection="0"/>
    <xf numFmtId="175" fontId="34" fillId="27" borderId="0" applyNumberFormat="0" applyBorder="0" applyAlignment="0" applyProtection="0"/>
    <xf numFmtId="175" fontId="15" fillId="0" borderId="0"/>
    <xf numFmtId="175" fontId="17" fillId="0" borderId="0"/>
    <xf numFmtId="175" fontId="15" fillId="26" borderId="7" applyNumberFormat="0" applyFont="0" applyAlignment="0" applyProtection="0"/>
    <xf numFmtId="175" fontId="35" fillId="28" borderId="8" applyNumberFormat="0" applyAlignment="0" applyProtection="0"/>
    <xf numFmtId="9" fontId="50" fillId="0" borderId="0" applyFont="0" applyFill="0" applyBorder="0" applyAlignment="0" applyProtection="0"/>
    <xf numFmtId="9" fontId="15" fillId="0" borderId="0" applyFont="0" applyFill="0" applyBorder="0" applyAlignment="0" applyProtection="0"/>
    <xf numFmtId="4" fontId="36" fillId="33" borderId="9" applyNumberFormat="0" applyProtection="0">
      <alignment vertical="center"/>
    </xf>
    <xf numFmtId="4" fontId="37" fillId="33" borderId="9" applyNumberFormat="0" applyProtection="0">
      <alignment vertical="center"/>
    </xf>
    <xf numFmtId="4" fontId="36" fillId="33" borderId="9" applyNumberFormat="0" applyProtection="0">
      <alignment horizontal="left" vertical="center" indent="1"/>
    </xf>
    <xf numFmtId="175" fontId="36" fillId="33" borderId="9" applyNumberFormat="0" applyProtection="0">
      <alignment horizontal="left" vertical="top" indent="1"/>
    </xf>
    <xf numFmtId="4" fontId="36" fillId="2" borderId="0" applyNumberFormat="0" applyProtection="0">
      <alignment horizontal="left" vertical="center" indent="1"/>
    </xf>
    <xf numFmtId="4" fontId="19" fillId="7" borderId="9" applyNumberFormat="0" applyProtection="0">
      <alignment horizontal="right" vertical="center"/>
    </xf>
    <xf numFmtId="4" fontId="19" fillId="3" borderId="9" applyNumberFormat="0" applyProtection="0">
      <alignment horizontal="right" vertical="center"/>
    </xf>
    <xf numFmtId="4" fontId="19" fillId="34" borderId="9" applyNumberFormat="0" applyProtection="0">
      <alignment horizontal="right" vertical="center"/>
    </xf>
    <xf numFmtId="4" fontId="19" fillId="35" borderId="9" applyNumberFormat="0" applyProtection="0">
      <alignment horizontal="right" vertical="center"/>
    </xf>
    <xf numFmtId="4" fontId="19" fillId="36" borderId="9" applyNumberFormat="0" applyProtection="0">
      <alignment horizontal="right" vertical="center"/>
    </xf>
    <xf numFmtId="4" fontId="19" fillId="37" borderId="9" applyNumberFormat="0" applyProtection="0">
      <alignment horizontal="right" vertical="center"/>
    </xf>
    <xf numFmtId="4" fontId="19" fillId="9" borderId="9" applyNumberFormat="0" applyProtection="0">
      <alignment horizontal="right" vertical="center"/>
    </xf>
    <xf numFmtId="4" fontId="19" fillId="38" borderId="9" applyNumberFormat="0" applyProtection="0">
      <alignment horizontal="right" vertical="center"/>
    </xf>
    <xf numFmtId="4" fontId="19" fillId="39" borderId="9" applyNumberFormat="0" applyProtection="0">
      <alignment horizontal="right" vertical="center"/>
    </xf>
    <xf numFmtId="4" fontId="36" fillId="40" borderId="10" applyNumberFormat="0" applyProtection="0">
      <alignment horizontal="left" vertical="center" indent="1"/>
    </xf>
    <xf numFmtId="4" fontId="19" fillId="41" borderId="0" applyNumberFormat="0" applyProtection="0">
      <alignment horizontal="left" vertical="center" indent="1"/>
    </xf>
    <xf numFmtId="4" fontId="38" fillId="8" borderId="0" applyNumberFormat="0" applyProtection="0">
      <alignment horizontal="left" vertical="center" indent="1"/>
    </xf>
    <xf numFmtId="4" fontId="19" fillId="2" borderId="9" applyNumberFormat="0" applyProtection="0">
      <alignment horizontal="right" vertical="center"/>
    </xf>
    <xf numFmtId="4" fontId="17" fillId="41" borderId="0" applyNumberFormat="0" applyProtection="0">
      <alignment horizontal="left" vertical="center" indent="1"/>
    </xf>
    <xf numFmtId="4" fontId="17" fillId="2" borderId="0" applyNumberFormat="0" applyProtection="0">
      <alignment horizontal="left" vertical="center" indent="1"/>
    </xf>
    <xf numFmtId="175" fontId="15" fillId="8" borderId="9" applyNumberFormat="0" applyProtection="0">
      <alignment horizontal="left" vertical="center" indent="1"/>
    </xf>
    <xf numFmtId="175" fontId="15" fillId="8" borderId="9" applyNumberFormat="0" applyProtection="0">
      <alignment horizontal="left" vertical="top" indent="1"/>
    </xf>
    <xf numFmtId="175" fontId="15" fillId="2" borderId="9" applyNumberFormat="0" applyProtection="0">
      <alignment horizontal="left" vertical="center" indent="1"/>
    </xf>
    <xf numFmtId="175" fontId="15" fillId="2" borderId="9" applyNumberFormat="0" applyProtection="0">
      <alignment horizontal="left" vertical="top" indent="1"/>
    </xf>
    <xf numFmtId="175" fontId="15" fillId="6" borderId="9" applyNumberFormat="0" applyProtection="0">
      <alignment horizontal="left" vertical="center" indent="1"/>
    </xf>
    <xf numFmtId="175" fontId="15" fillId="6" borderId="9" applyNumberFormat="0" applyProtection="0">
      <alignment horizontal="left" vertical="top" indent="1"/>
    </xf>
    <xf numFmtId="175" fontId="15" fillId="41" borderId="9" applyNumberFormat="0" applyProtection="0">
      <alignment horizontal="left" vertical="center" indent="1"/>
    </xf>
    <xf numFmtId="175" fontId="15" fillId="41" borderId="9" applyNumberFormat="0" applyProtection="0">
      <alignment horizontal="left" vertical="top" indent="1"/>
    </xf>
    <xf numFmtId="175" fontId="15" fillId="5" borderId="11" applyNumberFormat="0">
      <protection locked="0"/>
    </xf>
    <xf numFmtId="4" fontId="19" fillId="4" borderId="9" applyNumberFormat="0" applyProtection="0">
      <alignment vertical="center"/>
    </xf>
    <xf numFmtId="4" fontId="39" fillId="4" borderId="9" applyNumberFormat="0" applyProtection="0">
      <alignment vertical="center"/>
    </xf>
    <xf numFmtId="4" fontId="19" fillId="4" borderId="9" applyNumberFormat="0" applyProtection="0">
      <alignment horizontal="left" vertical="center" indent="1"/>
    </xf>
    <xf numFmtId="175" fontId="19" fillId="4" borderId="9" applyNumberFormat="0" applyProtection="0">
      <alignment horizontal="left" vertical="top" indent="1"/>
    </xf>
    <xf numFmtId="4" fontId="19" fillId="41" borderId="9" applyNumberFormat="0" applyProtection="0">
      <alignment horizontal="right" vertical="center"/>
    </xf>
    <xf numFmtId="4" fontId="39" fillId="41" borderId="9" applyNumberFormat="0" applyProtection="0">
      <alignment horizontal="right" vertical="center"/>
    </xf>
    <xf numFmtId="4" fontId="19" fillId="2" borderId="9" applyNumberFormat="0" applyProtection="0">
      <alignment horizontal="left" vertical="center" indent="1"/>
    </xf>
    <xf numFmtId="175" fontId="19" fillId="2" borderId="9" applyNumberFormat="0" applyProtection="0">
      <alignment horizontal="left" vertical="top" indent="1"/>
    </xf>
    <xf numFmtId="4" fontId="40" fillId="42" borderId="0" applyNumberFormat="0" applyProtection="0">
      <alignment horizontal="left" vertical="center" indent="1"/>
    </xf>
    <xf numFmtId="4" fontId="41" fillId="41" borderId="9" applyNumberFormat="0" applyProtection="0">
      <alignment horizontal="right" vertical="center"/>
    </xf>
    <xf numFmtId="175" fontId="42" fillId="0" borderId="0" applyNumberFormat="0" applyFill="0" applyBorder="0" applyAlignment="0" applyProtection="0"/>
    <xf numFmtId="175" fontId="42" fillId="0" borderId="0" applyNumberFormat="0" applyFill="0" applyBorder="0" applyAlignment="0" applyProtection="0"/>
    <xf numFmtId="175" fontId="26" fillId="0" borderId="12" applyNumberFormat="0" applyFill="0" applyAlignment="0" applyProtection="0"/>
    <xf numFmtId="175" fontId="43" fillId="0" borderId="0" applyNumberFormat="0" applyFill="0" applyBorder="0" applyAlignment="0" applyProtection="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44" fontId="15" fillId="0" borderId="0" applyFont="0" applyFill="0" applyBorder="0" applyAlignment="0" applyProtection="0"/>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17" fillId="41" borderId="0" applyNumberFormat="0" applyProtection="0">
      <alignment horizontal="left" vertical="center" indent="1"/>
    </xf>
    <xf numFmtId="4" fontId="17" fillId="2" borderId="9" applyNumberFormat="0" applyProtection="0">
      <alignment horizontal="right" vertical="center"/>
    </xf>
    <xf numFmtId="4" fontId="1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9" fontId="57" fillId="0" borderId="0" applyFont="0" applyFill="0" applyBorder="0" applyAlignment="0" applyProtection="0"/>
    <xf numFmtId="175" fontId="59" fillId="0" borderId="0"/>
    <xf numFmtId="175" fontId="14" fillId="0" borderId="0"/>
    <xf numFmtId="175" fontId="15"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20" fillId="8" borderId="0" applyNumberFormat="0" applyBorder="0" applyAlignment="0" applyProtection="0"/>
    <xf numFmtId="175" fontId="20" fillId="3" borderId="0" applyNumberFormat="0" applyBorder="0" applyAlignment="0" applyProtection="0"/>
    <xf numFmtId="175" fontId="20" fillId="9" borderId="0" applyNumberFormat="0" applyBorder="0" applyAlignment="0" applyProtection="0"/>
    <xf numFmtId="175" fontId="20" fillId="10" borderId="0" applyNumberFormat="0" applyBorder="0" applyAlignment="0" applyProtection="0"/>
    <xf numFmtId="175" fontId="20" fillId="8" borderId="0" applyNumberFormat="0" applyBorder="0" applyAlignment="0" applyProtection="0"/>
    <xf numFmtId="175" fontId="20" fillId="11" borderId="0" applyNumberFormat="0" applyBorder="0" applyAlignment="0" applyProtection="0"/>
    <xf numFmtId="175" fontId="21" fillId="12" borderId="0" applyNumberFormat="0" applyBorder="0" applyAlignment="0" applyProtection="0"/>
    <xf numFmtId="175" fontId="21" fillId="16" borderId="0" applyNumberFormat="0" applyBorder="0" applyAlignment="0" applyProtection="0"/>
    <xf numFmtId="175" fontId="21" fillId="19" borderId="0" applyNumberFormat="0" applyBorder="0" applyAlignment="0" applyProtection="0"/>
    <xf numFmtId="175" fontId="21" fillId="23" borderId="0" applyNumberFormat="0" applyBorder="0" applyAlignment="0" applyProtection="0"/>
    <xf numFmtId="175" fontId="21" fillId="24" borderId="0" applyNumberFormat="0" applyBorder="0" applyAlignment="0" applyProtection="0"/>
    <xf numFmtId="175" fontId="21" fillId="25" borderId="0" applyNumberFormat="0" applyBorder="0" applyAlignment="0" applyProtection="0"/>
    <xf numFmtId="175" fontId="23" fillId="18" borderId="0" applyNumberFormat="0" applyBorder="0" applyAlignment="0" applyProtection="0"/>
    <xf numFmtId="175" fontId="24" fillId="28" borderId="1" applyNumberFormat="0" applyAlignment="0" applyProtection="0"/>
    <xf numFmtId="175" fontId="25" fillId="19" borderId="2" applyNumberFormat="0" applyAlignment="0" applyProtection="0"/>
    <xf numFmtId="43" fontId="15" fillId="0" borderId="0" applyFont="0" applyFill="0" applyBorder="0" applyAlignment="0" applyProtection="0"/>
    <xf numFmtId="175" fontId="27" fillId="0" borderId="0" applyNumberFormat="0" applyFill="0" applyBorder="0" applyAlignment="0" applyProtection="0"/>
    <xf numFmtId="175" fontId="28" fillId="32" borderId="0" applyNumberFormat="0" applyBorder="0" applyAlignment="0" applyProtection="0"/>
    <xf numFmtId="175" fontId="29" fillId="0" borderId="3" applyNumberFormat="0" applyFill="0" applyAlignment="0" applyProtection="0"/>
    <xf numFmtId="175" fontId="30" fillId="0" borderId="4" applyNumberFormat="0" applyFill="0" applyAlignment="0" applyProtection="0"/>
    <xf numFmtId="175" fontId="31" fillId="0" borderId="5" applyNumberFormat="0" applyFill="0" applyAlignment="0" applyProtection="0"/>
    <xf numFmtId="175" fontId="31" fillId="0" borderId="0" applyNumberFormat="0" applyFill="0" applyBorder="0" applyAlignment="0" applyProtection="0"/>
    <xf numFmtId="175" fontId="32" fillId="27" borderId="1" applyNumberFormat="0" applyAlignment="0" applyProtection="0"/>
    <xf numFmtId="175" fontId="33" fillId="0" borderId="6" applyNumberFormat="0" applyFill="0" applyAlignment="0" applyProtection="0"/>
    <xf numFmtId="175" fontId="34" fillId="27" borderId="0" applyNumberFormat="0" applyBorder="0" applyAlignment="0" applyProtection="0"/>
    <xf numFmtId="175" fontId="15" fillId="26" borderId="7" applyNumberFormat="0" applyFont="0" applyAlignment="0" applyProtection="0"/>
    <xf numFmtId="175" fontId="35" fillId="28" borderId="8" applyNumberFormat="0" applyAlignment="0" applyProtection="0"/>
    <xf numFmtId="175" fontId="42" fillId="0" borderId="0" applyNumberFormat="0" applyFill="0" applyBorder="0" applyAlignment="0" applyProtection="0"/>
    <xf numFmtId="175" fontId="26" fillId="0" borderId="12" applyNumberFormat="0" applyFill="0" applyAlignment="0" applyProtection="0"/>
    <xf numFmtId="175" fontId="43" fillId="0" borderId="0" applyNumberFormat="0" applyFill="0" applyBorder="0" applyAlignment="0" applyProtection="0"/>
    <xf numFmtId="9" fontId="15" fillId="0" borderId="0" applyFont="0" applyFill="0" applyBorder="0" applyAlignment="0" applyProtection="0"/>
    <xf numFmtId="175" fontId="15" fillId="0" borderId="0"/>
    <xf numFmtId="175" fontId="13" fillId="0" borderId="0"/>
    <xf numFmtId="175" fontId="6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20" fillId="8" borderId="0" applyNumberFormat="0" applyBorder="0" applyAlignment="0" applyProtection="0"/>
    <xf numFmtId="175" fontId="20" fillId="3" borderId="0" applyNumberFormat="0" applyBorder="0" applyAlignment="0" applyProtection="0"/>
    <xf numFmtId="175" fontId="20" fillId="9" borderId="0" applyNumberFormat="0" applyBorder="0" applyAlignment="0" applyProtection="0"/>
    <xf numFmtId="175" fontId="20" fillId="10" borderId="0" applyNumberFormat="0" applyBorder="0" applyAlignment="0" applyProtection="0"/>
    <xf numFmtId="175" fontId="20" fillId="8" borderId="0" applyNumberFormat="0" applyBorder="0" applyAlignment="0" applyProtection="0"/>
    <xf numFmtId="175" fontId="20" fillId="11" borderId="0" applyNumberFormat="0" applyBorder="0" applyAlignment="0" applyProtection="0"/>
    <xf numFmtId="175" fontId="21" fillId="12" borderId="0" applyNumberFormat="0" applyBorder="0" applyAlignment="0" applyProtection="0"/>
    <xf numFmtId="175" fontId="21" fillId="16" borderId="0" applyNumberFormat="0" applyBorder="0" applyAlignment="0" applyProtection="0"/>
    <xf numFmtId="175" fontId="21" fillId="19" borderId="0" applyNumberFormat="0" applyBorder="0" applyAlignment="0" applyProtection="0"/>
    <xf numFmtId="175" fontId="21" fillId="23" borderId="0" applyNumberFormat="0" applyBorder="0" applyAlignment="0" applyProtection="0"/>
    <xf numFmtId="175" fontId="21" fillId="24" borderId="0" applyNumberFormat="0" applyBorder="0" applyAlignment="0" applyProtection="0"/>
    <xf numFmtId="175" fontId="21" fillId="25" borderId="0" applyNumberFormat="0" applyBorder="0" applyAlignment="0" applyProtection="0"/>
    <xf numFmtId="175" fontId="23" fillId="18" borderId="0" applyNumberFormat="0" applyBorder="0" applyAlignment="0" applyProtection="0"/>
    <xf numFmtId="175" fontId="24" fillId="28" borderId="1" applyNumberFormat="0" applyAlignment="0" applyProtection="0"/>
    <xf numFmtId="175" fontId="25" fillId="19" borderId="2" applyNumberFormat="0" applyAlignment="0" applyProtection="0"/>
    <xf numFmtId="43" fontId="15" fillId="0" borderId="0" applyFont="0" applyFill="0" applyBorder="0" applyAlignment="0" applyProtection="0"/>
    <xf numFmtId="175" fontId="27" fillId="0" borderId="0" applyNumberFormat="0" applyFill="0" applyBorder="0" applyAlignment="0" applyProtection="0"/>
    <xf numFmtId="175" fontId="28" fillId="32" borderId="0" applyNumberFormat="0" applyBorder="0" applyAlignment="0" applyProtection="0"/>
    <xf numFmtId="175" fontId="29" fillId="0" borderId="3" applyNumberFormat="0" applyFill="0" applyAlignment="0" applyProtection="0"/>
    <xf numFmtId="175" fontId="30" fillId="0" borderId="4" applyNumberFormat="0" applyFill="0" applyAlignment="0" applyProtection="0"/>
    <xf numFmtId="175" fontId="31" fillId="0" borderId="5" applyNumberFormat="0" applyFill="0" applyAlignment="0" applyProtection="0"/>
    <xf numFmtId="175" fontId="31" fillId="0" borderId="0" applyNumberFormat="0" applyFill="0" applyBorder="0" applyAlignment="0" applyProtection="0"/>
    <xf numFmtId="175" fontId="32" fillId="27" borderId="1" applyNumberFormat="0" applyAlignment="0" applyProtection="0"/>
    <xf numFmtId="175" fontId="33" fillId="0" borderId="6" applyNumberFormat="0" applyFill="0" applyAlignment="0" applyProtection="0"/>
    <xf numFmtId="175" fontId="34" fillId="27" borderId="0" applyNumberFormat="0" applyBorder="0" applyAlignment="0" applyProtection="0"/>
    <xf numFmtId="175" fontId="15" fillId="26" borderId="7" applyNumberFormat="0" applyFont="0" applyAlignment="0" applyProtection="0"/>
    <xf numFmtId="175" fontId="35" fillId="28" borderId="8" applyNumberFormat="0" applyAlignment="0" applyProtection="0"/>
    <xf numFmtId="175" fontId="42" fillId="0" borderId="0" applyNumberFormat="0" applyFill="0" applyBorder="0" applyAlignment="0" applyProtection="0"/>
    <xf numFmtId="175" fontId="26" fillId="0" borderId="12" applyNumberFormat="0" applyFill="0" applyAlignment="0" applyProtection="0"/>
    <xf numFmtId="175" fontId="43" fillId="0" borderId="0" applyNumberFormat="0" applyFill="0" applyBorder="0" applyAlignment="0" applyProtection="0"/>
    <xf numFmtId="9" fontId="15" fillId="0" borderId="0" applyFont="0" applyFill="0" applyBorder="0" applyAlignment="0" applyProtection="0"/>
    <xf numFmtId="175" fontId="13" fillId="0" borderId="0"/>
    <xf numFmtId="175" fontId="12" fillId="0" borderId="0"/>
    <xf numFmtId="175" fontId="15"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20" fillId="8" borderId="0" applyNumberFormat="0" applyBorder="0" applyAlignment="0" applyProtection="0"/>
    <xf numFmtId="175" fontId="20" fillId="3" borderId="0" applyNumberFormat="0" applyBorder="0" applyAlignment="0" applyProtection="0"/>
    <xf numFmtId="175" fontId="20" fillId="9" borderId="0" applyNumberFormat="0" applyBorder="0" applyAlignment="0" applyProtection="0"/>
    <xf numFmtId="175" fontId="20" fillId="10" borderId="0" applyNumberFormat="0" applyBorder="0" applyAlignment="0" applyProtection="0"/>
    <xf numFmtId="175" fontId="20" fillId="8" borderId="0" applyNumberFormat="0" applyBorder="0" applyAlignment="0" applyProtection="0"/>
    <xf numFmtId="175" fontId="20" fillId="11" borderId="0" applyNumberFormat="0" applyBorder="0" applyAlignment="0" applyProtection="0"/>
    <xf numFmtId="175" fontId="21" fillId="12" borderId="0" applyNumberFormat="0" applyBorder="0" applyAlignment="0" applyProtection="0"/>
    <xf numFmtId="175" fontId="21" fillId="16" borderId="0" applyNumberFormat="0" applyBorder="0" applyAlignment="0" applyProtection="0"/>
    <xf numFmtId="175" fontId="21" fillId="19" borderId="0" applyNumberFormat="0" applyBorder="0" applyAlignment="0" applyProtection="0"/>
    <xf numFmtId="175" fontId="21" fillId="23" borderId="0" applyNumberFormat="0" applyBorder="0" applyAlignment="0" applyProtection="0"/>
    <xf numFmtId="175" fontId="21" fillId="24" borderId="0" applyNumberFormat="0" applyBorder="0" applyAlignment="0" applyProtection="0"/>
    <xf numFmtId="175" fontId="21" fillId="25" borderId="0" applyNumberFormat="0" applyBorder="0" applyAlignment="0" applyProtection="0"/>
    <xf numFmtId="175" fontId="23" fillId="18" borderId="0" applyNumberFormat="0" applyBorder="0" applyAlignment="0" applyProtection="0"/>
    <xf numFmtId="175" fontId="24" fillId="28" borderId="1" applyNumberFormat="0" applyAlignment="0" applyProtection="0"/>
    <xf numFmtId="175" fontId="25" fillId="19" borderId="2" applyNumberFormat="0" applyAlignment="0" applyProtection="0"/>
    <xf numFmtId="43" fontId="15" fillId="0" borderId="0" applyFont="0" applyFill="0" applyBorder="0" applyAlignment="0" applyProtection="0"/>
    <xf numFmtId="175" fontId="27" fillId="0" borderId="0" applyNumberFormat="0" applyFill="0" applyBorder="0" applyAlignment="0" applyProtection="0"/>
    <xf numFmtId="175" fontId="28" fillId="32" borderId="0" applyNumberFormat="0" applyBorder="0" applyAlignment="0" applyProtection="0"/>
    <xf numFmtId="175" fontId="29" fillId="0" borderId="3" applyNumberFormat="0" applyFill="0" applyAlignment="0" applyProtection="0"/>
    <xf numFmtId="175" fontId="30" fillId="0" borderId="4" applyNumberFormat="0" applyFill="0" applyAlignment="0" applyProtection="0"/>
    <xf numFmtId="175" fontId="31" fillId="0" borderId="5" applyNumberFormat="0" applyFill="0" applyAlignment="0" applyProtection="0"/>
    <xf numFmtId="175" fontId="31" fillId="0" borderId="0" applyNumberFormat="0" applyFill="0" applyBorder="0" applyAlignment="0" applyProtection="0"/>
    <xf numFmtId="175" fontId="32" fillId="27" borderId="1" applyNumberFormat="0" applyAlignment="0" applyProtection="0"/>
    <xf numFmtId="175" fontId="33" fillId="0" borderId="6" applyNumberFormat="0" applyFill="0" applyAlignment="0" applyProtection="0"/>
    <xf numFmtId="175" fontId="34" fillId="27" borderId="0" applyNumberFormat="0" applyBorder="0" applyAlignment="0" applyProtection="0"/>
    <xf numFmtId="175" fontId="15" fillId="26" borderId="7" applyNumberFormat="0" applyFont="0" applyAlignment="0" applyProtection="0"/>
    <xf numFmtId="175" fontId="35" fillId="28" borderId="8" applyNumberFormat="0" applyAlignment="0" applyProtection="0"/>
    <xf numFmtId="175" fontId="42" fillId="0" borderId="0" applyNumberFormat="0" applyFill="0" applyBorder="0" applyAlignment="0" applyProtection="0"/>
    <xf numFmtId="175" fontId="26" fillId="0" borderId="12" applyNumberFormat="0" applyFill="0" applyAlignment="0" applyProtection="0"/>
    <xf numFmtId="175" fontId="43" fillId="0" borderId="0" applyNumberFormat="0" applyFill="0" applyBorder="0" applyAlignment="0" applyProtection="0"/>
    <xf numFmtId="9" fontId="15" fillId="0" borderId="0" applyFont="0" applyFill="0" applyBorder="0" applyAlignment="0" applyProtection="0"/>
    <xf numFmtId="175" fontId="12" fillId="0" borderId="0"/>
    <xf numFmtId="175" fontId="12" fillId="0" borderId="0"/>
    <xf numFmtId="175" fontId="15" fillId="0" borderId="0"/>
    <xf numFmtId="175" fontId="12" fillId="0" borderId="0"/>
    <xf numFmtId="175" fontId="11" fillId="0" borderId="0"/>
    <xf numFmtId="175" fontId="15"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20" fillId="8" borderId="0" applyNumberFormat="0" applyBorder="0" applyAlignment="0" applyProtection="0"/>
    <xf numFmtId="175" fontId="20" fillId="3" borderId="0" applyNumberFormat="0" applyBorder="0" applyAlignment="0" applyProtection="0"/>
    <xf numFmtId="175" fontId="20" fillId="9" borderId="0" applyNumberFormat="0" applyBorder="0" applyAlignment="0" applyProtection="0"/>
    <xf numFmtId="175" fontId="20" fillId="10" borderId="0" applyNumberFormat="0" applyBorder="0" applyAlignment="0" applyProtection="0"/>
    <xf numFmtId="175" fontId="20" fillId="8" borderId="0" applyNumberFormat="0" applyBorder="0" applyAlignment="0" applyProtection="0"/>
    <xf numFmtId="175" fontId="20" fillId="11" borderId="0" applyNumberFormat="0" applyBorder="0" applyAlignment="0" applyProtection="0"/>
    <xf numFmtId="175" fontId="21" fillId="12" borderId="0" applyNumberFormat="0" applyBorder="0" applyAlignment="0" applyProtection="0"/>
    <xf numFmtId="175" fontId="21" fillId="16" borderId="0" applyNumberFormat="0" applyBorder="0" applyAlignment="0" applyProtection="0"/>
    <xf numFmtId="175" fontId="21" fillId="19" borderId="0" applyNumberFormat="0" applyBorder="0" applyAlignment="0" applyProtection="0"/>
    <xf numFmtId="175" fontId="21" fillId="23" borderId="0" applyNumberFormat="0" applyBorder="0" applyAlignment="0" applyProtection="0"/>
    <xf numFmtId="175" fontId="21" fillId="24" borderId="0" applyNumberFormat="0" applyBorder="0" applyAlignment="0" applyProtection="0"/>
    <xf numFmtId="175" fontId="21" fillId="25" borderId="0" applyNumberFormat="0" applyBorder="0" applyAlignment="0" applyProtection="0"/>
    <xf numFmtId="175" fontId="23" fillId="18" borderId="0" applyNumberFormat="0" applyBorder="0" applyAlignment="0" applyProtection="0"/>
    <xf numFmtId="175" fontId="24" fillId="28" borderId="1" applyNumberFormat="0" applyAlignment="0" applyProtection="0"/>
    <xf numFmtId="175" fontId="25" fillId="19" borderId="2" applyNumberFormat="0" applyAlignment="0" applyProtection="0"/>
    <xf numFmtId="43" fontId="15" fillId="0" borderId="0" applyFont="0" applyFill="0" applyBorder="0" applyAlignment="0" applyProtection="0"/>
    <xf numFmtId="175" fontId="27" fillId="0" borderId="0" applyNumberFormat="0" applyFill="0" applyBorder="0" applyAlignment="0" applyProtection="0"/>
    <xf numFmtId="175" fontId="28" fillId="32" borderId="0" applyNumberFormat="0" applyBorder="0" applyAlignment="0" applyProtection="0"/>
    <xf numFmtId="175" fontId="29" fillId="0" borderId="3" applyNumberFormat="0" applyFill="0" applyAlignment="0" applyProtection="0"/>
    <xf numFmtId="175" fontId="30" fillId="0" borderId="4" applyNumberFormat="0" applyFill="0" applyAlignment="0" applyProtection="0"/>
    <xf numFmtId="175" fontId="31" fillId="0" borderId="5" applyNumberFormat="0" applyFill="0" applyAlignment="0" applyProtection="0"/>
    <xf numFmtId="175" fontId="31" fillId="0" borderId="0" applyNumberFormat="0" applyFill="0" applyBorder="0" applyAlignment="0" applyProtection="0"/>
    <xf numFmtId="175" fontId="32" fillId="27" borderId="1" applyNumberFormat="0" applyAlignment="0" applyProtection="0"/>
    <xf numFmtId="175" fontId="33" fillId="0" borderId="6" applyNumberFormat="0" applyFill="0" applyAlignment="0" applyProtection="0"/>
    <xf numFmtId="175" fontId="34" fillId="27" borderId="0" applyNumberFormat="0" applyBorder="0" applyAlignment="0" applyProtection="0"/>
    <xf numFmtId="175" fontId="15" fillId="26" borderId="7" applyNumberFormat="0" applyFont="0" applyAlignment="0" applyProtection="0"/>
    <xf numFmtId="175" fontId="35" fillId="28" borderId="8" applyNumberFormat="0" applyAlignment="0" applyProtection="0"/>
    <xf numFmtId="175" fontId="42" fillId="0" borderId="0" applyNumberFormat="0" applyFill="0" applyBorder="0" applyAlignment="0" applyProtection="0"/>
    <xf numFmtId="175" fontId="26" fillId="0" borderId="12" applyNumberFormat="0" applyFill="0" applyAlignment="0" applyProtection="0"/>
    <xf numFmtId="175" fontId="43" fillId="0" borderId="0" applyNumberFormat="0" applyFill="0" applyBorder="0" applyAlignment="0" applyProtection="0"/>
    <xf numFmtId="9" fontId="15" fillId="0" borderId="0" applyFont="0" applyFill="0" applyBorder="0" applyAlignment="0" applyProtection="0"/>
    <xf numFmtId="175" fontId="11" fillId="0" borderId="0"/>
    <xf numFmtId="175" fontId="11" fillId="0" borderId="0"/>
    <xf numFmtId="175" fontId="11" fillId="0" borderId="0"/>
    <xf numFmtId="175" fontId="11" fillId="0" borderId="0"/>
    <xf numFmtId="175" fontId="11" fillId="0" borderId="0"/>
    <xf numFmtId="175" fontId="11" fillId="0" borderId="0"/>
    <xf numFmtId="175" fontId="11" fillId="0" borderId="0"/>
    <xf numFmtId="175" fontId="10" fillId="0" borderId="0"/>
    <xf numFmtId="175" fontId="9" fillId="0" borderId="0"/>
    <xf numFmtId="175" fontId="62"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15" fillId="0" borderId="0"/>
    <xf numFmtId="175" fontId="8" fillId="0" borderId="0"/>
    <xf numFmtId="0" fontId="7" fillId="0" borderId="0"/>
    <xf numFmtId="175" fontId="15"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20" fillId="8" borderId="0" applyNumberFormat="0" applyBorder="0" applyAlignment="0" applyProtection="0"/>
    <xf numFmtId="175" fontId="20" fillId="3" borderId="0" applyNumberFormat="0" applyBorder="0" applyAlignment="0" applyProtection="0"/>
    <xf numFmtId="175" fontId="20" fillId="9" borderId="0" applyNumberFormat="0" applyBorder="0" applyAlignment="0" applyProtection="0"/>
    <xf numFmtId="175" fontId="20" fillId="10" borderId="0" applyNumberFormat="0" applyBorder="0" applyAlignment="0" applyProtection="0"/>
    <xf numFmtId="175" fontId="20" fillId="8" borderId="0" applyNumberFormat="0" applyBorder="0" applyAlignment="0" applyProtection="0"/>
    <xf numFmtId="175" fontId="20" fillId="11" borderId="0" applyNumberFormat="0" applyBorder="0" applyAlignment="0" applyProtection="0"/>
    <xf numFmtId="175" fontId="21" fillId="12" borderId="0" applyNumberFormat="0" applyBorder="0" applyAlignment="0" applyProtection="0"/>
    <xf numFmtId="175" fontId="21" fillId="16" borderId="0" applyNumberFormat="0" applyBorder="0" applyAlignment="0" applyProtection="0"/>
    <xf numFmtId="175" fontId="21" fillId="19" borderId="0" applyNumberFormat="0" applyBorder="0" applyAlignment="0" applyProtection="0"/>
    <xf numFmtId="175" fontId="21" fillId="23" borderId="0" applyNumberFormat="0" applyBorder="0" applyAlignment="0" applyProtection="0"/>
    <xf numFmtId="175" fontId="21" fillId="24" borderId="0" applyNumberFormat="0" applyBorder="0" applyAlignment="0" applyProtection="0"/>
    <xf numFmtId="175" fontId="21" fillId="25" borderId="0" applyNumberFormat="0" applyBorder="0" applyAlignment="0" applyProtection="0"/>
    <xf numFmtId="175" fontId="23" fillId="18" borderId="0" applyNumberFormat="0" applyBorder="0" applyAlignment="0" applyProtection="0"/>
    <xf numFmtId="175" fontId="24" fillId="28" borderId="1" applyNumberFormat="0" applyAlignment="0" applyProtection="0"/>
    <xf numFmtId="175" fontId="25" fillId="19" borderId="2" applyNumberFormat="0" applyAlignment="0" applyProtection="0"/>
    <xf numFmtId="43" fontId="15" fillId="0" borderId="0" applyFont="0" applyFill="0" applyBorder="0" applyAlignment="0" applyProtection="0"/>
    <xf numFmtId="175" fontId="27" fillId="0" borderId="0" applyNumberFormat="0" applyFill="0" applyBorder="0" applyAlignment="0" applyProtection="0"/>
    <xf numFmtId="175" fontId="28" fillId="32" borderId="0" applyNumberFormat="0" applyBorder="0" applyAlignment="0" applyProtection="0"/>
    <xf numFmtId="175" fontId="29" fillId="0" borderId="3" applyNumberFormat="0" applyFill="0" applyAlignment="0" applyProtection="0"/>
    <xf numFmtId="175" fontId="30" fillId="0" borderId="4" applyNumberFormat="0" applyFill="0" applyAlignment="0" applyProtection="0"/>
    <xf numFmtId="175" fontId="31" fillId="0" borderId="5" applyNumberFormat="0" applyFill="0" applyAlignment="0" applyProtection="0"/>
    <xf numFmtId="175" fontId="31" fillId="0" borderId="0" applyNumberFormat="0" applyFill="0" applyBorder="0" applyAlignment="0" applyProtection="0"/>
    <xf numFmtId="175" fontId="32" fillId="27" borderId="1" applyNumberFormat="0" applyAlignment="0" applyProtection="0"/>
    <xf numFmtId="175" fontId="33" fillId="0" borderId="6" applyNumberFormat="0" applyFill="0" applyAlignment="0" applyProtection="0"/>
    <xf numFmtId="175" fontId="34" fillId="27" borderId="0" applyNumberFormat="0" applyBorder="0" applyAlignment="0" applyProtection="0"/>
    <xf numFmtId="175" fontId="15" fillId="26" borderId="7" applyNumberFormat="0" applyFont="0" applyAlignment="0" applyProtection="0"/>
    <xf numFmtId="175" fontId="35" fillId="28" borderId="8" applyNumberFormat="0" applyAlignment="0" applyProtection="0"/>
    <xf numFmtId="175" fontId="42" fillId="0" borderId="0" applyNumberFormat="0" applyFill="0" applyBorder="0" applyAlignment="0" applyProtection="0"/>
    <xf numFmtId="175" fontId="26" fillId="0" borderId="12" applyNumberFormat="0" applyFill="0" applyAlignment="0" applyProtection="0"/>
    <xf numFmtId="175" fontId="43" fillId="0" borderId="0" applyNumberFormat="0" applyFill="0" applyBorder="0" applyAlignment="0" applyProtection="0"/>
    <xf numFmtId="9" fontId="15" fillId="0" borderId="0" applyFont="0" applyFill="0" applyBorder="0" applyAlignment="0" applyProtection="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5"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0" fontId="6" fillId="0" borderId="0"/>
    <xf numFmtId="175" fontId="15"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20" fillId="8" borderId="0" applyNumberFormat="0" applyBorder="0" applyAlignment="0" applyProtection="0"/>
    <xf numFmtId="175" fontId="20" fillId="3" borderId="0" applyNumberFormat="0" applyBorder="0" applyAlignment="0" applyProtection="0"/>
    <xf numFmtId="175" fontId="20" fillId="9" borderId="0" applyNumberFormat="0" applyBorder="0" applyAlignment="0" applyProtection="0"/>
    <xf numFmtId="175" fontId="20" fillId="10" borderId="0" applyNumberFormat="0" applyBorder="0" applyAlignment="0" applyProtection="0"/>
    <xf numFmtId="175" fontId="20" fillId="8" borderId="0" applyNumberFormat="0" applyBorder="0" applyAlignment="0" applyProtection="0"/>
    <xf numFmtId="175" fontId="20" fillId="11" borderId="0" applyNumberFormat="0" applyBorder="0" applyAlignment="0" applyProtection="0"/>
    <xf numFmtId="175" fontId="21" fillId="12" borderId="0" applyNumberFormat="0" applyBorder="0" applyAlignment="0" applyProtection="0"/>
    <xf numFmtId="175" fontId="21" fillId="16" borderId="0" applyNumberFormat="0" applyBorder="0" applyAlignment="0" applyProtection="0"/>
    <xf numFmtId="175" fontId="21" fillId="19" borderId="0" applyNumberFormat="0" applyBorder="0" applyAlignment="0" applyProtection="0"/>
    <xf numFmtId="175" fontId="21" fillId="23" borderId="0" applyNumberFormat="0" applyBorder="0" applyAlignment="0" applyProtection="0"/>
    <xf numFmtId="175" fontId="21" fillId="24" borderId="0" applyNumberFormat="0" applyBorder="0" applyAlignment="0" applyProtection="0"/>
    <xf numFmtId="175" fontId="21" fillId="25" borderId="0" applyNumberFormat="0" applyBorder="0" applyAlignment="0" applyProtection="0"/>
    <xf numFmtId="175" fontId="23" fillId="18" borderId="0" applyNumberFormat="0" applyBorder="0" applyAlignment="0" applyProtection="0"/>
    <xf numFmtId="175" fontId="24" fillId="28" borderId="1" applyNumberFormat="0" applyAlignment="0" applyProtection="0"/>
    <xf numFmtId="175" fontId="25" fillId="19" borderId="2" applyNumberFormat="0" applyAlignment="0" applyProtection="0"/>
    <xf numFmtId="43" fontId="15" fillId="0" borderId="0" applyFont="0" applyFill="0" applyBorder="0" applyAlignment="0" applyProtection="0"/>
    <xf numFmtId="175" fontId="27" fillId="0" borderId="0" applyNumberFormat="0" applyFill="0" applyBorder="0" applyAlignment="0" applyProtection="0"/>
    <xf numFmtId="175" fontId="28" fillId="32" borderId="0" applyNumberFormat="0" applyBorder="0" applyAlignment="0" applyProtection="0"/>
    <xf numFmtId="175" fontId="29" fillId="0" borderId="3" applyNumberFormat="0" applyFill="0" applyAlignment="0" applyProtection="0"/>
    <xf numFmtId="175" fontId="30" fillId="0" borderId="4" applyNumberFormat="0" applyFill="0" applyAlignment="0" applyProtection="0"/>
    <xf numFmtId="175" fontId="31" fillId="0" borderId="5" applyNumberFormat="0" applyFill="0" applyAlignment="0" applyProtection="0"/>
    <xf numFmtId="175" fontId="31" fillId="0" borderId="0" applyNumberFormat="0" applyFill="0" applyBorder="0" applyAlignment="0" applyProtection="0"/>
    <xf numFmtId="175" fontId="32" fillId="27" borderId="1" applyNumberFormat="0" applyAlignment="0" applyProtection="0"/>
    <xf numFmtId="175" fontId="33" fillId="0" borderId="6" applyNumberFormat="0" applyFill="0" applyAlignment="0" applyProtection="0"/>
    <xf numFmtId="175" fontId="34" fillId="27" borderId="0" applyNumberFormat="0" applyBorder="0" applyAlignment="0" applyProtection="0"/>
    <xf numFmtId="175" fontId="15" fillId="26" borderId="7" applyNumberFormat="0" applyFont="0" applyAlignment="0" applyProtection="0"/>
    <xf numFmtId="175" fontId="35" fillId="28" borderId="8" applyNumberFormat="0" applyAlignment="0" applyProtection="0"/>
    <xf numFmtId="175" fontId="42" fillId="0" borderId="0" applyNumberFormat="0" applyFill="0" applyBorder="0" applyAlignment="0" applyProtection="0"/>
    <xf numFmtId="175" fontId="26" fillId="0" borderId="12" applyNumberFormat="0" applyFill="0" applyAlignment="0" applyProtection="0"/>
    <xf numFmtId="175" fontId="43" fillId="0" borderId="0" applyNumberFormat="0" applyFill="0" applyBorder="0" applyAlignment="0" applyProtection="0"/>
    <xf numFmtId="9" fontId="15" fillId="0" borderId="0" applyFont="0" applyFill="0" applyBorder="0" applyAlignment="0" applyProtection="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15" fillId="0" borderId="0"/>
    <xf numFmtId="0" fontId="15" fillId="0" borderId="0"/>
    <xf numFmtId="0" fontId="15" fillId="0" borderId="0"/>
    <xf numFmtId="0" fontId="15" fillId="0" borderId="0"/>
    <xf numFmtId="0" fontId="6" fillId="0" borderId="0"/>
    <xf numFmtId="0" fontId="15" fillId="0" borderId="0"/>
    <xf numFmtId="0" fontId="15" fillId="0" borderId="0"/>
    <xf numFmtId="0" fontId="15" fillId="0" borderId="0"/>
    <xf numFmtId="0" fontId="5" fillId="0" borderId="0"/>
    <xf numFmtId="175" fontId="74"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20" fillId="8" borderId="0" applyNumberFormat="0" applyBorder="0" applyAlignment="0" applyProtection="0"/>
    <xf numFmtId="175" fontId="20" fillId="3" borderId="0" applyNumberFormat="0" applyBorder="0" applyAlignment="0" applyProtection="0"/>
    <xf numFmtId="175" fontId="20" fillId="9" borderId="0" applyNumberFormat="0" applyBorder="0" applyAlignment="0" applyProtection="0"/>
    <xf numFmtId="175" fontId="20" fillId="10" borderId="0" applyNumberFormat="0" applyBorder="0" applyAlignment="0" applyProtection="0"/>
    <xf numFmtId="175" fontId="20" fillId="8" borderId="0" applyNumberFormat="0" applyBorder="0" applyAlignment="0" applyProtection="0"/>
    <xf numFmtId="175" fontId="20" fillId="11" borderId="0" applyNumberFormat="0" applyBorder="0" applyAlignment="0" applyProtection="0"/>
    <xf numFmtId="175" fontId="21" fillId="12" borderId="0" applyNumberFormat="0" applyBorder="0" applyAlignment="0" applyProtection="0"/>
    <xf numFmtId="175" fontId="21" fillId="16" borderId="0" applyNumberFormat="0" applyBorder="0" applyAlignment="0" applyProtection="0"/>
    <xf numFmtId="175" fontId="21" fillId="19" borderId="0" applyNumberFormat="0" applyBorder="0" applyAlignment="0" applyProtection="0"/>
    <xf numFmtId="175" fontId="21" fillId="23" borderId="0" applyNumberFormat="0" applyBorder="0" applyAlignment="0" applyProtection="0"/>
    <xf numFmtId="175" fontId="21" fillId="24" borderId="0" applyNumberFormat="0" applyBorder="0" applyAlignment="0" applyProtection="0"/>
    <xf numFmtId="175" fontId="21" fillId="25" borderId="0" applyNumberFormat="0" applyBorder="0" applyAlignment="0" applyProtection="0"/>
    <xf numFmtId="175" fontId="23" fillId="18" borderId="0" applyNumberFormat="0" applyBorder="0" applyAlignment="0" applyProtection="0"/>
    <xf numFmtId="175" fontId="24" fillId="28" borderId="1" applyNumberFormat="0" applyAlignment="0" applyProtection="0"/>
    <xf numFmtId="175" fontId="25" fillId="19" borderId="2" applyNumberFormat="0" applyAlignment="0" applyProtection="0"/>
    <xf numFmtId="43" fontId="15" fillId="0" borderId="0" applyFont="0" applyFill="0" applyBorder="0" applyAlignment="0" applyProtection="0"/>
    <xf numFmtId="175" fontId="27" fillId="0" borderId="0" applyNumberFormat="0" applyFill="0" applyBorder="0" applyAlignment="0" applyProtection="0"/>
    <xf numFmtId="175" fontId="28" fillId="32" borderId="0" applyNumberFormat="0" applyBorder="0" applyAlignment="0" applyProtection="0"/>
    <xf numFmtId="175" fontId="29" fillId="0" borderId="3" applyNumberFormat="0" applyFill="0" applyAlignment="0" applyProtection="0"/>
    <xf numFmtId="175" fontId="30" fillId="0" borderId="4" applyNumberFormat="0" applyFill="0" applyAlignment="0" applyProtection="0"/>
    <xf numFmtId="175" fontId="31" fillId="0" borderId="5" applyNumberFormat="0" applyFill="0" applyAlignment="0" applyProtection="0"/>
    <xf numFmtId="175" fontId="31" fillId="0" borderId="0" applyNumberFormat="0" applyFill="0" applyBorder="0" applyAlignment="0" applyProtection="0"/>
    <xf numFmtId="175" fontId="32" fillId="27" borderId="1" applyNumberFormat="0" applyAlignment="0" applyProtection="0"/>
    <xf numFmtId="175" fontId="33" fillId="0" borderId="6" applyNumberFormat="0" applyFill="0" applyAlignment="0" applyProtection="0"/>
    <xf numFmtId="175" fontId="34" fillId="27" borderId="0" applyNumberFormat="0" applyBorder="0" applyAlignment="0" applyProtection="0"/>
    <xf numFmtId="175" fontId="15" fillId="26" borderId="7" applyNumberFormat="0" applyFont="0" applyAlignment="0" applyProtection="0"/>
    <xf numFmtId="175" fontId="35" fillId="28" borderId="8" applyNumberFormat="0" applyAlignment="0" applyProtection="0"/>
    <xf numFmtId="175" fontId="42" fillId="0" borderId="0" applyNumberFormat="0" applyFill="0" applyBorder="0" applyAlignment="0" applyProtection="0"/>
    <xf numFmtId="175" fontId="26" fillId="0" borderId="12" applyNumberFormat="0" applyFill="0" applyAlignment="0" applyProtection="0"/>
    <xf numFmtId="175" fontId="43" fillId="0" borderId="0" applyNumberFormat="0" applyFill="0" applyBorder="0" applyAlignment="0" applyProtection="0"/>
    <xf numFmtId="9" fontId="15"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0" fontId="7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0" fontId="4" fillId="0" borderId="0"/>
    <xf numFmtId="175" fontId="15"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0" fontId="15" fillId="0" borderId="0"/>
    <xf numFmtId="0" fontId="3" fillId="0" borderId="0"/>
    <xf numFmtId="4" fontId="44" fillId="0" borderId="69" applyNumberFormat="0" applyProtection="0">
      <alignment horizontal="right" vertical="center"/>
    </xf>
    <xf numFmtId="4" fontId="44" fillId="51" borderId="69" applyNumberFormat="0" applyProtection="0">
      <alignment horizontal="left" vertical="center" indent="1"/>
    </xf>
    <xf numFmtId="43" fontId="3" fillId="0" borderId="0" applyFont="0" applyFill="0" applyBorder="0" applyAlignment="0" applyProtection="0"/>
    <xf numFmtId="0" fontId="2" fillId="0" borderId="0"/>
    <xf numFmtId="0" fontId="2" fillId="66" borderId="0" applyNumberFormat="0" applyBorder="0" applyAlignment="0" applyProtection="0"/>
    <xf numFmtId="0" fontId="2" fillId="7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1" fillId="15"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1"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1" fillId="22"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1" fillId="2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1" fillId="14" borderId="0" applyNumberFormat="0" applyBorder="0" applyAlignment="0" applyProtection="0"/>
    <xf numFmtId="0" fontId="22" fillId="26" borderId="0" applyNumberFormat="0" applyBorder="0" applyAlignment="0" applyProtection="0"/>
    <xf numFmtId="0" fontId="22" fillId="18" borderId="0" applyNumberFormat="0" applyBorder="0" applyAlignment="0" applyProtection="0"/>
    <xf numFmtId="0" fontId="21" fillId="27" borderId="0" applyNumberFormat="0" applyBorder="0" applyAlignment="0" applyProtection="0"/>
    <xf numFmtId="0" fontId="104" fillId="76" borderId="0" applyNumberFormat="0" applyBorder="0" applyAlignment="0" applyProtection="0"/>
    <xf numFmtId="0" fontId="2" fillId="74" borderId="0" applyNumberFormat="0" applyBorder="0" applyAlignment="0" applyProtection="0"/>
    <xf numFmtId="0" fontId="2" fillId="73" borderId="0" applyNumberFormat="0" applyBorder="0" applyAlignment="0" applyProtection="0"/>
    <xf numFmtId="0" fontId="104" fillId="72"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 fillId="65" borderId="0" applyNumberFormat="0" applyBorder="0" applyAlignment="0" applyProtection="0"/>
    <xf numFmtId="0" fontId="103" fillId="0" borderId="82" applyNumberFormat="0" applyFill="0" applyAlignment="0" applyProtection="0"/>
    <xf numFmtId="0" fontId="102" fillId="0" borderId="0" applyNumberFormat="0" applyFill="0" applyBorder="0" applyAlignment="0" applyProtection="0"/>
    <xf numFmtId="0" fontId="98" fillId="57" borderId="77" applyNumberFormat="0" applyAlignment="0" applyProtection="0"/>
    <xf numFmtId="0" fontId="94" fillId="53" borderId="0" applyNumberFormat="0" applyBorder="0" applyAlignment="0" applyProtection="0"/>
    <xf numFmtId="0" fontId="36" fillId="33" borderId="9" applyNumberFormat="0" applyProtection="0">
      <alignment horizontal="left" vertical="top" indent="1"/>
    </xf>
    <xf numFmtId="0" fontId="93" fillId="0" borderId="0" applyNumberFormat="0" applyFill="0" applyBorder="0" applyAlignment="0" applyProtection="0"/>
    <xf numFmtId="0" fontId="93" fillId="0" borderId="76" applyNumberFormat="0" applyFill="0" applyAlignment="0" applyProtection="0"/>
    <xf numFmtId="0" fontId="92" fillId="0" borderId="75" applyNumberFormat="0" applyFill="0" applyAlignment="0" applyProtection="0"/>
    <xf numFmtId="0" fontId="91" fillId="0" borderId="74" applyNumberFormat="0" applyFill="0" applyAlignment="0" applyProtection="0"/>
    <xf numFmtId="43" fontId="15" fillId="0" borderId="0" applyFont="0" applyFill="0" applyBorder="0" applyAlignment="0" applyProtection="0"/>
    <xf numFmtId="0" fontId="104" fillId="64" borderId="0" applyNumberFormat="0" applyBorder="0" applyAlignment="0" applyProtection="0"/>
    <xf numFmtId="0" fontId="2" fillId="61" borderId="0" applyNumberFormat="0" applyBorder="0" applyAlignment="0" applyProtection="0"/>
    <xf numFmtId="0" fontId="15" fillId="8" borderId="9" applyNumberFormat="0" applyProtection="0">
      <alignment horizontal="left" vertical="center" indent="1"/>
    </xf>
    <xf numFmtId="0" fontId="15" fillId="8" borderId="9" applyNumberFormat="0" applyProtection="0">
      <alignment horizontal="left" vertical="top" indent="1"/>
    </xf>
    <xf numFmtId="0" fontId="15" fillId="2" borderId="9" applyNumberFormat="0" applyProtection="0">
      <alignment horizontal="left" vertical="center" indent="1"/>
    </xf>
    <xf numFmtId="0" fontId="15" fillId="2" borderId="9" applyNumberFormat="0" applyProtection="0">
      <alignment horizontal="left" vertical="top" indent="1"/>
    </xf>
    <xf numFmtId="0" fontId="15" fillId="6" borderId="9" applyNumberFormat="0" applyProtection="0">
      <alignment horizontal="left" vertical="center" indent="1"/>
    </xf>
    <xf numFmtId="0" fontId="15" fillId="6" borderId="9" applyNumberFormat="0" applyProtection="0">
      <alignment horizontal="left" vertical="top" indent="1"/>
    </xf>
    <xf numFmtId="0" fontId="15" fillId="41" borderId="9" applyNumberFormat="0" applyProtection="0">
      <alignment horizontal="left" vertical="center" indent="1"/>
    </xf>
    <xf numFmtId="0" fontId="15" fillId="41" borderId="9" applyNumberFormat="0" applyProtection="0">
      <alignment horizontal="left" vertical="top" indent="1"/>
    </xf>
    <xf numFmtId="0" fontId="15" fillId="5" borderId="11" applyNumberFormat="0">
      <protection locked="0"/>
    </xf>
    <xf numFmtId="0" fontId="2" fillId="61" borderId="0" applyNumberFormat="0" applyBorder="0" applyAlignment="0" applyProtection="0"/>
    <xf numFmtId="0" fontId="99" fillId="0" borderId="79" applyNumberFormat="0" applyFill="0" applyAlignment="0" applyProtection="0"/>
    <xf numFmtId="0" fontId="2" fillId="62" borderId="0" applyNumberFormat="0" applyBorder="0" applyAlignment="0" applyProtection="0"/>
    <xf numFmtId="0" fontId="17" fillId="4" borderId="9" applyNumberFormat="0" applyProtection="0">
      <alignment horizontal="left" vertical="top" indent="1"/>
    </xf>
    <xf numFmtId="0" fontId="2" fillId="61" borderId="0" applyNumberFormat="0" applyBorder="0" applyAlignment="0" applyProtection="0"/>
    <xf numFmtId="0" fontId="2" fillId="61" borderId="0" applyNumberFormat="0" applyBorder="0" applyAlignment="0" applyProtection="0"/>
    <xf numFmtId="0" fontId="95" fillId="54" borderId="0" applyNumberFormat="0" applyBorder="0" applyAlignment="0" applyProtection="0"/>
    <xf numFmtId="0" fontId="17" fillId="2" borderId="9" applyNumberFormat="0" applyProtection="0">
      <alignment horizontal="left" vertical="top" indent="1"/>
    </xf>
    <xf numFmtId="0" fontId="104" fillId="64" borderId="0" applyNumberFormat="0" applyBorder="0" applyAlignment="0" applyProtection="0"/>
    <xf numFmtId="0" fontId="104" fillId="60" borderId="0" applyNumberFormat="0" applyBorder="0" applyAlignment="0" applyProtection="0"/>
    <xf numFmtId="0" fontId="42" fillId="0" borderId="0" applyNumberFormat="0" applyFill="0" applyBorder="0" applyAlignment="0" applyProtection="0"/>
    <xf numFmtId="0" fontId="104" fillId="68" borderId="0" applyNumberFormat="0" applyBorder="0" applyAlignment="0" applyProtection="0"/>
    <xf numFmtId="0" fontId="2" fillId="69"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104" fillId="80" borderId="0" applyNumberFormat="0" applyBorder="0" applyAlignment="0" applyProtection="0"/>
    <xf numFmtId="0" fontId="2" fillId="8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2" fillId="85" borderId="0" applyNumberFormat="0" applyBorder="0" applyAlignment="0" applyProtection="0"/>
    <xf numFmtId="0" fontId="22" fillId="8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2" fillId="86" borderId="0" applyNumberFormat="0" applyBorder="0" applyAlignment="0" applyProtection="0"/>
    <xf numFmtId="0" fontId="2" fillId="61" borderId="0" applyNumberFormat="0" applyBorder="0" applyAlignment="0" applyProtection="0"/>
    <xf numFmtId="0" fontId="2" fillId="82" borderId="0" applyNumberFormat="0" applyBorder="0" applyAlignment="0" applyProtection="0"/>
    <xf numFmtId="0" fontId="2" fillId="0" borderId="0"/>
    <xf numFmtId="0" fontId="101" fillId="0" borderId="0" applyNumberFormat="0" applyFill="0" applyBorder="0" applyAlignment="0" applyProtection="0"/>
    <xf numFmtId="0" fontId="100" fillId="58" borderId="80" applyNumberFormat="0" applyAlignment="0" applyProtection="0"/>
    <xf numFmtId="0" fontId="22" fillId="7" borderId="0" applyNumberFormat="0" applyBorder="0" applyAlignment="0" applyProtection="0"/>
    <xf numFmtId="0" fontId="22" fillId="84" borderId="0" applyNumberFormat="0" applyBorder="0" applyAlignment="0" applyProtection="0"/>
    <xf numFmtId="0" fontId="22" fillId="84" borderId="0" applyNumberFormat="0" applyBorder="0" applyAlignment="0" applyProtection="0"/>
    <xf numFmtId="0" fontId="97" fillId="57" borderId="78" applyNumberFormat="0" applyAlignment="0" applyProtection="0"/>
    <xf numFmtId="0" fontId="96" fillId="56" borderId="77" applyNumberFormat="0" applyAlignment="0" applyProtection="0"/>
    <xf numFmtId="0" fontId="22" fillId="7" borderId="0" applyNumberFormat="0" applyBorder="0" applyAlignment="0" applyProtection="0"/>
    <xf numFmtId="0" fontId="22" fillId="86"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2" fillId="87" borderId="0" applyNumberFormat="0" applyBorder="0" applyAlignment="0" applyProtection="0"/>
    <xf numFmtId="0" fontId="22" fillId="8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2" fillId="86" borderId="0" applyNumberFormat="0" applyBorder="0" applyAlignment="0" applyProtection="0"/>
    <xf numFmtId="0" fontId="22" fillId="86"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1" fillId="88" borderId="0" applyNumberFormat="0" applyBorder="0" applyAlignment="0" applyProtection="0"/>
    <xf numFmtId="0" fontId="21" fillId="3" borderId="0" applyNumberFormat="0" applyBorder="0" applyAlignment="0" applyProtection="0"/>
    <xf numFmtId="0" fontId="21" fillId="39" borderId="0" applyNumberFormat="0" applyBorder="0" applyAlignment="0" applyProtection="0"/>
    <xf numFmtId="0" fontId="21" fillId="89" borderId="0" applyNumberFormat="0" applyBorder="0" applyAlignment="0" applyProtection="0"/>
    <xf numFmtId="0" fontId="21" fillId="51" borderId="0" applyNumberFormat="0" applyBorder="0" applyAlignment="0" applyProtection="0"/>
    <xf numFmtId="0" fontId="21" fillId="36" borderId="0" applyNumberFormat="0" applyBorder="0" applyAlignment="0" applyProtection="0"/>
    <xf numFmtId="0" fontId="22" fillId="90" borderId="0" applyNumberFormat="0" applyBorder="0" applyAlignment="0" applyProtection="0"/>
    <xf numFmtId="0" fontId="22" fillId="90"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1" fillId="91" borderId="0" applyNumberFormat="0" applyBorder="0" applyAlignment="0" applyProtection="0"/>
    <xf numFmtId="0" fontId="21" fillId="12" borderId="0" applyNumberFormat="0" applyBorder="0" applyAlignment="0" applyProtection="0"/>
    <xf numFmtId="0" fontId="21" fillId="92" borderId="0" applyNumberFormat="0" applyBorder="0" applyAlignment="0" applyProtection="0"/>
    <xf numFmtId="0" fontId="21" fillId="92" borderId="0" applyNumberFormat="0" applyBorder="0" applyAlignment="0" applyProtection="0"/>
    <xf numFmtId="0" fontId="21" fillId="92" borderId="0" applyNumberFormat="0" applyBorder="0" applyAlignment="0" applyProtection="0"/>
    <xf numFmtId="0" fontId="21" fillId="92" borderId="0" applyNumberFormat="0" applyBorder="0" applyAlignment="0" applyProtection="0"/>
    <xf numFmtId="0" fontId="21" fillId="92" borderId="0" applyNumberFormat="0" applyBorder="0" applyAlignment="0" applyProtection="0"/>
    <xf numFmtId="0" fontId="22" fillId="93" borderId="0" applyNumberFormat="0" applyBorder="0" applyAlignment="0" applyProtection="0"/>
    <xf numFmtId="0" fontId="22" fillId="93"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1" fillId="18" borderId="0" applyNumberFormat="0" applyBorder="0" applyAlignment="0" applyProtection="0"/>
    <xf numFmtId="0" fontId="21" fillId="16"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2" fillId="94" borderId="0" applyNumberFormat="0" applyBorder="0" applyAlignment="0" applyProtection="0"/>
    <xf numFmtId="0" fontId="22" fillId="94" borderId="0" applyNumberFormat="0" applyBorder="0" applyAlignment="0" applyProtection="0"/>
    <xf numFmtId="0" fontId="22" fillId="95" borderId="0" applyNumberFormat="0" applyBorder="0" applyAlignment="0" applyProtection="0"/>
    <xf numFmtId="0" fontId="22" fillId="95" borderId="0" applyNumberFormat="0" applyBorder="0" applyAlignment="0" applyProtection="0"/>
    <xf numFmtId="0" fontId="21" fillId="96" borderId="0" applyNumberFormat="0" applyBorder="0" applyAlignment="0" applyProtection="0"/>
    <xf numFmtId="0" fontId="21" fillId="97"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2" fillId="93" borderId="0" applyNumberFormat="0" applyBorder="0" applyAlignment="0" applyProtection="0"/>
    <xf numFmtId="0" fontId="22" fillId="93"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1" fillId="21" borderId="0" applyNumberFormat="0" applyBorder="0" applyAlignment="0" applyProtection="0"/>
    <xf numFmtId="0" fontId="21" fillId="98" borderId="0" applyNumberFormat="0" applyBorder="0" applyAlignment="0" applyProtection="0"/>
    <xf numFmtId="0" fontId="21" fillId="89" borderId="0" applyNumberFormat="0" applyBorder="0" applyAlignment="0" applyProtection="0"/>
    <xf numFmtId="0" fontId="21" fillId="89" borderId="0" applyNumberFormat="0" applyBorder="0" applyAlignment="0" applyProtection="0"/>
    <xf numFmtId="0" fontId="21" fillId="89" borderId="0" applyNumberFormat="0" applyBorder="0" applyAlignment="0" applyProtection="0"/>
    <xf numFmtId="0" fontId="21" fillId="89" borderId="0" applyNumberFormat="0" applyBorder="0" applyAlignment="0" applyProtection="0"/>
    <xf numFmtId="0" fontId="21" fillId="8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104" fillId="68" borderId="0" applyNumberFormat="0" applyBorder="0" applyAlignment="0" applyProtection="0"/>
    <xf numFmtId="0" fontId="21" fillId="91" borderId="0" applyNumberFormat="0" applyBorder="0" applyAlignment="0" applyProtection="0"/>
    <xf numFmtId="0" fontId="21" fillId="9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1" fillId="99" borderId="0" applyNumberFormat="0" applyBorder="0" applyAlignment="0" applyProtection="0"/>
    <xf numFmtId="0" fontId="21" fillId="100"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106" fillId="26" borderId="0" applyNumberFormat="0" applyBorder="0" applyAlignment="0" applyProtection="0"/>
    <xf numFmtId="0" fontId="95" fillId="54" borderId="0" applyNumberFormat="0" applyBorder="0" applyAlignment="0" applyProtection="0"/>
    <xf numFmtId="0" fontId="107" fillId="7" borderId="0" applyNumberFormat="0" applyBorder="0" applyAlignment="0" applyProtection="0"/>
    <xf numFmtId="0" fontId="108" fillId="101" borderId="69" applyNumberFormat="0" applyAlignment="0" applyProtection="0"/>
    <xf numFmtId="0" fontId="109" fillId="10" borderId="1" applyNumberFormat="0" applyAlignment="0" applyProtection="0"/>
    <xf numFmtId="0" fontId="25" fillId="98" borderId="2" applyNumberFormat="0" applyAlignment="0" applyProtection="0"/>
    <xf numFmtId="0" fontId="25" fillId="102" borderId="2" applyNumberFormat="0" applyAlignment="0" applyProtection="0"/>
    <xf numFmtId="41" fontId="11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22" fillId="0" borderId="0" applyFont="0" applyFill="0" applyBorder="0" applyAlignment="0" applyProtection="0"/>
    <xf numFmtId="43" fontId="15"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5" fillId="0" borderId="0" applyFont="0" applyFill="0" applyBorder="0" applyAlignment="0" applyProtection="0"/>
    <xf numFmtId="43" fontId="110" fillId="0" borderId="0" applyFont="0" applyFill="0" applyBorder="0" applyAlignment="0" applyProtection="0"/>
    <xf numFmtId="43" fontId="15"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0" fontId="104" fillId="60" borderId="0" applyNumberFormat="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5" fillId="0" borderId="0" applyFont="0" applyFill="0" applyBorder="0" applyAlignment="0" applyProtection="0"/>
    <xf numFmtId="44" fontId="110" fillId="0" borderId="0" applyFont="0" applyFill="0" applyBorder="0" applyAlignment="0" applyProtection="0"/>
    <xf numFmtId="44" fontId="15"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5"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5"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110" fillId="0" borderId="0" applyFont="0" applyFill="0" applyBorder="0" applyAlignment="0" applyProtection="0"/>
    <xf numFmtId="44" fontId="2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2"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26" fillId="103" borderId="0" applyNumberFormat="0" applyBorder="0" applyAlignment="0" applyProtection="0"/>
    <xf numFmtId="0" fontId="26" fillId="104" borderId="0" applyNumberFormat="0" applyBorder="0" applyAlignment="0" applyProtection="0"/>
    <xf numFmtId="0" fontId="111" fillId="0" borderId="0" applyNumberFormat="0" applyFill="0" applyBorder="0" applyAlignment="0" applyProtection="0"/>
    <xf numFmtId="0" fontId="22" fillId="95" borderId="0" applyNumberFormat="0" applyBorder="0" applyAlignment="0" applyProtection="0"/>
    <xf numFmtId="0" fontId="28" fillId="85" borderId="0" applyNumberFormat="0" applyBorder="0" applyAlignment="0" applyProtection="0"/>
    <xf numFmtId="0" fontId="22" fillId="95" borderId="0" applyNumberFormat="0" applyBorder="0" applyAlignment="0" applyProtection="0"/>
    <xf numFmtId="0" fontId="29" fillId="0" borderId="3" applyNumberFormat="0" applyFill="0" applyAlignment="0" applyProtection="0"/>
    <xf numFmtId="0" fontId="112" fillId="0" borderId="84" applyNumberFormat="0" applyFill="0" applyAlignment="0" applyProtection="0"/>
    <xf numFmtId="0" fontId="30" fillId="0" borderId="85" applyNumberFormat="0" applyFill="0" applyAlignment="0" applyProtection="0"/>
    <xf numFmtId="0" fontId="113" fillId="0" borderId="4" applyNumberFormat="0" applyFill="0" applyAlignment="0" applyProtection="0"/>
    <xf numFmtId="0" fontId="31" fillId="0" borderId="86" applyNumberFormat="0" applyFill="0" applyAlignment="0" applyProtection="0"/>
    <xf numFmtId="0" fontId="114" fillId="0" borderId="87" applyNumberFormat="0" applyFill="0" applyAlignment="0" applyProtection="0"/>
    <xf numFmtId="0" fontId="31" fillId="0" borderId="0" applyNumberFormat="0" applyFill="0" applyBorder="0" applyAlignment="0" applyProtection="0"/>
    <xf numFmtId="0" fontId="114" fillId="0" borderId="0" applyNumberFormat="0" applyFill="0" applyBorder="0" applyAlignment="0" applyProtection="0"/>
    <xf numFmtId="0" fontId="32" fillId="27" borderId="69" applyNumberFormat="0" applyAlignment="0" applyProtection="0"/>
    <xf numFmtId="0" fontId="115" fillId="11" borderId="1" applyNumberFormat="0" applyAlignment="0" applyProtection="0"/>
    <xf numFmtId="0" fontId="28" fillId="0" borderId="88" applyNumberFormat="0" applyFill="0" applyAlignment="0" applyProtection="0"/>
    <xf numFmtId="0" fontId="116" fillId="0" borderId="89" applyNumberFormat="0" applyFill="0" applyAlignment="0" applyProtection="0"/>
    <xf numFmtId="0" fontId="28" fillId="27" borderId="0" applyNumberFormat="0" applyBorder="0" applyAlignment="0" applyProtection="0"/>
    <xf numFmtId="0" fontId="105" fillId="55" borderId="0" applyNumberFormat="0" applyBorder="0" applyAlignment="0" applyProtection="0"/>
    <xf numFmtId="0" fontId="34" fillId="33" borderId="0" applyNumberFormat="0" applyBorder="0" applyAlignment="0" applyProtection="0"/>
    <xf numFmtId="0" fontId="2" fillId="0" borderId="0"/>
    <xf numFmtId="0" fontId="2" fillId="0" borderId="0"/>
    <xf numFmtId="0" fontId="110" fillId="0" borderId="0"/>
    <xf numFmtId="0" fontId="110" fillId="0" borderId="0"/>
    <xf numFmtId="0" fontId="15" fillId="0" borderId="0"/>
    <xf numFmtId="0" fontId="110" fillId="0" borderId="0"/>
    <xf numFmtId="0" fontId="110" fillId="0" borderId="0"/>
    <xf numFmtId="0" fontId="110" fillId="0" borderId="0"/>
    <xf numFmtId="0" fontId="1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15" fillId="0" borderId="0"/>
    <xf numFmtId="0" fontId="2" fillId="0" borderId="0"/>
    <xf numFmtId="0" fontId="2" fillId="0" borderId="0"/>
    <xf numFmtId="0" fontId="22" fillId="0" borderId="0"/>
    <xf numFmtId="0" fontId="22" fillId="0" borderId="0"/>
    <xf numFmtId="0" fontId="22" fillId="0" borderId="0"/>
    <xf numFmtId="0" fontId="22" fillId="0" borderId="0"/>
    <xf numFmtId="0" fontId="15" fillId="0" borderId="0"/>
    <xf numFmtId="0" fontId="22" fillId="0" borderId="0"/>
    <xf numFmtId="0" fontId="22" fillId="0" borderId="0"/>
    <xf numFmtId="0" fontId="22" fillId="0" borderId="0"/>
    <xf numFmtId="0" fontId="22" fillId="0" borderId="0"/>
    <xf numFmtId="0" fontId="44" fillId="105" borderId="0"/>
    <xf numFmtId="0" fontId="22" fillId="0" borderId="0"/>
    <xf numFmtId="0" fontId="15" fillId="0" borderId="0"/>
    <xf numFmtId="0" fontId="15" fillId="0" borderId="0"/>
    <xf numFmtId="0" fontId="22" fillId="0" borderId="0"/>
    <xf numFmtId="0" fontId="22" fillId="0" borderId="0"/>
    <xf numFmtId="0" fontId="44" fillId="105" borderId="0"/>
    <xf numFmtId="0" fontId="22" fillId="0" borderId="0"/>
    <xf numFmtId="0" fontId="22" fillId="0" borderId="0"/>
    <xf numFmtId="0" fontId="15" fillId="0" borderId="0"/>
    <xf numFmtId="0" fontId="22" fillId="0" borderId="0"/>
    <xf numFmtId="0" fontId="22" fillId="0" borderId="0"/>
    <xf numFmtId="0" fontId="22" fillId="0" borderId="0"/>
    <xf numFmtId="0" fontId="22" fillId="0" borderId="0"/>
    <xf numFmtId="0" fontId="22" fillId="0" borderId="0"/>
    <xf numFmtId="0" fontId="22" fillId="0" borderId="0"/>
    <xf numFmtId="0"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0" fillId="0" borderId="0"/>
    <xf numFmtId="0" fontId="1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15" fillId="0" borderId="0"/>
    <xf numFmtId="0" fontId="2" fillId="0" borderId="0"/>
    <xf numFmtId="0" fontId="2" fillId="0" borderId="0"/>
    <xf numFmtId="0" fontId="15" fillId="0" borderId="0"/>
    <xf numFmtId="0"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0" fillId="0" borderId="0"/>
    <xf numFmtId="0" fontId="2" fillId="59" borderId="81" applyNumberFormat="0" applyFont="0" applyAlignment="0" applyProtection="0"/>
    <xf numFmtId="0" fontId="17" fillId="4" borderId="7" applyNumberFormat="0" applyFont="0" applyAlignment="0" applyProtection="0"/>
    <xf numFmtId="0" fontId="22" fillId="59" borderId="81" applyNumberFormat="0" applyFont="0" applyAlignment="0" applyProtection="0"/>
    <xf numFmtId="0" fontId="44" fillId="26" borderId="69" applyNumberFormat="0" applyFont="0" applyAlignment="0" applyProtection="0"/>
    <xf numFmtId="0" fontId="22" fillId="59" borderId="81" applyNumberFormat="0" applyFont="0" applyAlignment="0" applyProtection="0"/>
    <xf numFmtId="0" fontId="22" fillId="59" borderId="81" applyNumberFormat="0" applyFont="0" applyAlignment="0" applyProtection="0"/>
    <xf numFmtId="0" fontId="2" fillId="59" borderId="81" applyNumberFormat="0" applyFont="0" applyAlignment="0" applyProtection="0"/>
    <xf numFmtId="0" fontId="35" fillId="101" borderId="8" applyNumberFormat="0" applyAlignment="0" applyProtection="0"/>
    <xf numFmtId="0" fontId="35" fillId="10" borderId="8"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5"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22" fillId="0" borderId="0" applyFont="0" applyFill="0" applyBorder="0" applyAlignment="0" applyProtection="0"/>
    <xf numFmtId="9" fontId="2" fillId="0" borderId="0" applyFont="0" applyFill="0" applyBorder="0" applyAlignment="0" applyProtection="0"/>
    <xf numFmtId="9" fontId="110" fillId="0" borderId="0" applyFont="0" applyFill="0" applyBorder="0" applyAlignment="0" applyProtection="0"/>
    <xf numFmtId="9" fontId="15"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 fontId="17" fillId="106" borderId="8" applyNumberFormat="0" applyProtection="0">
      <alignment vertical="center"/>
    </xf>
    <xf numFmtId="4" fontId="17" fillId="106" borderId="8" applyNumberFormat="0" applyProtection="0">
      <alignment vertical="center"/>
    </xf>
    <xf numFmtId="4" fontId="44" fillId="33" borderId="69" applyNumberFormat="0" applyProtection="0">
      <alignment vertical="center"/>
    </xf>
    <xf numFmtId="4" fontId="44" fillId="33" borderId="69" applyNumberFormat="0" applyProtection="0">
      <alignment vertical="center"/>
    </xf>
    <xf numFmtId="4" fontId="44" fillId="33" borderId="69" applyNumberFormat="0" applyProtection="0">
      <alignment vertical="center"/>
    </xf>
    <xf numFmtId="4" fontId="39" fillId="106" borderId="8" applyNumberFormat="0" applyProtection="0">
      <alignment vertical="center"/>
    </xf>
    <xf numFmtId="4" fontId="117" fillId="106" borderId="69" applyNumberFormat="0" applyProtection="0">
      <alignment vertical="center"/>
    </xf>
    <xf numFmtId="4" fontId="17" fillId="106" borderId="8" applyNumberFormat="0" applyProtection="0">
      <alignment horizontal="left" vertical="center" indent="1"/>
    </xf>
    <xf numFmtId="4" fontId="44" fillId="106" borderId="69" applyNumberFormat="0" applyProtection="0">
      <alignment horizontal="left" vertical="center" indent="1"/>
    </xf>
    <xf numFmtId="4" fontId="44" fillId="106" borderId="69" applyNumberFormat="0" applyProtection="0">
      <alignment horizontal="left" vertical="center" indent="1"/>
    </xf>
    <xf numFmtId="4" fontId="44" fillId="106" borderId="69" applyNumberFormat="0" applyProtection="0">
      <alignment horizontal="left" vertical="center" indent="1"/>
    </xf>
    <xf numFmtId="4" fontId="17" fillId="106" borderId="8" applyNumberFormat="0" applyProtection="0">
      <alignment horizontal="left" vertical="center" indent="1"/>
    </xf>
    <xf numFmtId="0" fontId="118" fillId="33" borderId="9" applyNumberFormat="0" applyProtection="0">
      <alignment horizontal="left" vertical="top" indent="1"/>
    </xf>
    <xf numFmtId="0" fontId="15" fillId="107" borderId="8" applyNumberFormat="0" applyProtection="0">
      <alignment horizontal="left" vertical="center" indent="1"/>
    </xf>
    <xf numFmtId="4" fontId="44" fillId="51" borderId="69" applyNumberFormat="0" applyProtection="0">
      <alignment horizontal="left" vertical="center" indent="1"/>
    </xf>
    <xf numFmtId="4" fontId="44" fillId="51" borderId="69" applyNumberFormat="0" applyProtection="0">
      <alignment horizontal="left" vertical="center" indent="1"/>
    </xf>
    <xf numFmtId="4" fontId="44" fillId="51" borderId="69" applyNumberFormat="0" applyProtection="0">
      <alignment horizontal="left" vertical="center" indent="1"/>
    </xf>
    <xf numFmtId="4" fontId="44" fillId="51" borderId="69" applyNumberFormat="0" applyProtection="0">
      <alignment horizontal="left" vertical="center" indent="1"/>
    </xf>
    <xf numFmtId="4" fontId="17" fillId="108" borderId="8" applyNumberFormat="0" applyProtection="0">
      <alignment horizontal="right" vertical="center"/>
    </xf>
    <xf numFmtId="4" fontId="44" fillId="7" borderId="69" applyNumberFormat="0" applyProtection="0">
      <alignment horizontal="right" vertical="center"/>
    </xf>
    <xf numFmtId="4" fontId="44" fillId="7" borderId="69" applyNumberFormat="0" applyProtection="0">
      <alignment horizontal="right" vertical="center"/>
    </xf>
    <xf numFmtId="4" fontId="44" fillId="7" borderId="69" applyNumberFormat="0" applyProtection="0">
      <alignment horizontal="right" vertical="center"/>
    </xf>
    <xf numFmtId="4" fontId="17" fillId="109" borderId="8" applyNumberFormat="0" applyProtection="0">
      <alignment horizontal="right" vertical="center"/>
    </xf>
    <xf numFmtId="4" fontId="44" fillId="110" borderId="69" applyNumberFormat="0" applyProtection="0">
      <alignment horizontal="right" vertical="center"/>
    </xf>
    <xf numFmtId="4" fontId="44" fillId="110" borderId="69" applyNumberFormat="0" applyProtection="0">
      <alignment horizontal="right" vertical="center"/>
    </xf>
    <xf numFmtId="4" fontId="44" fillId="110" borderId="69" applyNumberFormat="0" applyProtection="0">
      <alignment horizontal="right" vertical="center"/>
    </xf>
    <xf numFmtId="4" fontId="17" fillId="111" borderId="8" applyNumberFormat="0" applyProtection="0">
      <alignment horizontal="right" vertical="center"/>
    </xf>
    <xf numFmtId="4" fontId="44" fillId="34" borderId="83" applyNumberFormat="0" applyProtection="0">
      <alignment horizontal="right" vertical="center"/>
    </xf>
    <xf numFmtId="4" fontId="44" fillId="34" borderId="83" applyNumberFormat="0" applyProtection="0">
      <alignment horizontal="right" vertical="center"/>
    </xf>
    <xf numFmtId="4" fontId="44" fillId="34" borderId="83" applyNumberFormat="0" applyProtection="0">
      <alignment horizontal="right" vertical="center"/>
    </xf>
    <xf numFmtId="4" fontId="17" fillId="112" borderId="8" applyNumberFormat="0" applyProtection="0">
      <alignment horizontal="right" vertical="center"/>
    </xf>
    <xf numFmtId="4" fontId="44" fillId="35" borderId="69" applyNumberFormat="0" applyProtection="0">
      <alignment horizontal="right" vertical="center"/>
    </xf>
    <xf numFmtId="4" fontId="44" fillId="35" borderId="69" applyNumberFormat="0" applyProtection="0">
      <alignment horizontal="right" vertical="center"/>
    </xf>
    <xf numFmtId="4" fontId="44" fillId="35" borderId="69" applyNumberFormat="0" applyProtection="0">
      <alignment horizontal="right" vertical="center"/>
    </xf>
    <xf numFmtId="4" fontId="17" fillId="113" borderId="8" applyNumberFormat="0" applyProtection="0">
      <alignment horizontal="right" vertical="center"/>
    </xf>
    <xf numFmtId="4" fontId="44" fillId="36" borderId="69" applyNumberFormat="0" applyProtection="0">
      <alignment horizontal="right" vertical="center"/>
    </xf>
    <xf numFmtId="4" fontId="44" fillId="36" borderId="69" applyNumberFormat="0" applyProtection="0">
      <alignment horizontal="right" vertical="center"/>
    </xf>
    <xf numFmtId="4" fontId="44" fillId="36" borderId="69" applyNumberFormat="0" applyProtection="0">
      <alignment horizontal="right" vertical="center"/>
    </xf>
    <xf numFmtId="4" fontId="17" fillId="114" borderId="8" applyNumberFormat="0" applyProtection="0">
      <alignment horizontal="right" vertical="center"/>
    </xf>
    <xf numFmtId="4" fontId="44" fillId="37" borderId="69" applyNumberFormat="0" applyProtection="0">
      <alignment horizontal="right" vertical="center"/>
    </xf>
    <xf numFmtId="4" fontId="44" fillId="37" borderId="69" applyNumberFormat="0" applyProtection="0">
      <alignment horizontal="right" vertical="center"/>
    </xf>
    <xf numFmtId="4" fontId="44" fillId="37" borderId="69" applyNumberFormat="0" applyProtection="0">
      <alignment horizontal="right" vertical="center"/>
    </xf>
    <xf numFmtId="4" fontId="17" fillId="115" borderId="8" applyNumberFormat="0" applyProtection="0">
      <alignment horizontal="right" vertical="center"/>
    </xf>
    <xf numFmtId="4" fontId="44" fillId="9" borderId="69" applyNumberFormat="0" applyProtection="0">
      <alignment horizontal="right" vertical="center"/>
    </xf>
    <xf numFmtId="4" fontId="44" fillId="9" borderId="69" applyNumberFormat="0" applyProtection="0">
      <alignment horizontal="right" vertical="center"/>
    </xf>
    <xf numFmtId="4" fontId="44" fillId="9" borderId="69" applyNumberFormat="0" applyProtection="0">
      <alignment horizontal="right" vertical="center"/>
    </xf>
    <xf numFmtId="4" fontId="17" fillId="116" borderId="8" applyNumberFormat="0" applyProtection="0">
      <alignment horizontal="right" vertical="center"/>
    </xf>
    <xf numFmtId="4" fontId="44" fillId="38" borderId="69" applyNumberFormat="0" applyProtection="0">
      <alignment horizontal="right" vertical="center"/>
    </xf>
    <xf numFmtId="4" fontId="44" fillId="38" borderId="69" applyNumberFormat="0" applyProtection="0">
      <alignment horizontal="right" vertical="center"/>
    </xf>
    <xf numFmtId="4" fontId="44" fillId="38" borderId="69" applyNumberFormat="0" applyProtection="0">
      <alignment horizontal="right" vertical="center"/>
    </xf>
    <xf numFmtId="4" fontId="17" fillId="117" borderId="8" applyNumberFormat="0" applyProtection="0">
      <alignment horizontal="right" vertical="center"/>
    </xf>
    <xf numFmtId="4" fontId="44" fillId="39" borderId="69" applyNumberFormat="0" applyProtection="0">
      <alignment horizontal="right" vertical="center"/>
    </xf>
    <xf numFmtId="4" fontId="44" fillId="39" borderId="69" applyNumberFormat="0" applyProtection="0">
      <alignment horizontal="right" vertical="center"/>
    </xf>
    <xf numFmtId="4" fontId="44" fillId="39" borderId="69" applyNumberFormat="0" applyProtection="0">
      <alignment horizontal="right" vertical="center"/>
    </xf>
    <xf numFmtId="4" fontId="36" fillId="118" borderId="8" applyNumberFormat="0" applyProtection="0">
      <alignment horizontal="left" vertical="center" indent="1"/>
    </xf>
    <xf numFmtId="4" fontId="44" fillId="40" borderId="83" applyNumberFormat="0" applyProtection="0">
      <alignment horizontal="left" vertical="center" indent="1"/>
    </xf>
    <xf numFmtId="4" fontId="44" fillId="40" borderId="83" applyNumberFormat="0" applyProtection="0">
      <alignment horizontal="left" vertical="center" indent="1"/>
    </xf>
    <xf numFmtId="4" fontId="44" fillId="40" borderId="83" applyNumberFormat="0" applyProtection="0">
      <alignment horizontal="left" vertical="center" indent="1"/>
    </xf>
    <xf numFmtId="4" fontId="17" fillId="119" borderId="90" applyNumberFormat="0" applyProtection="0">
      <alignment horizontal="left" vertical="center" indent="1"/>
    </xf>
    <xf numFmtId="4" fontId="15" fillId="8" borderId="83" applyNumberFormat="0" applyProtection="0">
      <alignment horizontal="left" vertical="center" indent="1"/>
    </xf>
    <xf numFmtId="4" fontId="38" fillId="120" borderId="0" applyNumberFormat="0" applyProtection="0">
      <alignment horizontal="left" vertical="center" indent="1"/>
    </xf>
    <xf numFmtId="4" fontId="15" fillId="8" borderId="83" applyNumberFormat="0" applyProtection="0">
      <alignment horizontal="left" vertical="center" indent="1"/>
    </xf>
    <xf numFmtId="0" fontId="15" fillId="107" borderId="8" applyNumberFormat="0" applyProtection="0">
      <alignment horizontal="left" vertical="center" indent="1"/>
    </xf>
    <xf numFmtId="4" fontId="44" fillId="2" borderId="69" applyNumberFormat="0" applyProtection="0">
      <alignment horizontal="right" vertical="center"/>
    </xf>
    <xf numFmtId="4" fontId="44" fillId="2" borderId="69" applyNumberFormat="0" applyProtection="0">
      <alignment horizontal="right" vertical="center"/>
    </xf>
    <xf numFmtId="4" fontId="44" fillId="2" borderId="69" applyNumberFormat="0" applyProtection="0">
      <alignment horizontal="right" vertical="center"/>
    </xf>
    <xf numFmtId="4" fontId="17" fillId="119" borderId="8" applyNumberFormat="0" applyProtection="0">
      <alignment horizontal="left" vertical="center" indent="1"/>
    </xf>
    <xf numFmtId="4" fontId="44" fillId="41" borderId="83" applyNumberFormat="0" applyProtection="0">
      <alignment horizontal="left" vertical="center" indent="1"/>
    </xf>
    <xf numFmtId="4" fontId="44" fillId="41" borderId="83" applyNumberFormat="0" applyProtection="0">
      <alignment horizontal="left" vertical="center" indent="1"/>
    </xf>
    <xf numFmtId="4" fontId="44" fillId="41" borderId="83" applyNumberFormat="0" applyProtection="0">
      <alignment horizontal="left" vertical="center" indent="1"/>
    </xf>
    <xf numFmtId="4" fontId="17" fillId="46" borderId="8" applyNumberFormat="0" applyProtection="0">
      <alignment horizontal="left" vertical="center" indent="1"/>
    </xf>
    <xf numFmtId="4" fontId="44" fillId="2" borderId="83" applyNumberFormat="0" applyProtection="0">
      <alignment horizontal="left" vertical="center" indent="1"/>
    </xf>
    <xf numFmtId="4" fontId="44" fillId="2" borderId="83" applyNumberFormat="0" applyProtection="0">
      <alignment horizontal="left" vertical="center" indent="1"/>
    </xf>
    <xf numFmtId="4" fontId="44" fillId="2" borderId="83" applyNumberFormat="0" applyProtection="0">
      <alignment horizontal="left" vertical="center" indent="1"/>
    </xf>
    <xf numFmtId="0" fontId="15" fillId="46" borderId="8" applyNumberFormat="0" applyProtection="0">
      <alignment horizontal="left" vertical="center" indent="1"/>
    </xf>
    <xf numFmtId="0" fontId="44" fillId="10" borderId="69" applyNumberFormat="0" applyProtection="0">
      <alignment horizontal="left" vertical="center" indent="1"/>
    </xf>
    <xf numFmtId="0" fontId="44" fillId="10" borderId="69" applyNumberFormat="0" applyProtection="0">
      <alignment horizontal="left" vertical="center" indent="1"/>
    </xf>
    <xf numFmtId="0" fontId="44" fillId="10" borderId="69" applyNumberFormat="0" applyProtection="0">
      <alignment horizontal="left" vertical="center" indent="1"/>
    </xf>
    <xf numFmtId="0" fontId="15" fillId="46" borderId="8" applyNumberFormat="0" applyProtection="0">
      <alignment horizontal="left" vertical="center" indent="1"/>
    </xf>
    <xf numFmtId="0" fontId="44" fillId="8" borderId="9" applyNumberFormat="0" applyProtection="0">
      <alignment horizontal="left" vertical="top" indent="1"/>
    </xf>
    <xf numFmtId="0" fontId="15" fillId="45" borderId="8" applyNumberFormat="0" applyProtection="0">
      <alignment horizontal="left" vertical="center" indent="1"/>
    </xf>
    <xf numFmtId="0" fontId="44" fillId="121" borderId="69" applyNumberFormat="0" applyProtection="0">
      <alignment horizontal="left" vertical="center" indent="1"/>
    </xf>
    <xf numFmtId="0" fontId="44" fillId="121" borderId="69" applyNumberFormat="0" applyProtection="0">
      <alignment horizontal="left" vertical="center" indent="1"/>
    </xf>
    <xf numFmtId="0" fontId="44" fillId="121" borderId="69" applyNumberFormat="0" applyProtection="0">
      <alignment horizontal="left" vertical="center" indent="1"/>
    </xf>
    <xf numFmtId="0" fontId="15" fillId="45" borderId="8" applyNumberFormat="0" applyProtection="0">
      <alignment horizontal="left" vertical="center" indent="1"/>
    </xf>
    <xf numFmtId="0" fontId="44" fillId="2" borderId="9" applyNumberFormat="0" applyProtection="0">
      <alignment horizontal="left" vertical="top" indent="1"/>
    </xf>
    <xf numFmtId="0" fontId="15" fillId="122" borderId="8" applyNumberFormat="0" applyProtection="0">
      <alignment horizontal="left" vertical="center" indent="1"/>
    </xf>
    <xf numFmtId="0" fontId="44" fillId="6" borderId="69" applyNumberFormat="0" applyProtection="0">
      <alignment horizontal="left" vertical="center" indent="1"/>
    </xf>
    <xf numFmtId="0" fontId="44" fillId="6" borderId="69" applyNumberFormat="0" applyProtection="0">
      <alignment horizontal="left" vertical="center" indent="1"/>
    </xf>
    <xf numFmtId="0" fontId="44" fillId="6" borderId="69" applyNumberFormat="0" applyProtection="0">
      <alignment horizontal="left" vertical="center" indent="1"/>
    </xf>
    <xf numFmtId="0" fontId="15" fillId="122" borderId="8" applyNumberFormat="0" applyProtection="0">
      <alignment horizontal="left" vertical="center" indent="1"/>
    </xf>
    <xf numFmtId="0" fontId="44" fillId="6" borderId="9" applyNumberFormat="0" applyProtection="0">
      <alignment horizontal="left" vertical="top" indent="1"/>
    </xf>
    <xf numFmtId="0" fontId="15" fillId="107" borderId="8" applyNumberFormat="0" applyProtection="0">
      <alignment horizontal="left" vertical="center" indent="1"/>
    </xf>
    <xf numFmtId="0" fontId="44" fillId="41" borderId="69" applyNumberFormat="0" applyProtection="0">
      <alignment horizontal="left" vertical="center" indent="1"/>
    </xf>
    <xf numFmtId="0" fontId="44" fillId="41" borderId="69" applyNumberFormat="0" applyProtection="0">
      <alignment horizontal="left" vertical="center" indent="1"/>
    </xf>
    <xf numFmtId="0" fontId="44" fillId="41" borderId="69" applyNumberFormat="0" applyProtection="0">
      <alignment horizontal="left" vertical="center" indent="1"/>
    </xf>
    <xf numFmtId="0" fontId="15" fillId="107" borderId="8" applyNumberFormat="0" applyProtection="0">
      <alignment horizontal="left" vertical="center" indent="1"/>
    </xf>
    <xf numFmtId="0" fontId="44" fillId="41" borderId="9" applyNumberFormat="0" applyProtection="0">
      <alignment horizontal="left" vertical="top" indent="1"/>
    </xf>
    <xf numFmtId="0" fontId="2" fillId="0" borderId="0"/>
    <xf numFmtId="0" fontId="44" fillId="5" borderId="91" applyNumberFormat="0">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9" fillId="8" borderId="92" applyBorder="0"/>
    <xf numFmtId="4" fontId="17" fillId="123" borderId="8" applyNumberFormat="0" applyProtection="0">
      <alignment vertical="center"/>
    </xf>
    <xf numFmtId="4" fontId="120" fillId="4" borderId="9" applyNumberFormat="0" applyProtection="0">
      <alignment vertical="center"/>
    </xf>
    <xf numFmtId="4" fontId="39" fillId="123" borderId="8" applyNumberFormat="0" applyProtection="0">
      <alignment vertical="center"/>
    </xf>
    <xf numFmtId="4" fontId="117" fillId="123" borderId="11" applyNumberFormat="0" applyProtection="0">
      <alignment vertical="center"/>
    </xf>
    <xf numFmtId="4" fontId="17" fillId="123" borderId="8" applyNumberFormat="0" applyProtection="0">
      <alignment horizontal="left" vertical="center" indent="1"/>
    </xf>
    <xf numFmtId="4" fontId="120" fillId="10" borderId="9" applyNumberFormat="0" applyProtection="0">
      <alignment horizontal="left" vertical="center" indent="1"/>
    </xf>
    <xf numFmtId="4" fontId="17" fillId="123" borderId="8" applyNumberFormat="0" applyProtection="0">
      <alignment horizontal="left" vertical="center" indent="1"/>
    </xf>
    <xf numFmtId="0" fontId="120" fillId="4" borderId="9" applyNumberFormat="0" applyProtection="0">
      <alignment horizontal="left" vertical="top" indent="1"/>
    </xf>
    <xf numFmtId="4" fontId="17" fillId="119" borderId="8" applyNumberFormat="0" applyProtection="0">
      <alignment horizontal="right" vertical="center"/>
    </xf>
    <xf numFmtId="4" fontId="17" fillId="119" borderId="8" applyNumberFormat="0" applyProtection="0">
      <alignment horizontal="right" vertical="center"/>
    </xf>
    <xf numFmtId="4" fontId="44" fillId="0" borderId="69" applyNumberFormat="0" applyProtection="0">
      <alignment horizontal="right" vertical="center"/>
    </xf>
    <xf numFmtId="4" fontId="44" fillId="0" borderId="69" applyNumberFormat="0" applyProtection="0">
      <alignment horizontal="right" vertical="center"/>
    </xf>
    <xf numFmtId="4" fontId="44" fillId="0" borderId="69" applyNumberFormat="0" applyProtection="0">
      <alignment horizontal="right" vertical="center"/>
    </xf>
    <xf numFmtId="4" fontId="44" fillId="0" borderId="69" applyNumberFormat="0" applyProtection="0">
      <alignment horizontal="right" vertical="center"/>
    </xf>
    <xf numFmtId="4" fontId="39" fillId="119" borderId="8" applyNumberFormat="0" applyProtection="0">
      <alignment horizontal="right" vertical="center"/>
    </xf>
    <xf numFmtId="4" fontId="117" fillId="43" borderId="69" applyNumberFormat="0" applyProtection="0">
      <alignment horizontal="right" vertical="center"/>
    </xf>
    <xf numFmtId="0" fontId="15" fillId="107" borderId="8" applyNumberFormat="0" applyProtection="0">
      <alignment horizontal="left" vertical="center" indent="1"/>
    </xf>
    <xf numFmtId="4" fontId="44" fillId="51" borderId="69" applyNumberFormat="0" applyProtection="0">
      <alignment horizontal="left" vertical="center" indent="1"/>
    </xf>
    <xf numFmtId="4" fontId="44" fillId="51" borderId="69" applyNumberFormat="0" applyProtection="0">
      <alignment horizontal="left" vertical="center" indent="1"/>
    </xf>
    <xf numFmtId="4" fontId="44" fillId="51" borderId="69" applyNumberFormat="0" applyProtection="0">
      <alignment horizontal="left" vertical="center" indent="1"/>
    </xf>
    <xf numFmtId="4" fontId="44" fillId="51" borderId="69" applyNumberFormat="0" applyProtection="0">
      <alignment horizontal="left" vertical="center" indent="1"/>
    </xf>
    <xf numFmtId="0" fontId="15" fillId="107" borderId="8" applyNumberFormat="0" applyProtection="0">
      <alignment horizontal="left" vertical="center" indent="1"/>
    </xf>
    <xf numFmtId="0" fontId="120" fillId="2" borderId="9" applyNumberFormat="0" applyProtection="0">
      <alignment horizontal="left" vertical="top" indent="1"/>
    </xf>
    <xf numFmtId="0" fontId="121" fillId="0" borderId="0"/>
    <xf numFmtId="4" fontId="122" fillId="42" borderId="83" applyNumberFormat="0" applyProtection="0">
      <alignment horizontal="left" vertical="center" indent="1"/>
    </xf>
    <xf numFmtId="0" fontId="44" fillId="124" borderId="11"/>
    <xf numFmtId="0" fontId="44" fillId="124" borderId="11"/>
    <xf numFmtId="0" fontId="44" fillId="124" borderId="11"/>
    <xf numFmtId="4" fontId="41" fillId="119" borderId="8" applyNumberFormat="0" applyProtection="0">
      <alignment horizontal="right" vertical="center"/>
    </xf>
    <xf numFmtId="4" fontId="123" fillId="5" borderId="69" applyNumberFormat="0" applyProtection="0">
      <alignment horizontal="right" vertical="center"/>
    </xf>
    <xf numFmtId="0" fontId="124" fillId="0" borderId="0" applyNumberFormat="0" applyFill="0" applyBorder="0" applyAlignment="0" applyProtection="0"/>
    <xf numFmtId="0" fontId="26" fillId="0" borderId="12" applyNumberFormat="0" applyFill="0" applyAlignment="0" applyProtection="0"/>
    <xf numFmtId="0" fontId="26" fillId="0" borderId="93" applyNumberFormat="0" applyFill="0" applyAlignment="0" applyProtection="0"/>
    <xf numFmtId="0" fontId="125" fillId="0" borderId="0" applyNumberFormat="0" applyFill="0" applyBorder="0" applyAlignment="0" applyProtection="0"/>
    <xf numFmtId="0" fontId="43" fillId="0" borderId="0" applyNumberFormat="0" applyFill="0" applyBorder="0" applyAlignment="0" applyProtection="0"/>
    <xf numFmtId="0" fontId="126" fillId="0" borderId="0" applyNumberFormat="0" applyFill="0" applyBorder="0" applyAlignment="0" applyProtection="0"/>
    <xf numFmtId="0" fontId="105" fillId="55" borderId="0" applyNumberFormat="0" applyBorder="0" applyAlignment="0" applyProtection="0"/>
    <xf numFmtId="0" fontId="104" fillId="63" borderId="0" applyNumberFormat="0" applyBorder="0" applyAlignment="0" applyProtection="0"/>
    <xf numFmtId="0" fontId="104" fillId="67" borderId="0" applyNumberFormat="0" applyBorder="0" applyAlignment="0" applyProtection="0"/>
    <xf numFmtId="0" fontId="104" fillId="71" borderId="0" applyNumberFormat="0" applyBorder="0" applyAlignment="0" applyProtection="0"/>
    <xf numFmtId="0" fontId="104" fillId="75" borderId="0" applyNumberFormat="0" applyBorder="0" applyAlignment="0" applyProtection="0"/>
    <xf numFmtId="0" fontId="104" fillId="79" borderId="0" applyNumberFormat="0" applyBorder="0" applyAlignment="0" applyProtection="0"/>
    <xf numFmtId="0" fontId="104" fillId="83"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59" borderId="81" applyNumberFormat="0" applyFont="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61"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59" borderId="81" applyNumberFormat="0" applyFont="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59" borderId="81" applyNumberFormat="0" applyFont="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2" fillId="81" borderId="0" applyNumberFormat="0" applyBorder="0" applyAlignment="0" applyProtection="0"/>
    <xf numFmtId="0" fontId="2" fillId="8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59" borderId="81" applyNumberFormat="0" applyFont="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2" fillId="81" borderId="0" applyNumberFormat="0" applyBorder="0" applyAlignment="0" applyProtection="0"/>
    <xf numFmtId="0" fontId="2" fillId="82" borderId="0" applyNumberFormat="0" applyBorder="0" applyAlignment="0" applyProtection="0"/>
    <xf numFmtId="0" fontId="2" fillId="0" borderId="0"/>
    <xf numFmtId="0" fontId="2" fillId="59" borderId="81" applyNumberFormat="0" applyFont="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2" fillId="81" borderId="0" applyNumberFormat="0" applyBorder="0" applyAlignment="0" applyProtection="0"/>
    <xf numFmtId="0" fontId="2" fillId="8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59" borderId="8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59" borderId="81" applyNumberFormat="0" applyFont="0" applyAlignment="0" applyProtection="0"/>
    <xf numFmtId="0" fontId="2" fillId="0" borderId="0"/>
    <xf numFmtId="9" fontId="2" fillId="0" borderId="0" applyFont="0" applyFill="0" applyBorder="0" applyAlignment="0" applyProtection="0"/>
    <xf numFmtId="0" fontId="22" fillId="84" borderId="0" applyNumberFormat="0" applyBorder="0" applyAlignment="0" applyProtection="0"/>
    <xf numFmtId="0" fontId="22" fillId="7" borderId="0" applyNumberFormat="0" applyBorder="0" applyAlignment="0" applyProtection="0"/>
    <xf numFmtId="0" fontId="22" fillId="85" borderId="0" applyNumberFormat="0" applyBorder="0" applyAlignment="0" applyProtection="0"/>
    <xf numFmtId="0" fontId="22" fillId="86" borderId="0" applyNumberFormat="0" applyBorder="0" applyAlignment="0" applyProtection="0"/>
    <xf numFmtId="0" fontId="22" fillId="87" borderId="0" applyNumberFormat="0" applyBorder="0" applyAlignment="0" applyProtection="0"/>
    <xf numFmtId="0" fontId="22" fillId="11" borderId="0" applyNumberFormat="0" applyBorder="0" applyAlignment="0" applyProtection="0"/>
    <xf numFmtId="0" fontId="15" fillId="0" borderId="0"/>
    <xf numFmtId="0" fontId="22" fillId="6" borderId="0" applyNumberFormat="0" applyBorder="0" applyAlignment="0" applyProtection="0"/>
    <xf numFmtId="0" fontId="22" fillId="3" borderId="0" applyNumberFormat="0" applyBorder="0" applyAlignment="0" applyProtection="0"/>
    <xf numFmtId="0" fontId="22" fillId="39" borderId="0" applyNumberFormat="0" applyBorder="0" applyAlignment="0" applyProtection="0"/>
    <xf numFmtId="0" fontId="22" fillId="86" borderId="0" applyNumberFormat="0" applyBorder="0" applyAlignment="0" applyProtection="0"/>
    <xf numFmtId="0" fontId="22" fillId="6" borderId="0" applyNumberFormat="0" applyBorder="0" applyAlignment="0" applyProtection="0"/>
    <xf numFmtId="0" fontId="22" fillId="35" borderId="0" applyNumberFormat="0" applyBorder="0" applyAlignment="0" applyProtection="0"/>
    <xf numFmtId="0" fontId="2" fillId="0" borderId="0"/>
    <xf numFmtId="0" fontId="15"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5"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110" fillId="0" borderId="0"/>
    <xf numFmtId="0" fontId="17" fillId="4" borderId="7" applyNumberFormat="0" applyFont="0" applyAlignment="0" applyProtection="0"/>
    <xf numFmtId="0" fontId="15" fillId="0" borderId="0"/>
    <xf numFmtId="0" fontId="15"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4" fontId="2" fillId="0" borderId="0" applyFont="0" applyFill="0" applyBorder="0" applyAlignment="0" applyProtection="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59" borderId="81" applyNumberFormat="0" applyFont="0" applyAlignment="0" applyProtection="0"/>
    <xf numFmtId="0" fontId="2" fillId="0" borderId="0"/>
    <xf numFmtId="0" fontId="2" fillId="0" borderId="0"/>
    <xf numFmtId="0" fontId="2" fillId="0" borderId="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59" borderId="81" applyNumberFormat="0" applyFont="0" applyAlignment="0" applyProtection="0"/>
    <xf numFmtId="0" fontId="2" fillId="59" borderId="8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2" fillId="81" borderId="0" applyNumberFormat="0" applyBorder="0" applyAlignment="0" applyProtection="0"/>
    <xf numFmtId="0" fontId="2" fillId="82"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59" borderId="81" applyNumberFormat="0" applyFont="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61"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59" borderId="81" applyNumberFormat="0" applyFont="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77"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8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59" borderId="81" applyNumberFormat="0" applyFont="0" applyAlignment="0" applyProtection="0"/>
    <xf numFmtId="0" fontId="2" fillId="61" borderId="0" applyNumberFormat="0" applyBorder="0" applyAlignment="0" applyProtection="0"/>
    <xf numFmtId="0" fontId="2" fillId="62"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2" fillId="78" borderId="0" applyNumberFormat="0" applyBorder="0" applyAlignment="0" applyProtection="0"/>
    <xf numFmtId="0" fontId="2" fillId="81" borderId="0" applyNumberFormat="0" applyBorder="0" applyAlignment="0" applyProtection="0"/>
    <xf numFmtId="0" fontId="2" fillId="8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59" borderId="81" applyNumberFormat="0" applyFont="0" applyAlignment="0" applyProtection="0"/>
    <xf numFmtId="0" fontId="15" fillId="0" borderId="0"/>
    <xf numFmtId="43" fontId="2" fillId="0" borderId="0" applyFont="0" applyFill="0" applyBorder="0" applyAlignment="0" applyProtection="0"/>
    <xf numFmtId="4" fontId="44" fillId="0" borderId="69" applyNumberFormat="0" applyProtection="0">
      <alignment horizontal="right" vertical="center"/>
    </xf>
    <xf numFmtId="4" fontId="17" fillId="123" borderId="8" applyNumberFormat="0" applyProtection="0">
      <alignment vertical="center"/>
    </xf>
    <xf numFmtId="4" fontId="44" fillId="34" borderId="83" applyNumberFormat="0" applyProtection="0">
      <alignment horizontal="right" vertical="center"/>
    </xf>
    <xf numFmtId="4" fontId="44" fillId="40" borderId="83" applyNumberFormat="0" applyProtection="0">
      <alignment horizontal="left" vertical="center" indent="1"/>
    </xf>
    <xf numFmtId="4" fontId="44" fillId="37" borderId="69" applyNumberFormat="0" applyProtection="0">
      <alignment horizontal="right" vertical="center"/>
    </xf>
    <xf numFmtId="4" fontId="39" fillId="106" borderId="8" applyNumberFormat="0" applyProtection="0">
      <alignment vertical="center"/>
    </xf>
    <xf numFmtId="0" fontId="15" fillId="107" borderId="8" applyNumberFormat="0" applyProtection="0">
      <alignment horizontal="left" vertical="center" indent="1"/>
    </xf>
    <xf numFmtId="4" fontId="44" fillId="37" borderId="69" applyNumberFormat="0" applyProtection="0">
      <alignment horizontal="right" vertical="center"/>
    </xf>
    <xf numFmtId="4" fontId="44" fillId="0" borderId="69" applyNumberFormat="0" applyProtection="0">
      <alignment horizontal="right" vertical="center"/>
    </xf>
    <xf numFmtId="0" fontId="44" fillId="41" borderId="69" applyNumberFormat="0" applyProtection="0">
      <alignment horizontal="left" vertical="center" indent="1"/>
    </xf>
    <xf numFmtId="0" fontId="15" fillId="46" borderId="8" applyNumberFormat="0" applyProtection="0">
      <alignment horizontal="left" vertical="center" indent="1"/>
    </xf>
    <xf numFmtId="4" fontId="17" fillId="106" borderId="8" applyNumberFormat="0" applyProtection="0">
      <alignment horizontal="left" vertical="center" indent="1"/>
    </xf>
    <xf numFmtId="4" fontId="17" fillId="119" borderId="90" applyNumberFormat="0" applyProtection="0">
      <alignment horizontal="left" vertical="center" indent="1"/>
    </xf>
    <xf numFmtId="0" fontId="44" fillId="10" borderId="69" applyNumberFormat="0" applyProtection="0">
      <alignment horizontal="left" vertical="center" indent="1"/>
    </xf>
    <xf numFmtId="4" fontId="44" fillId="35" borderId="69" applyNumberFormat="0" applyProtection="0">
      <alignment horizontal="right" vertical="center"/>
    </xf>
    <xf numFmtId="0" fontId="118" fillId="33" borderId="9" applyNumberFormat="0" applyProtection="0">
      <alignment horizontal="left" vertical="top" indent="1"/>
    </xf>
    <xf numFmtId="0" fontId="119" fillId="8" borderId="92" applyBorder="0"/>
    <xf numFmtId="0" fontId="44" fillId="121" borderId="69" applyNumberFormat="0" applyProtection="0">
      <alignment horizontal="left" vertical="center" indent="1"/>
    </xf>
    <xf numFmtId="0" fontId="44" fillId="41" borderId="9" applyNumberFormat="0" applyProtection="0">
      <alignment horizontal="left" vertical="top" indent="1"/>
    </xf>
    <xf numFmtId="4" fontId="44" fillId="39" borderId="69" applyNumberFormat="0" applyProtection="0">
      <alignment horizontal="right" vertical="center"/>
    </xf>
    <xf numFmtId="4" fontId="44" fillId="35" borderId="69" applyNumberFormat="0" applyProtection="0">
      <alignment horizontal="right" vertical="center"/>
    </xf>
    <xf numFmtId="0" fontId="44" fillId="10" borderId="69" applyNumberFormat="0" applyProtection="0">
      <alignment horizontal="left" vertical="center" indent="1"/>
    </xf>
    <xf numFmtId="4" fontId="17" fillId="113" borderId="8" applyNumberFormat="0" applyProtection="0">
      <alignment horizontal="right" vertical="center"/>
    </xf>
    <xf numFmtId="0" fontId="44" fillId="10" borderId="69" applyNumberFormat="0" applyProtection="0">
      <alignment horizontal="left" vertical="center" indent="1"/>
    </xf>
    <xf numFmtId="4" fontId="123" fillId="5" borderId="69" applyNumberFormat="0" applyProtection="0">
      <alignment horizontal="right" vertical="center"/>
    </xf>
    <xf numFmtId="4" fontId="17" fillId="117" borderId="8" applyNumberFormat="0" applyProtection="0">
      <alignment horizontal="right" vertical="center"/>
    </xf>
    <xf numFmtId="4" fontId="44" fillId="33" borderId="69" applyNumberFormat="0" applyProtection="0">
      <alignment vertical="center"/>
    </xf>
    <xf numFmtId="4" fontId="44" fillId="37" borderId="69" applyNumberFormat="0" applyProtection="0">
      <alignment horizontal="right" vertical="center"/>
    </xf>
    <xf numFmtId="0" fontId="44" fillId="121" borderId="69" applyNumberFormat="0" applyProtection="0">
      <alignment horizontal="left" vertical="center" indent="1"/>
    </xf>
    <xf numFmtId="4" fontId="17" fillId="46" borderId="8" applyNumberFormat="0" applyProtection="0">
      <alignment horizontal="left" vertical="center" indent="1"/>
    </xf>
    <xf numFmtId="4" fontId="44" fillId="37" borderId="69" applyNumberFormat="0" applyProtection="0">
      <alignment horizontal="right" vertical="center"/>
    </xf>
    <xf numFmtId="4" fontId="36" fillId="118" borderId="8" applyNumberFormat="0" applyProtection="0">
      <alignment horizontal="left" vertical="center" indent="1"/>
    </xf>
    <xf numFmtId="4" fontId="44" fillId="9" borderId="69" applyNumberFormat="0" applyProtection="0">
      <alignment horizontal="right" vertical="center"/>
    </xf>
    <xf numFmtId="0" fontId="44" fillId="6" borderId="69" applyNumberFormat="0" applyProtection="0">
      <alignment horizontal="left" vertical="center" indent="1"/>
    </xf>
    <xf numFmtId="0" fontId="120" fillId="4" borderId="9" applyNumberFormat="0" applyProtection="0">
      <alignment horizontal="left" vertical="top" indent="1"/>
    </xf>
    <xf numFmtId="4" fontId="44" fillId="41" borderId="83" applyNumberFormat="0" applyProtection="0">
      <alignment horizontal="left" vertical="center" indent="1"/>
    </xf>
    <xf numFmtId="0" fontId="44" fillId="124" borderId="94"/>
    <xf numFmtId="4" fontId="44" fillId="51" borderId="69" applyNumberFormat="0" applyProtection="0">
      <alignment horizontal="left" vertical="center" indent="1"/>
    </xf>
    <xf numFmtId="0" fontId="35" fillId="10" borderId="8" applyNumberFormat="0" applyAlignment="0" applyProtection="0"/>
    <xf numFmtId="0" fontId="17" fillId="4" borderId="7" applyNumberFormat="0" applyFont="0" applyAlignment="0" applyProtection="0"/>
    <xf numFmtId="4" fontId="17" fillId="112" borderId="8" applyNumberFormat="0" applyProtection="0">
      <alignment horizontal="right" vertical="center"/>
    </xf>
    <xf numFmtId="0" fontId="15" fillId="45" borderId="8" applyNumberFormat="0" applyProtection="0">
      <alignment horizontal="left" vertical="center" indent="1"/>
    </xf>
    <xf numFmtId="0" fontId="15" fillId="46" borderId="8" applyNumberFormat="0" applyProtection="0">
      <alignment horizontal="left" vertical="center" indent="1"/>
    </xf>
    <xf numFmtId="4" fontId="44" fillId="38" borderId="69" applyNumberFormat="0" applyProtection="0">
      <alignment horizontal="right" vertical="center"/>
    </xf>
    <xf numFmtId="4" fontId="17" fillId="108" borderId="8" applyNumberFormat="0" applyProtection="0">
      <alignment horizontal="right" vertical="center"/>
    </xf>
    <xf numFmtId="4" fontId="44" fillId="51" borderId="69" applyNumberFormat="0" applyProtection="0">
      <alignment horizontal="left" vertical="center" indent="1"/>
    </xf>
    <xf numFmtId="0" fontId="44" fillId="41" borderId="69" applyNumberFormat="0" applyProtection="0">
      <alignment horizontal="left" vertical="center" indent="1"/>
    </xf>
    <xf numFmtId="4" fontId="44" fillId="2" borderId="69" applyNumberFormat="0" applyProtection="0">
      <alignment horizontal="right" vertical="center"/>
    </xf>
    <xf numFmtId="0" fontId="15" fillId="107" borderId="8" applyNumberFormat="0" applyProtection="0">
      <alignment horizontal="left" vertical="center" indent="1"/>
    </xf>
    <xf numFmtId="4" fontId="17" fillId="109" borderId="8" applyNumberFormat="0" applyProtection="0">
      <alignment horizontal="right" vertical="center"/>
    </xf>
    <xf numFmtId="0" fontId="44" fillId="6" borderId="69" applyNumberFormat="0" applyProtection="0">
      <alignment horizontal="left" vertical="center" indent="1"/>
    </xf>
    <xf numFmtId="4" fontId="44" fillId="51" borderId="69" applyNumberFormat="0" applyProtection="0">
      <alignment horizontal="left" vertical="center" indent="1"/>
    </xf>
    <xf numFmtId="4" fontId="44" fillId="41" borderId="83" applyNumberFormat="0" applyProtection="0">
      <alignment horizontal="left" vertical="center" indent="1"/>
    </xf>
    <xf numFmtId="0" fontId="15" fillId="107" borderId="8" applyNumberFormat="0" applyProtection="0">
      <alignment horizontal="left" vertical="center" indent="1"/>
    </xf>
    <xf numFmtId="4" fontId="17" fillId="119" borderId="8" applyNumberFormat="0" applyProtection="0">
      <alignment horizontal="right" vertical="center"/>
    </xf>
    <xf numFmtId="4" fontId="39" fillId="106" borderId="8" applyNumberFormat="0" applyProtection="0">
      <alignment vertical="center"/>
    </xf>
    <xf numFmtId="4" fontId="17" fillId="119" borderId="8" applyNumberFormat="0" applyProtection="0">
      <alignment horizontal="right" vertical="center"/>
    </xf>
    <xf numFmtId="4" fontId="44" fillId="40" borderId="83" applyNumberFormat="0" applyProtection="0">
      <alignment horizontal="left" vertical="center" indent="1"/>
    </xf>
    <xf numFmtId="0" fontId="44" fillId="2" borderId="9" applyNumberFormat="0" applyProtection="0">
      <alignment horizontal="left" vertical="top" indent="1"/>
    </xf>
    <xf numFmtId="4" fontId="44" fillId="33" borderId="69" applyNumberFormat="0" applyProtection="0">
      <alignment vertical="center"/>
    </xf>
    <xf numFmtId="4" fontId="117" fillId="123" borderId="94" applyNumberFormat="0" applyProtection="0">
      <alignment vertical="center"/>
    </xf>
    <xf numFmtId="0" fontId="120" fillId="2" borderId="9" applyNumberFormat="0" applyProtection="0">
      <alignment horizontal="left" vertical="top" indent="1"/>
    </xf>
    <xf numFmtId="4" fontId="44" fillId="37" borderId="69" applyNumberFormat="0" applyProtection="0">
      <alignment horizontal="right" vertical="center"/>
    </xf>
    <xf numFmtId="0" fontId="108" fillId="101" borderId="69" applyNumberFormat="0" applyAlignment="0" applyProtection="0"/>
    <xf numFmtId="4" fontId="44" fillId="51" borderId="69" applyNumberFormat="0" applyProtection="0">
      <alignment horizontal="left" vertical="center" indent="1"/>
    </xf>
    <xf numFmtId="4" fontId="39" fillId="123" borderId="8" applyNumberFormat="0" applyProtection="0">
      <alignment vertical="center"/>
    </xf>
    <xf numFmtId="4" fontId="44" fillId="33" borderId="69" applyNumberFormat="0" applyProtection="0">
      <alignment vertical="center"/>
    </xf>
    <xf numFmtId="0" fontId="15" fillId="107" borderId="8" applyNumberFormat="0" applyProtection="0">
      <alignment horizontal="left" vertical="center" indent="1"/>
    </xf>
    <xf numFmtId="4" fontId="44" fillId="40" borderId="83" applyNumberFormat="0" applyProtection="0">
      <alignment horizontal="left" vertical="center" indent="1"/>
    </xf>
    <xf numFmtId="4" fontId="17" fillId="119" borderId="8" applyNumberFormat="0" applyProtection="0">
      <alignment horizontal="right" vertical="center"/>
    </xf>
    <xf numFmtId="0" fontId="15" fillId="107" borderId="8" applyNumberFormat="0" applyProtection="0">
      <alignment horizontal="left" vertical="center" indent="1"/>
    </xf>
    <xf numFmtId="4" fontId="44" fillId="39" borderId="69" applyNumberFormat="0" applyProtection="0">
      <alignment horizontal="right" vertical="center"/>
    </xf>
    <xf numFmtId="0" fontId="32" fillId="27" borderId="69" applyNumberFormat="0" applyAlignment="0" applyProtection="0"/>
    <xf numFmtId="4" fontId="17" fillId="112" borderId="8" applyNumberFormat="0" applyProtection="0">
      <alignment horizontal="right" vertical="center"/>
    </xf>
    <xf numFmtId="4" fontId="44" fillId="38" borderId="69" applyNumberFormat="0" applyProtection="0">
      <alignment horizontal="right" vertical="center"/>
    </xf>
    <xf numFmtId="4" fontId="44" fillId="106" borderId="69" applyNumberFormat="0" applyProtection="0">
      <alignment horizontal="left" vertical="center" indent="1"/>
    </xf>
    <xf numFmtId="4" fontId="44" fillId="36" borderId="69" applyNumberFormat="0" applyProtection="0">
      <alignment horizontal="right" vertical="center"/>
    </xf>
    <xf numFmtId="4" fontId="44" fillId="41" borderId="83" applyNumberFormat="0" applyProtection="0">
      <alignment horizontal="left" vertical="center" indent="1"/>
    </xf>
    <xf numFmtId="4" fontId="44" fillId="110" borderId="69" applyNumberFormat="0" applyProtection="0">
      <alignment horizontal="right" vertical="center"/>
    </xf>
    <xf numFmtId="4" fontId="44" fillId="2" borderId="83" applyNumberFormat="0" applyProtection="0">
      <alignment horizontal="left" vertical="center" indent="1"/>
    </xf>
    <xf numFmtId="4" fontId="44" fillId="39" borderId="69" applyNumberFormat="0" applyProtection="0">
      <alignment horizontal="right" vertical="center"/>
    </xf>
    <xf numFmtId="4" fontId="44" fillId="41" borderId="83" applyNumberFormat="0" applyProtection="0">
      <alignment horizontal="left" vertical="center" indent="1"/>
    </xf>
    <xf numFmtId="4" fontId="17" fillId="106" borderId="8" applyNumberFormat="0" applyProtection="0">
      <alignment horizontal="left" vertical="center" indent="1"/>
    </xf>
    <xf numFmtId="4" fontId="17" fillId="115" borderId="8" applyNumberFormat="0" applyProtection="0">
      <alignment horizontal="right" vertical="center"/>
    </xf>
    <xf numFmtId="4" fontId="17" fillId="106" borderId="8" applyNumberFormat="0" applyProtection="0">
      <alignment horizontal="left" vertical="center" indent="1"/>
    </xf>
    <xf numFmtId="4" fontId="44" fillId="38" borderId="69" applyNumberFormat="0" applyProtection="0">
      <alignment horizontal="right" vertical="center"/>
    </xf>
    <xf numFmtId="4" fontId="44" fillId="2" borderId="83" applyNumberFormat="0" applyProtection="0">
      <alignment horizontal="left" vertical="center" indent="1"/>
    </xf>
    <xf numFmtId="4" fontId="44" fillId="35" borderId="69" applyNumberFormat="0" applyProtection="0">
      <alignment horizontal="right" vertical="center"/>
    </xf>
    <xf numFmtId="0" fontId="44" fillId="2" borderId="9" applyNumberFormat="0" applyProtection="0">
      <alignment horizontal="left" vertical="top" indent="1"/>
    </xf>
    <xf numFmtId="4" fontId="44" fillId="7" borderId="69" applyNumberFormat="0" applyProtection="0">
      <alignment horizontal="right" vertical="center"/>
    </xf>
    <xf numFmtId="0" fontId="35" fillId="10" borderId="8" applyNumberFormat="0" applyAlignment="0" applyProtection="0"/>
    <xf numFmtId="4" fontId="44" fillId="51" borderId="69" applyNumberFormat="0" applyProtection="0">
      <alignment horizontal="left" vertical="center" indent="1"/>
    </xf>
    <xf numFmtId="4" fontId="44" fillId="40" borderId="83" applyNumberFormat="0" applyProtection="0">
      <alignment horizontal="left" vertical="center" indent="1"/>
    </xf>
    <xf numFmtId="0" fontId="44" fillId="41" borderId="9" applyNumberFormat="0" applyProtection="0">
      <alignment horizontal="left" vertical="top" indent="1"/>
    </xf>
    <xf numFmtId="4" fontId="44" fillId="37" borderId="69" applyNumberFormat="0" applyProtection="0">
      <alignment horizontal="right" vertical="center"/>
    </xf>
    <xf numFmtId="0" fontId="15" fillId="122" borderId="8" applyNumberFormat="0" applyProtection="0">
      <alignment horizontal="left" vertical="center" indent="1"/>
    </xf>
    <xf numFmtId="0" fontId="35" fillId="101" borderId="8" applyNumberFormat="0" applyAlignment="0" applyProtection="0"/>
    <xf numFmtId="0" fontId="109" fillId="10" borderId="1" applyNumberFormat="0" applyAlignment="0" applyProtection="0"/>
    <xf numFmtId="4" fontId="17" fillId="123" borderId="8" applyNumberFormat="0" applyProtection="0">
      <alignment horizontal="left" vertical="center" indent="1"/>
    </xf>
    <xf numFmtId="4" fontId="44" fillId="34" borderId="83" applyNumberFormat="0" applyProtection="0">
      <alignment horizontal="right" vertical="center"/>
    </xf>
    <xf numFmtId="4" fontId="17" fillId="46" borderId="8" applyNumberFormat="0" applyProtection="0">
      <alignment horizontal="left" vertical="center" indent="1"/>
    </xf>
    <xf numFmtId="4" fontId="120" fillId="10" borderId="9" applyNumberFormat="0" applyProtection="0">
      <alignment horizontal="left" vertical="center" indent="1"/>
    </xf>
    <xf numFmtId="4" fontId="44" fillId="41" borderId="83" applyNumberFormat="0" applyProtection="0">
      <alignment horizontal="left" vertical="center" indent="1"/>
    </xf>
    <xf numFmtId="0" fontId="44" fillId="41" borderId="69" applyNumberFormat="0" applyProtection="0">
      <alignment horizontal="left" vertical="center" indent="1"/>
    </xf>
    <xf numFmtId="4" fontId="122" fillId="42" borderId="83" applyNumberFormat="0" applyProtection="0">
      <alignment horizontal="left" vertical="center" indent="1"/>
    </xf>
    <xf numFmtId="4" fontId="44" fillId="51" borderId="69" applyNumberFormat="0" applyProtection="0">
      <alignment horizontal="left" vertical="center" indent="1"/>
    </xf>
    <xf numFmtId="0" fontId="15" fillId="107" borderId="8" applyNumberFormat="0" applyProtection="0">
      <alignment horizontal="left" vertical="center" indent="1"/>
    </xf>
    <xf numFmtId="0" fontId="44" fillId="124" borderId="94"/>
    <xf numFmtId="0" fontId="44" fillId="6" borderId="69" applyNumberFormat="0" applyProtection="0">
      <alignment horizontal="left" vertical="center" indent="1"/>
    </xf>
    <xf numFmtId="0" fontId="15" fillId="107" borderId="8" applyNumberFormat="0" applyProtection="0">
      <alignment horizontal="left" vertical="center" indent="1"/>
    </xf>
    <xf numFmtId="4" fontId="44" fillId="38" borderId="69" applyNumberFormat="0" applyProtection="0">
      <alignment horizontal="right" vertical="center"/>
    </xf>
    <xf numFmtId="4" fontId="44" fillId="2" borderId="69" applyNumberFormat="0" applyProtection="0">
      <alignment horizontal="right" vertical="center"/>
    </xf>
    <xf numFmtId="4" fontId="17" fillId="111" borderId="8" applyNumberFormat="0" applyProtection="0">
      <alignment horizontal="right" vertical="center"/>
    </xf>
    <xf numFmtId="4" fontId="44" fillId="35" borderId="69" applyNumberFormat="0" applyProtection="0">
      <alignment horizontal="right" vertical="center"/>
    </xf>
    <xf numFmtId="4" fontId="17" fillId="119" borderId="8" applyNumberFormat="0" applyProtection="0">
      <alignment horizontal="left" vertical="center" indent="1"/>
    </xf>
    <xf numFmtId="4" fontId="17" fillId="119" borderId="8" applyNumberFormat="0" applyProtection="0">
      <alignment horizontal="right" vertical="center"/>
    </xf>
    <xf numFmtId="0" fontId="17" fillId="4" borderId="7" applyNumberFormat="0" applyFont="0" applyAlignment="0" applyProtection="0"/>
    <xf numFmtId="0" fontId="44" fillId="6" borderId="9" applyNumberFormat="0" applyProtection="0">
      <alignment horizontal="left" vertical="top" indent="1"/>
    </xf>
    <xf numFmtId="0" fontId="26" fillId="0" borderId="93" applyNumberFormat="0" applyFill="0" applyAlignment="0" applyProtection="0"/>
    <xf numFmtId="0" fontId="44" fillId="10" borderId="69" applyNumberFormat="0" applyProtection="0">
      <alignment horizontal="left" vertical="center" indent="1"/>
    </xf>
    <xf numFmtId="4" fontId="17" fillId="117" borderId="8" applyNumberFormat="0" applyProtection="0">
      <alignment horizontal="right" vertical="center"/>
    </xf>
    <xf numFmtId="4" fontId="17" fillId="123" borderId="8" applyNumberFormat="0" applyProtection="0">
      <alignment vertical="center"/>
    </xf>
    <xf numFmtId="4" fontId="44" fillId="51" borderId="69" applyNumberFormat="0" applyProtection="0">
      <alignment horizontal="left" vertical="center" indent="1"/>
    </xf>
    <xf numFmtId="0" fontId="15" fillId="122" borderId="8" applyNumberFormat="0" applyProtection="0">
      <alignment horizontal="left" vertical="center" indent="1"/>
    </xf>
    <xf numFmtId="4" fontId="44" fillId="9" borderId="69" applyNumberFormat="0" applyProtection="0">
      <alignment horizontal="right" vertical="center"/>
    </xf>
    <xf numFmtId="4" fontId="17" fillId="114" borderId="8" applyNumberFormat="0" applyProtection="0">
      <alignment horizontal="right" vertical="center"/>
    </xf>
    <xf numFmtId="4" fontId="44" fillId="36" borderId="69" applyNumberFormat="0" applyProtection="0">
      <alignment horizontal="right" vertical="center"/>
    </xf>
    <xf numFmtId="4" fontId="44" fillId="34" borderId="83" applyNumberFormat="0" applyProtection="0">
      <alignment horizontal="right" vertical="center"/>
    </xf>
    <xf numFmtId="0" fontId="26" fillId="0" borderId="12" applyNumberFormat="0" applyFill="0" applyAlignment="0" applyProtection="0"/>
    <xf numFmtId="4" fontId="44" fillId="7" borderId="69" applyNumberFormat="0" applyProtection="0">
      <alignment horizontal="right" vertical="center"/>
    </xf>
    <xf numFmtId="4" fontId="44" fillId="40" borderId="83" applyNumberFormat="0" applyProtection="0">
      <alignment horizontal="left" vertical="center" indent="1"/>
    </xf>
    <xf numFmtId="4" fontId="44" fillId="110" borderId="69" applyNumberFormat="0" applyProtection="0">
      <alignment horizontal="right" vertical="center"/>
    </xf>
    <xf numFmtId="4" fontId="44" fillId="7" borderId="69" applyNumberFormat="0" applyProtection="0">
      <alignment horizontal="right" vertical="center"/>
    </xf>
    <xf numFmtId="4" fontId="44" fillId="51" borderId="69" applyNumberFormat="0" applyProtection="0">
      <alignment horizontal="left" vertical="center" indent="1"/>
    </xf>
    <xf numFmtId="4" fontId="44" fillId="110" borderId="69" applyNumberFormat="0" applyProtection="0">
      <alignment horizontal="right" vertical="center"/>
    </xf>
    <xf numFmtId="0" fontId="44" fillId="121" borderId="69" applyNumberFormat="0" applyProtection="0">
      <alignment horizontal="left" vertical="center" indent="1"/>
    </xf>
    <xf numFmtId="4" fontId="44" fillId="51" borderId="69" applyNumberFormat="0" applyProtection="0">
      <alignment horizontal="left" vertical="center" indent="1"/>
    </xf>
    <xf numFmtId="4" fontId="44" fillId="36" borderId="69" applyNumberFormat="0" applyProtection="0">
      <alignment horizontal="right" vertical="center"/>
    </xf>
    <xf numFmtId="4" fontId="44" fillId="2" borderId="69" applyNumberFormat="0" applyProtection="0">
      <alignment horizontal="right" vertical="center"/>
    </xf>
    <xf numFmtId="4" fontId="44" fillId="51" borderId="69" applyNumberFormat="0" applyProtection="0">
      <alignment horizontal="left" vertical="center" indent="1"/>
    </xf>
    <xf numFmtId="0" fontId="120" fillId="4" borderId="9" applyNumberFormat="0" applyProtection="0">
      <alignment horizontal="left" vertical="top" indent="1"/>
    </xf>
    <xf numFmtId="0" fontId="15" fillId="107" borderId="8" applyNumberFormat="0" applyProtection="0">
      <alignment horizontal="left" vertical="center" indent="1"/>
    </xf>
    <xf numFmtId="4" fontId="44" fillId="36" borderId="69" applyNumberFormat="0" applyProtection="0">
      <alignment horizontal="right" vertical="center"/>
    </xf>
    <xf numFmtId="4" fontId="44" fillId="35" borderId="69" applyNumberFormat="0" applyProtection="0">
      <alignment horizontal="right" vertical="center"/>
    </xf>
    <xf numFmtId="0" fontId="44" fillId="121" borderId="69" applyNumberFormat="0" applyProtection="0">
      <alignment horizontal="left" vertical="center" indent="1"/>
    </xf>
    <xf numFmtId="0" fontId="44" fillId="6" borderId="69" applyNumberFormat="0" applyProtection="0">
      <alignment horizontal="left" vertical="center" indent="1"/>
    </xf>
    <xf numFmtId="4" fontId="117" fillId="106" borderId="69" applyNumberFormat="0" applyProtection="0">
      <alignment vertical="center"/>
    </xf>
    <xf numFmtId="4" fontId="44" fillId="33" borderId="69" applyNumberFormat="0" applyProtection="0">
      <alignment vertical="center"/>
    </xf>
    <xf numFmtId="4" fontId="117" fillId="106" borderId="69" applyNumberFormat="0" applyProtection="0">
      <alignment vertical="center"/>
    </xf>
    <xf numFmtId="0" fontId="15" fillId="46" borderId="8" applyNumberFormat="0" applyProtection="0">
      <alignment horizontal="left" vertical="center" indent="1"/>
    </xf>
    <xf numFmtId="4" fontId="44" fillId="34" borderId="83" applyNumberFormat="0" applyProtection="0">
      <alignment horizontal="right" vertical="center"/>
    </xf>
    <xf numFmtId="4" fontId="44" fillId="106" borderId="69" applyNumberFormat="0" applyProtection="0">
      <alignment horizontal="left" vertical="center" indent="1"/>
    </xf>
    <xf numFmtId="4" fontId="15" fillId="8" borderId="83" applyNumberFormat="0" applyProtection="0">
      <alignment horizontal="left" vertical="center" indent="1"/>
    </xf>
    <xf numFmtId="0" fontId="44" fillId="6" borderId="69" applyNumberFormat="0" applyProtection="0">
      <alignment horizontal="left" vertical="center" indent="1"/>
    </xf>
    <xf numFmtId="4" fontId="15" fillId="8" borderId="83" applyNumberFormat="0" applyProtection="0">
      <alignment horizontal="left" vertical="center" indent="1"/>
    </xf>
    <xf numFmtId="0" fontId="15" fillId="46" borderId="8" applyNumberFormat="0" applyProtection="0">
      <alignment horizontal="left" vertical="center" indent="1"/>
    </xf>
    <xf numFmtId="0" fontId="15" fillId="107" borderId="8" applyNumberFormat="0" applyProtection="0">
      <alignment horizontal="left" vertical="center" indent="1"/>
    </xf>
    <xf numFmtId="4" fontId="17" fillId="106" borderId="8" applyNumberFormat="0" applyProtection="0">
      <alignment vertical="center"/>
    </xf>
    <xf numFmtId="4" fontId="44" fillId="36" borderId="69" applyNumberFormat="0" applyProtection="0">
      <alignment horizontal="right" vertical="center"/>
    </xf>
    <xf numFmtId="4" fontId="15" fillId="8" borderId="83" applyNumberFormat="0" applyProtection="0">
      <alignment horizontal="left" vertical="center" indent="1"/>
    </xf>
    <xf numFmtId="4" fontId="36" fillId="118" borderId="8" applyNumberFormat="0" applyProtection="0">
      <alignment horizontal="left" vertical="center" indent="1"/>
    </xf>
    <xf numFmtId="4" fontId="17" fillId="116" borderId="8" applyNumberFormat="0" applyProtection="0">
      <alignment horizontal="right" vertical="center"/>
    </xf>
    <xf numFmtId="4" fontId="17" fillId="106" borderId="8" applyNumberFormat="0" applyProtection="0">
      <alignment vertical="center"/>
    </xf>
    <xf numFmtId="4" fontId="39" fillId="123" borderId="8" applyNumberFormat="0" applyProtection="0">
      <alignment vertical="center"/>
    </xf>
    <xf numFmtId="4" fontId="39" fillId="119" borderId="8" applyNumberFormat="0" applyProtection="0">
      <alignment horizontal="right" vertical="center"/>
    </xf>
    <xf numFmtId="4" fontId="17" fillId="114" borderId="8" applyNumberFormat="0" applyProtection="0">
      <alignment horizontal="right" vertical="center"/>
    </xf>
    <xf numFmtId="0" fontId="17" fillId="4" borderId="7" applyNumberFormat="0" applyFont="0" applyAlignment="0" applyProtection="0"/>
    <xf numFmtId="4" fontId="17" fillId="108" borderId="8" applyNumberFormat="0" applyProtection="0">
      <alignment horizontal="right" vertical="center"/>
    </xf>
    <xf numFmtId="4" fontId="44" fillId="9" borderId="69" applyNumberFormat="0" applyProtection="0">
      <alignment horizontal="right" vertical="center"/>
    </xf>
    <xf numFmtId="4" fontId="123" fillId="5" borderId="69" applyNumberFormat="0" applyProtection="0">
      <alignment horizontal="right" vertical="center"/>
    </xf>
    <xf numFmtId="0" fontId="15" fillId="122" borderId="8" applyNumberFormat="0" applyProtection="0">
      <alignment horizontal="left" vertical="center" indent="1"/>
    </xf>
    <xf numFmtId="0" fontId="44" fillId="41" borderId="69" applyNumberFormat="0" applyProtection="0">
      <alignment horizontal="left" vertical="center" indent="1"/>
    </xf>
    <xf numFmtId="0" fontId="44" fillId="121" borderId="69" applyNumberFormat="0" applyProtection="0">
      <alignment horizontal="left" vertical="center" indent="1"/>
    </xf>
    <xf numFmtId="4" fontId="44" fillId="34" borderId="83" applyNumberFormat="0" applyProtection="0">
      <alignment horizontal="right" vertical="center"/>
    </xf>
    <xf numFmtId="4" fontId="44" fillId="106" borderId="69" applyNumberFormat="0" applyProtection="0">
      <alignment horizontal="left" vertical="center" indent="1"/>
    </xf>
    <xf numFmtId="0" fontId="44" fillId="8" borderId="9" applyNumberFormat="0" applyProtection="0">
      <alignment horizontal="left" vertical="top" indent="1"/>
    </xf>
    <xf numFmtId="4" fontId="44" fillId="34" borderId="83" applyNumberFormat="0" applyProtection="0">
      <alignment horizontal="right" vertical="center"/>
    </xf>
    <xf numFmtId="4" fontId="44" fillId="2" borderId="83" applyNumberFormat="0" applyProtection="0">
      <alignment horizontal="left" vertical="center" indent="1"/>
    </xf>
    <xf numFmtId="4" fontId="44" fillId="40" borderId="83" applyNumberFormat="0" applyProtection="0">
      <alignment horizontal="left" vertical="center" indent="1"/>
    </xf>
    <xf numFmtId="4" fontId="44" fillId="2" borderId="69" applyNumberFormat="0" applyProtection="0">
      <alignment horizontal="right" vertical="center"/>
    </xf>
    <xf numFmtId="0" fontId="44" fillId="8" borderId="9" applyNumberFormat="0" applyProtection="0">
      <alignment horizontal="left" vertical="top" indent="1"/>
    </xf>
    <xf numFmtId="4" fontId="44" fillId="38" borderId="69" applyNumberFormat="0" applyProtection="0">
      <alignment horizontal="right" vertical="center"/>
    </xf>
    <xf numFmtId="0" fontId="44" fillId="121" borderId="69" applyNumberFormat="0" applyProtection="0">
      <alignment horizontal="left" vertical="center" indent="1"/>
    </xf>
    <xf numFmtId="0" fontId="115" fillId="11" borderId="1" applyNumberFormat="0" applyAlignment="0" applyProtection="0"/>
    <xf numFmtId="4" fontId="17" fillId="123" borderId="8" applyNumberFormat="0" applyProtection="0">
      <alignment horizontal="left" vertical="center" indent="1"/>
    </xf>
    <xf numFmtId="4" fontId="120" fillId="4" borderId="9" applyNumberFormat="0" applyProtection="0">
      <alignment vertical="center"/>
    </xf>
    <xf numFmtId="4" fontId="120" fillId="4" borderId="9" applyNumberFormat="0" applyProtection="0">
      <alignment vertical="center"/>
    </xf>
    <xf numFmtId="0" fontId="44" fillId="6" borderId="9" applyNumberFormat="0" applyProtection="0">
      <alignment horizontal="left" vertical="top" indent="1"/>
    </xf>
    <xf numFmtId="4" fontId="44" fillId="110" borderId="69" applyNumberFormat="0" applyProtection="0">
      <alignment horizontal="right" vertical="center"/>
    </xf>
    <xf numFmtId="4" fontId="44" fillId="2" borderId="83" applyNumberFormat="0" applyProtection="0">
      <alignment horizontal="left" vertical="center" indent="1"/>
    </xf>
    <xf numFmtId="0" fontId="44" fillId="10" borderId="69" applyNumberFormat="0" applyProtection="0">
      <alignment horizontal="left" vertical="center" indent="1"/>
    </xf>
    <xf numFmtId="4" fontId="17" fillId="119" borderId="8" applyNumberFormat="0" applyProtection="0">
      <alignment horizontal="left" vertical="center" indent="1"/>
    </xf>
    <xf numFmtId="4" fontId="44" fillId="9" borderId="69" applyNumberFormat="0" applyProtection="0">
      <alignment horizontal="right" vertical="center"/>
    </xf>
    <xf numFmtId="4" fontId="44" fillId="2" borderId="69" applyNumberFormat="0" applyProtection="0">
      <alignment horizontal="right" vertical="center"/>
    </xf>
    <xf numFmtId="0" fontId="44" fillId="41" borderId="69" applyNumberFormat="0" applyProtection="0">
      <alignment horizontal="left" vertical="center" indent="1"/>
    </xf>
    <xf numFmtId="4" fontId="117" fillId="43" borderId="69" applyNumberFormat="0" applyProtection="0">
      <alignment horizontal="right" vertical="center"/>
    </xf>
    <xf numFmtId="4" fontId="44" fillId="2" borderId="69" applyNumberFormat="0" applyProtection="0">
      <alignment horizontal="right" vertical="center"/>
    </xf>
    <xf numFmtId="4" fontId="44" fillId="0" borderId="69" applyNumberFormat="0" applyProtection="0">
      <alignment horizontal="right" vertical="center"/>
    </xf>
    <xf numFmtId="0" fontId="15" fillId="45" borderId="8" applyNumberFormat="0" applyProtection="0">
      <alignment horizontal="left" vertical="center" indent="1"/>
    </xf>
    <xf numFmtId="4" fontId="17" fillId="111" borderId="8" applyNumberFormat="0" applyProtection="0">
      <alignment horizontal="right" vertical="center"/>
    </xf>
    <xf numFmtId="0" fontId="15" fillId="107" borderId="8" applyNumberFormat="0" applyProtection="0">
      <alignment horizontal="left" vertical="center" indent="1"/>
    </xf>
    <xf numFmtId="4" fontId="17" fillId="106" borderId="8" applyNumberFormat="0" applyProtection="0">
      <alignment vertical="center"/>
    </xf>
    <xf numFmtId="4" fontId="44" fillId="39" borderId="69" applyNumberFormat="0" applyProtection="0">
      <alignment horizontal="right" vertical="center"/>
    </xf>
    <xf numFmtId="0" fontId="32" fillId="27" borderId="69" applyNumberFormat="0" applyAlignment="0" applyProtection="0"/>
    <xf numFmtId="0" fontId="44" fillId="41" borderId="69" applyNumberFormat="0" applyProtection="0">
      <alignment horizontal="left" vertical="center" indent="1"/>
    </xf>
    <xf numFmtId="4" fontId="17" fillId="115" borderId="8" applyNumberFormat="0" applyProtection="0">
      <alignment horizontal="right" vertical="center"/>
    </xf>
    <xf numFmtId="4" fontId="44" fillId="9" borderId="69" applyNumberFormat="0" applyProtection="0">
      <alignment horizontal="right" vertical="center"/>
    </xf>
    <xf numFmtId="4" fontId="44" fillId="39" borderId="69" applyNumberFormat="0" applyProtection="0">
      <alignment horizontal="right" vertical="center"/>
    </xf>
    <xf numFmtId="0" fontId="15" fillId="107" borderId="8" applyNumberFormat="0" applyProtection="0">
      <alignment horizontal="left" vertical="center" indent="1"/>
    </xf>
    <xf numFmtId="4" fontId="17" fillId="109" borderId="8" applyNumberFormat="0" applyProtection="0">
      <alignment horizontal="right" vertical="center"/>
    </xf>
    <xf numFmtId="4" fontId="44" fillId="0" borderId="69" applyNumberFormat="0" applyProtection="0">
      <alignment horizontal="right" vertical="center"/>
    </xf>
    <xf numFmtId="4" fontId="44" fillId="110" borderId="69" applyNumberFormat="0" applyProtection="0">
      <alignment horizontal="right" vertical="center"/>
    </xf>
    <xf numFmtId="4" fontId="17" fillId="106" borderId="8" applyNumberFormat="0" applyProtection="0">
      <alignment horizontal="left" vertical="center" indent="1"/>
    </xf>
    <xf numFmtId="4" fontId="44" fillId="51" borderId="69" applyNumberFormat="0" applyProtection="0">
      <alignment horizontal="left" vertical="center" indent="1"/>
    </xf>
    <xf numFmtId="0" fontId="15" fillId="122" borderId="8" applyNumberFormat="0" applyProtection="0">
      <alignment horizontal="left" vertical="center" indent="1"/>
    </xf>
    <xf numFmtId="4" fontId="17" fillId="123" borderId="8" applyNumberFormat="0" applyProtection="0">
      <alignment horizontal="left" vertical="center" indent="1"/>
    </xf>
    <xf numFmtId="4" fontId="44" fillId="7" borderId="69" applyNumberFormat="0" applyProtection="0">
      <alignment horizontal="right" vertical="center"/>
    </xf>
    <xf numFmtId="0" fontId="115" fillId="11" borderId="1" applyNumberFormat="0" applyAlignment="0" applyProtection="0"/>
    <xf numFmtId="4" fontId="117" fillId="43" borderId="69" applyNumberFormat="0" applyProtection="0">
      <alignment horizontal="right" vertical="center"/>
    </xf>
    <xf numFmtId="4" fontId="44" fillId="110" borderId="69" applyNumberFormat="0" applyProtection="0">
      <alignment horizontal="right" vertical="center"/>
    </xf>
    <xf numFmtId="0" fontId="15" fillId="45" borderId="8" applyNumberFormat="0" applyProtection="0">
      <alignment horizontal="left" vertical="center" indent="1"/>
    </xf>
    <xf numFmtId="0" fontId="119" fillId="8" borderId="92" applyBorder="0"/>
    <xf numFmtId="0" fontId="44" fillId="6" borderId="69" applyNumberFormat="0" applyProtection="0">
      <alignment horizontal="left" vertical="center" indent="1"/>
    </xf>
    <xf numFmtId="4" fontId="17" fillId="116" borderId="8" applyNumberFormat="0" applyProtection="0">
      <alignment horizontal="right" vertical="center"/>
    </xf>
    <xf numFmtId="4" fontId="44" fillId="36" borderId="69" applyNumberFormat="0" applyProtection="0">
      <alignment horizontal="right" vertical="center"/>
    </xf>
    <xf numFmtId="4" fontId="44" fillId="9" borderId="69" applyNumberFormat="0" applyProtection="0">
      <alignment horizontal="right" vertical="center"/>
    </xf>
    <xf numFmtId="4" fontId="44" fillId="38" borderId="69" applyNumberFormat="0" applyProtection="0">
      <alignment horizontal="right" vertical="center"/>
    </xf>
    <xf numFmtId="4" fontId="120" fillId="10" borderId="9" applyNumberFormat="0" applyProtection="0">
      <alignment horizontal="left" vertical="center" indent="1"/>
    </xf>
    <xf numFmtId="4" fontId="44" fillId="7" borderId="69" applyNumberFormat="0" applyProtection="0">
      <alignment horizontal="right" vertical="center"/>
    </xf>
    <xf numFmtId="4" fontId="44" fillId="33" borderId="69" applyNumberFormat="0" applyProtection="0">
      <alignment vertical="center"/>
    </xf>
    <xf numFmtId="4" fontId="17" fillId="123" borderId="8" applyNumberFormat="0" applyProtection="0">
      <alignment horizontal="left" vertical="center" indent="1"/>
    </xf>
    <xf numFmtId="4" fontId="44" fillId="106" borderId="69" applyNumberFormat="0" applyProtection="0">
      <alignment horizontal="left" vertical="center" indent="1"/>
    </xf>
    <xf numFmtId="0" fontId="44" fillId="10" borderId="69" applyNumberFormat="0" applyProtection="0">
      <alignment horizontal="left" vertical="center" indent="1"/>
    </xf>
    <xf numFmtId="4" fontId="44" fillId="41" borderId="83" applyNumberFormat="0" applyProtection="0">
      <alignment horizontal="left" vertical="center" indent="1"/>
    </xf>
    <xf numFmtId="4" fontId="17" fillId="113" borderId="8" applyNumberFormat="0" applyProtection="0">
      <alignment horizontal="right" vertical="center"/>
    </xf>
    <xf numFmtId="4" fontId="44" fillId="35" borderId="69" applyNumberFormat="0" applyProtection="0">
      <alignment horizontal="right" vertical="center"/>
    </xf>
    <xf numFmtId="4" fontId="15" fillId="8" borderId="83" applyNumberFormat="0" applyProtection="0">
      <alignment horizontal="left" vertical="center" indent="1"/>
    </xf>
    <xf numFmtId="0" fontId="15" fillId="45" borderId="8" applyNumberFormat="0" applyProtection="0">
      <alignment horizontal="left" vertical="center" indent="1"/>
    </xf>
    <xf numFmtId="4" fontId="44" fillId="39" borderId="69" applyNumberFormat="0" applyProtection="0">
      <alignment horizontal="right" vertical="center"/>
    </xf>
    <xf numFmtId="4" fontId="44" fillId="2" borderId="83" applyNumberFormat="0" applyProtection="0">
      <alignment horizontal="left" vertical="center" indent="1"/>
    </xf>
    <xf numFmtId="4" fontId="41" fillId="119" borderId="8" applyNumberFormat="0" applyProtection="0">
      <alignment horizontal="right" vertical="center"/>
    </xf>
    <xf numFmtId="4" fontId="44" fillId="2" borderId="83" applyNumberFormat="0" applyProtection="0">
      <alignment horizontal="left" vertical="center" indent="1"/>
    </xf>
    <xf numFmtId="4" fontId="44" fillId="106" borderId="69" applyNumberFormat="0" applyProtection="0">
      <alignment horizontal="left" vertical="center" indent="1"/>
    </xf>
    <xf numFmtId="4" fontId="17" fillId="106" borderId="8" applyNumberFormat="0" applyProtection="0">
      <alignment vertical="center"/>
    </xf>
    <xf numFmtId="4" fontId="44" fillId="106" borderId="69" applyNumberFormat="0" applyProtection="0">
      <alignment horizontal="left" vertical="center" indent="1"/>
    </xf>
    <xf numFmtId="0" fontId="44" fillId="26" borderId="69" applyNumberFormat="0" applyFont="0" applyAlignment="0" applyProtection="0"/>
    <xf numFmtId="0" fontId="109" fillId="10" borderId="1" applyNumberFormat="0" applyAlignment="0" applyProtection="0"/>
    <xf numFmtId="4" fontId="44" fillId="7" borderId="69" applyNumberFormat="0" applyProtection="0">
      <alignment horizontal="right" vertical="center"/>
    </xf>
    <xf numFmtId="0" fontId="118" fillId="33" borderId="9" applyNumberFormat="0" applyProtection="0">
      <alignment horizontal="left" vertical="top" indent="1"/>
    </xf>
    <xf numFmtId="4" fontId="44" fillId="33" borderId="69" applyNumberFormat="0" applyProtection="0">
      <alignment vertical="center"/>
    </xf>
    <xf numFmtId="0" fontId="108" fillId="101" borderId="69" applyNumberFormat="0" applyAlignment="0" applyProtection="0"/>
    <xf numFmtId="4" fontId="122" fillId="42" borderId="83" applyNumberFormat="0" applyProtection="0">
      <alignment horizontal="left" vertical="center" indent="1"/>
    </xf>
    <xf numFmtId="0" fontId="44" fillId="124" borderId="94"/>
    <xf numFmtId="0" fontId="120" fillId="2" borderId="9" applyNumberFormat="0" applyProtection="0">
      <alignment horizontal="left" vertical="top" indent="1"/>
    </xf>
    <xf numFmtId="4" fontId="41" fillId="119" borderId="8" applyNumberFormat="0" applyProtection="0">
      <alignment horizontal="right" vertical="center"/>
    </xf>
    <xf numFmtId="4" fontId="44" fillId="0" borderId="69" applyNumberFormat="0" applyProtection="0">
      <alignment horizontal="right" vertical="center"/>
    </xf>
    <xf numFmtId="0" fontId="15" fillId="107" borderId="8" applyNumberFormat="0" applyProtection="0">
      <alignment horizontal="left" vertical="center" indent="1"/>
    </xf>
    <xf numFmtId="4" fontId="44" fillId="0" borderId="69" applyNumberFormat="0" applyProtection="0">
      <alignment horizontal="right" vertical="center"/>
    </xf>
    <xf numFmtId="4" fontId="44" fillId="51" borderId="69" applyNumberFormat="0" applyProtection="0">
      <alignment horizontal="left" vertical="center" indent="1"/>
    </xf>
    <xf numFmtId="4" fontId="39" fillId="119" borderId="8" applyNumberFormat="0" applyProtection="0">
      <alignment horizontal="right" vertical="center"/>
    </xf>
    <xf numFmtId="0" fontId="35" fillId="101" borderId="8" applyNumberFormat="0" applyAlignment="0" applyProtection="0"/>
    <xf numFmtId="0" fontId="44" fillId="26" borderId="69" applyNumberFormat="0" applyFont="0" applyAlignment="0" applyProtection="0"/>
    <xf numFmtId="0" fontId="17" fillId="4" borderId="7"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4" fillId="72" borderId="0" applyNumberFormat="0" applyBorder="0" applyAlignment="0" applyProtection="0"/>
    <xf numFmtId="0" fontId="104" fillId="76" borderId="0" applyNumberFormat="0" applyBorder="0" applyAlignment="0" applyProtection="0"/>
    <xf numFmtId="0" fontId="104" fillId="80" borderId="0" applyNumberFormat="0" applyBorder="0" applyAlignment="0" applyProtection="0"/>
    <xf numFmtId="175" fontId="24" fillId="28" borderId="105" applyNumberFormat="0" applyAlignment="0" applyProtection="0"/>
    <xf numFmtId="175" fontId="32" fillId="27" borderId="105" applyNumberFormat="0" applyAlignment="0" applyProtection="0"/>
    <xf numFmtId="175" fontId="15" fillId="26" borderId="106" applyNumberFormat="0" applyFont="0" applyAlignment="0" applyProtection="0"/>
    <xf numFmtId="175" fontId="35" fillId="28" borderId="107" applyNumberFormat="0" applyAlignment="0" applyProtection="0"/>
    <xf numFmtId="4" fontId="36" fillId="33" borderId="108" applyNumberFormat="0" applyProtection="0">
      <alignment vertical="center"/>
    </xf>
    <xf numFmtId="4" fontId="37" fillId="33" borderId="108" applyNumberFormat="0" applyProtection="0">
      <alignment vertical="center"/>
    </xf>
    <xf numFmtId="4" fontId="36" fillId="33" borderId="108" applyNumberFormat="0" applyProtection="0">
      <alignment horizontal="left" vertical="center" indent="1"/>
    </xf>
    <xf numFmtId="175" fontId="36" fillId="33" borderId="108" applyNumberFormat="0" applyProtection="0">
      <alignment horizontal="left" vertical="top" indent="1"/>
    </xf>
    <xf numFmtId="4" fontId="17" fillId="7" borderId="108" applyNumberFormat="0" applyProtection="0">
      <alignment horizontal="right" vertical="center"/>
    </xf>
    <xf numFmtId="4" fontId="17" fillId="3" borderId="108" applyNumberFormat="0" applyProtection="0">
      <alignment horizontal="right" vertical="center"/>
    </xf>
    <xf numFmtId="4" fontId="17" fillId="34" borderId="108" applyNumberFormat="0" applyProtection="0">
      <alignment horizontal="right" vertical="center"/>
    </xf>
    <xf numFmtId="4" fontId="17" fillId="35" borderId="108" applyNumberFormat="0" applyProtection="0">
      <alignment horizontal="right" vertical="center"/>
    </xf>
    <xf numFmtId="4" fontId="17" fillId="36" borderId="108" applyNumberFormat="0" applyProtection="0">
      <alignment horizontal="right" vertical="center"/>
    </xf>
    <xf numFmtId="4" fontId="17" fillId="37" borderId="108" applyNumberFormat="0" applyProtection="0">
      <alignment horizontal="right" vertical="center"/>
    </xf>
    <xf numFmtId="4" fontId="17" fillId="9" borderId="108" applyNumberFormat="0" applyProtection="0">
      <alignment horizontal="right" vertical="center"/>
    </xf>
    <xf numFmtId="4" fontId="17" fillId="38" borderId="108" applyNumberFormat="0" applyProtection="0">
      <alignment horizontal="right" vertical="center"/>
    </xf>
    <xf numFmtId="4" fontId="17" fillId="39" borderId="108" applyNumberFormat="0" applyProtection="0">
      <alignment horizontal="right" vertical="center"/>
    </xf>
    <xf numFmtId="4" fontId="17" fillId="2" borderId="108" applyNumberFormat="0" applyProtection="0">
      <alignment horizontal="right" vertical="center"/>
    </xf>
    <xf numFmtId="175" fontId="15" fillId="8" borderId="108" applyNumberFormat="0" applyProtection="0">
      <alignment horizontal="left" vertical="center" indent="1"/>
    </xf>
    <xf numFmtId="175" fontId="15" fillId="8" borderId="108" applyNumberFormat="0" applyProtection="0">
      <alignment horizontal="left" vertical="top" indent="1"/>
    </xf>
    <xf numFmtId="175" fontId="15" fillId="2" borderId="108" applyNumberFormat="0" applyProtection="0">
      <alignment horizontal="left" vertical="center" indent="1"/>
    </xf>
    <xf numFmtId="175" fontId="15" fillId="2" borderId="108" applyNumberFormat="0" applyProtection="0">
      <alignment horizontal="left" vertical="top" indent="1"/>
    </xf>
    <xf numFmtId="175" fontId="15" fillId="6" borderId="108" applyNumberFormat="0" applyProtection="0">
      <alignment horizontal="left" vertical="center" indent="1"/>
    </xf>
    <xf numFmtId="175" fontId="15" fillId="6" borderId="108" applyNumberFormat="0" applyProtection="0">
      <alignment horizontal="left" vertical="top" indent="1"/>
    </xf>
    <xf numFmtId="175" fontId="15" fillId="41" borderId="108" applyNumberFormat="0" applyProtection="0">
      <alignment horizontal="left" vertical="center" indent="1"/>
    </xf>
    <xf numFmtId="175" fontId="15" fillId="41" borderId="108" applyNumberFormat="0" applyProtection="0">
      <alignment horizontal="left" vertical="top" indent="1"/>
    </xf>
    <xf numFmtId="4" fontId="17" fillId="4" borderId="108" applyNumberFormat="0" applyProtection="0">
      <alignment vertical="center"/>
    </xf>
    <xf numFmtId="4" fontId="39" fillId="4" borderId="108" applyNumberFormat="0" applyProtection="0">
      <alignment vertical="center"/>
    </xf>
    <xf numFmtId="4" fontId="17" fillId="4" borderId="108" applyNumberFormat="0" applyProtection="0">
      <alignment horizontal="left" vertical="center" indent="1"/>
    </xf>
    <xf numFmtId="175" fontId="17" fillId="4" borderId="108" applyNumberFormat="0" applyProtection="0">
      <alignment horizontal="left" vertical="top" indent="1"/>
    </xf>
    <xf numFmtId="4" fontId="17" fillId="41" borderId="108" applyNumberFormat="0" applyProtection="0">
      <alignment horizontal="right" vertical="center"/>
    </xf>
    <xf numFmtId="4" fontId="39" fillId="41" borderId="108" applyNumberFormat="0" applyProtection="0">
      <alignment horizontal="right" vertical="center"/>
    </xf>
    <xf numFmtId="4" fontId="17" fillId="2" borderId="108" applyNumberFormat="0" applyProtection="0">
      <alignment horizontal="left" vertical="center" indent="1"/>
    </xf>
    <xf numFmtId="175" fontId="17" fillId="2" borderId="108" applyNumberFormat="0" applyProtection="0">
      <alignment horizontal="left" vertical="top" indent="1"/>
    </xf>
    <xf numFmtId="4" fontId="41" fillId="41" borderId="108" applyNumberFormat="0" applyProtection="0">
      <alignment horizontal="right" vertical="center"/>
    </xf>
    <xf numFmtId="175" fontId="26" fillId="0" borderId="109" applyNumberFormat="0" applyFill="0" applyAlignment="0" applyProtection="0"/>
    <xf numFmtId="4" fontId="17" fillId="7" borderId="108" applyNumberFormat="0" applyProtection="0">
      <alignment horizontal="right" vertical="center"/>
    </xf>
    <xf numFmtId="4" fontId="17" fillId="3" borderId="108" applyNumberFormat="0" applyProtection="0">
      <alignment horizontal="right" vertical="center"/>
    </xf>
    <xf numFmtId="4" fontId="17" fillId="34" borderId="108" applyNumberFormat="0" applyProtection="0">
      <alignment horizontal="right" vertical="center"/>
    </xf>
    <xf numFmtId="4" fontId="17" fillId="35" borderId="108" applyNumberFormat="0" applyProtection="0">
      <alignment horizontal="right" vertical="center"/>
    </xf>
    <xf numFmtId="4" fontId="17" fillId="36" borderId="108" applyNumberFormat="0" applyProtection="0">
      <alignment horizontal="right" vertical="center"/>
    </xf>
    <xf numFmtId="4" fontId="17" fillId="37" borderId="108" applyNumberFormat="0" applyProtection="0">
      <alignment horizontal="right" vertical="center"/>
    </xf>
    <xf numFmtId="4" fontId="17" fillId="9" borderId="108" applyNumberFormat="0" applyProtection="0">
      <alignment horizontal="right" vertical="center"/>
    </xf>
    <xf numFmtId="4" fontId="17" fillId="38" borderId="108" applyNumberFormat="0" applyProtection="0">
      <alignment horizontal="right" vertical="center"/>
    </xf>
    <xf numFmtId="4" fontId="17" fillId="39" borderId="108" applyNumberFormat="0" applyProtection="0">
      <alignment horizontal="right" vertical="center"/>
    </xf>
    <xf numFmtId="4" fontId="17" fillId="2" borderId="108" applyNumberFormat="0" applyProtection="0">
      <alignment horizontal="right" vertical="center"/>
    </xf>
    <xf numFmtId="4" fontId="17" fillId="4" borderId="108" applyNumberFormat="0" applyProtection="0">
      <alignment vertical="center"/>
    </xf>
    <xf numFmtId="4" fontId="17" fillId="4" borderId="108" applyNumberFormat="0" applyProtection="0">
      <alignment horizontal="left" vertical="center" indent="1"/>
    </xf>
    <xf numFmtId="175" fontId="17" fillId="4" borderId="108" applyNumberFormat="0" applyProtection="0">
      <alignment horizontal="left" vertical="top" indent="1"/>
    </xf>
    <xf numFmtId="4" fontId="17" fillId="41" borderId="108" applyNumberFormat="0" applyProtection="0">
      <alignment horizontal="right" vertical="center"/>
    </xf>
    <xf numFmtId="4" fontId="17" fillId="2" borderId="108" applyNumberFormat="0" applyProtection="0">
      <alignment horizontal="left" vertical="center" indent="1"/>
    </xf>
    <xf numFmtId="175" fontId="17" fillId="2" borderId="108" applyNumberFormat="0" applyProtection="0">
      <alignment horizontal="left" vertical="top" indent="1"/>
    </xf>
    <xf numFmtId="175" fontId="1" fillId="0" borderId="0"/>
    <xf numFmtId="175" fontId="24" fillId="28" borderId="105" applyNumberFormat="0" applyAlignment="0" applyProtection="0"/>
    <xf numFmtId="175" fontId="32" fillId="27" borderId="105" applyNumberFormat="0" applyAlignment="0" applyProtection="0"/>
    <xf numFmtId="175" fontId="15" fillId="26" borderId="106" applyNumberFormat="0" applyFont="0" applyAlignment="0" applyProtection="0"/>
    <xf numFmtId="175" fontId="35" fillId="28" borderId="107" applyNumberFormat="0" applyAlignment="0" applyProtection="0"/>
    <xf numFmtId="175" fontId="26" fillId="0" borderId="109" applyNumberFormat="0" applyFill="0" applyAlignment="0" applyProtection="0"/>
    <xf numFmtId="175" fontId="1" fillId="0" borderId="0"/>
    <xf numFmtId="175" fontId="24" fillId="28" borderId="105" applyNumberFormat="0" applyAlignment="0" applyProtection="0"/>
    <xf numFmtId="175" fontId="32" fillId="27" borderId="105" applyNumberFormat="0" applyAlignment="0" applyProtection="0"/>
    <xf numFmtId="175" fontId="15" fillId="26" borderId="106" applyNumberFormat="0" applyFont="0" applyAlignment="0" applyProtection="0"/>
    <xf numFmtId="175" fontId="35" fillId="28" borderId="107" applyNumberFormat="0" applyAlignment="0" applyProtection="0"/>
    <xf numFmtId="175" fontId="26" fillId="0" borderId="109" applyNumberFormat="0" applyFill="0" applyAlignment="0" applyProtection="0"/>
    <xf numFmtId="175" fontId="1" fillId="0" borderId="0"/>
    <xf numFmtId="175" fontId="1" fillId="0" borderId="0"/>
    <xf numFmtId="175" fontId="24" fillId="28" borderId="105" applyNumberFormat="0" applyAlignment="0" applyProtection="0"/>
    <xf numFmtId="175" fontId="32" fillId="27" borderId="105" applyNumberFormat="0" applyAlignment="0" applyProtection="0"/>
    <xf numFmtId="175" fontId="15" fillId="26" borderId="106" applyNumberFormat="0" applyFont="0" applyAlignment="0" applyProtection="0"/>
    <xf numFmtId="175" fontId="35" fillId="28" borderId="107" applyNumberFormat="0" applyAlignment="0" applyProtection="0"/>
    <xf numFmtId="175" fontId="26" fillId="0" borderId="109" applyNumberFormat="0" applyFill="0" applyAlignment="0" applyProtection="0"/>
    <xf numFmtId="175" fontId="1" fillId="0" borderId="0"/>
    <xf numFmtId="175" fontId="1" fillId="0" borderId="0"/>
    <xf numFmtId="175" fontId="1" fillId="0" borderId="0"/>
    <xf numFmtId="175" fontId="1" fillId="0" borderId="0"/>
    <xf numFmtId="175" fontId="24" fillId="28" borderId="105" applyNumberFormat="0" applyAlignment="0" applyProtection="0"/>
    <xf numFmtId="175" fontId="32" fillId="27" borderId="105" applyNumberFormat="0" applyAlignment="0" applyProtection="0"/>
    <xf numFmtId="175" fontId="15" fillId="26" borderId="106" applyNumberFormat="0" applyFont="0" applyAlignment="0" applyProtection="0"/>
    <xf numFmtId="175" fontId="35" fillId="28" borderId="107" applyNumberFormat="0" applyAlignment="0" applyProtection="0"/>
    <xf numFmtId="175" fontId="26" fillId="0" borderId="109" applyNumberFormat="0" applyFill="0" applyAlignment="0" applyProtection="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24" fillId="28" borderId="105" applyNumberFormat="0" applyAlignment="0" applyProtection="0"/>
    <xf numFmtId="175" fontId="32" fillId="27" borderId="105" applyNumberFormat="0" applyAlignment="0" applyProtection="0"/>
    <xf numFmtId="175" fontId="15" fillId="26" borderId="106" applyNumberFormat="0" applyFont="0" applyAlignment="0" applyProtection="0"/>
    <xf numFmtId="175" fontId="35" fillId="28" borderId="107" applyNumberFormat="0" applyAlignment="0" applyProtection="0"/>
    <xf numFmtId="175" fontId="26" fillId="0" borderId="109" applyNumberFormat="0" applyFill="0" applyAlignment="0" applyProtection="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24" fillId="28" borderId="105" applyNumberFormat="0" applyAlignment="0" applyProtection="0"/>
    <xf numFmtId="175" fontId="32" fillId="27" borderId="105" applyNumberFormat="0" applyAlignment="0" applyProtection="0"/>
    <xf numFmtId="175" fontId="15" fillId="26" borderId="106" applyNumberFormat="0" applyFont="0" applyAlignment="0" applyProtection="0"/>
    <xf numFmtId="175" fontId="35" fillId="28" borderId="107" applyNumberFormat="0" applyAlignment="0" applyProtection="0"/>
    <xf numFmtId="175" fontId="26" fillId="0" borderId="109" applyNumberFormat="0" applyFill="0" applyAlignment="0" applyProtection="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175" fontId="24" fillId="28" borderId="105" applyNumberFormat="0" applyAlignment="0" applyProtection="0"/>
    <xf numFmtId="175" fontId="32" fillId="27" borderId="105" applyNumberFormat="0" applyAlignment="0" applyProtection="0"/>
    <xf numFmtId="175" fontId="15" fillId="26" borderId="106" applyNumberFormat="0" applyFont="0" applyAlignment="0" applyProtection="0"/>
    <xf numFmtId="175" fontId="35" fillId="28" borderId="107" applyNumberFormat="0" applyAlignment="0" applyProtection="0"/>
    <xf numFmtId="175" fontId="26" fillId="0" borderId="109" applyNumberFormat="0" applyFill="0" applyAlignment="0" applyProtection="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4" fontId="44" fillId="0" borderId="110" applyNumberFormat="0" applyProtection="0">
      <alignment horizontal="right" vertical="center"/>
    </xf>
    <xf numFmtId="4" fontId="44" fillId="51" borderId="110" applyNumberFormat="0" applyProtection="0">
      <alignment horizontal="left" vertical="center" indent="1"/>
    </xf>
    <xf numFmtId="43" fontId="1" fillId="0" borderId="0" applyFont="0" applyFill="0" applyBorder="0" applyAlignment="0" applyProtection="0"/>
    <xf numFmtId="0" fontId="1" fillId="0" borderId="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3" borderId="0" applyNumberFormat="0" applyBorder="0" applyAlignment="0" applyProtection="0"/>
    <xf numFmtId="0" fontId="1" fillId="65" borderId="0" applyNumberFormat="0" applyBorder="0" applyAlignment="0" applyProtection="0"/>
    <xf numFmtId="0" fontId="36" fillId="33" borderId="108" applyNumberFormat="0" applyProtection="0">
      <alignment horizontal="left" vertical="top" indent="1"/>
    </xf>
    <xf numFmtId="0" fontId="1" fillId="61" borderId="0" applyNumberFormat="0" applyBorder="0" applyAlignment="0" applyProtection="0"/>
    <xf numFmtId="0" fontId="15" fillId="8" borderId="108" applyNumberFormat="0" applyProtection="0">
      <alignment horizontal="left" vertical="center" indent="1"/>
    </xf>
    <xf numFmtId="0" fontId="15" fillId="8" borderId="108" applyNumberFormat="0" applyProtection="0">
      <alignment horizontal="left" vertical="top" indent="1"/>
    </xf>
    <xf numFmtId="0" fontId="15" fillId="2" borderId="108" applyNumberFormat="0" applyProtection="0">
      <alignment horizontal="left" vertical="center" indent="1"/>
    </xf>
    <xf numFmtId="0" fontId="15" fillId="2" borderId="108" applyNumberFormat="0" applyProtection="0">
      <alignment horizontal="left" vertical="top" indent="1"/>
    </xf>
    <xf numFmtId="0" fontId="15" fillId="6" borderId="108" applyNumberFormat="0" applyProtection="0">
      <alignment horizontal="left" vertical="center" indent="1"/>
    </xf>
    <xf numFmtId="0" fontId="15" fillId="6" borderId="108" applyNumberFormat="0" applyProtection="0">
      <alignment horizontal="left" vertical="top" indent="1"/>
    </xf>
    <xf numFmtId="0" fontId="15" fillId="41" borderId="108" applyNumberFormat="0" applyProtection="0">
      <alignment horizontal="left" vertical="center" indent="1"/>
    </xf>
    <xf numFmtId="0" fontId="15" fillId="41" borderId="108" applyNumberFormat="0" applyProtection="0">
      <alignment horizontal="left" vertical="top" indent="1"/>
    </xf>
    <xf numFmtId="0" fontId="1" fillId="61" borderId="0" applyNumberFormat="0" applyBorder="0" applyAlignment="0" applyProtection="0"/>
    <xf numFmtId="0" fontId="1" fillId="62" borderId="0" applyNumberFormat="0" applyBorder="0" applyAlignment="0" applyProtection="0"/>
    <xf numFmtId="0" fontId="17" fillId="4" borderId="108" applyNumberFormat="0" applyProtection="0">
      <alignment horizontal="left" vertical="top" indent="1"/>
    </xf>
    <xf numFmtId="0" fontId="1" fillId="61" borderId="0" applyNumberFormat="0" applyBorder="0" applyAlignment="0" applyProtection="0"/>
    <xf numFmtId="0" fontId="1" fillId="61" borderId="0" applyNumberFormat="0" applyBorder="0" applyAlignment="0" applyProtection="0"/>
    <xf numFmtId="0" fontId="17" fillId="2" borderId="108" applyNumberFormat="0" applyProtection="0">
      <alignment horizontal="left" vertical="top" indent="1"/>
    </xf>
    <xf numFmtId="0" fontId="1" fillId="69"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1" borderId="0" applyNumberFormat="0" applyBorder="0" applyAlignment="0" applyProtection="0"/>
    <xf numFmtId="0" fontId="1" fillId="82" borderId="0" applyNumberFormat="0" applyBorder="0" applyAlignment="0" applyProtection="0"/>
    <xf numFmtId="0" fontId="1" fillId="0" borderId="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08" fillId="101" borderId="110" applyNumberFormat="0" applyAlignment="0" applyProtection="0"/>
    <xf numFmtId="0" fontId="109" fillId="10" borderId="105"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2" fillId="27" borderId="110" applyNumberFormat="0" applyAlignment="0" applyProtection="0"/>
    <xf numFmtId="0" fontId="115" fillId="11" borderId="105"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7" fillId="4" borderId="106" applyNumberFormat="0" applyFont="0" applyAlignment="0" applyProtection="0"/>
    <xf numFmtId="0" fontId="44" fillId="26" borderId="110" applyNumberFormat="0" applyFont="0" applyAlignment="0" applyProtection="0"/>
    <xf numFmtId="0" fontId="1" fillId="59" borderId="81" applyNumberFormat="0" applyFont="0" applyAlignment="0" applyProtection="0"/>
    <xf numFmtId="0" fontId="35" fillId="101" borderId="107" applyNumberFormat="0" applyAlignment="0" applyProtection="0"/>
    <xf numFmtId="0" fontId="35" fillId="10" borderId="107" applyNumberFormat="0" applyAlignment="0" applyProtection="0"/>
    <xf numFmtId="9" fontId="1" fillId="0" borderId="0" applyFont="0" applyFill="0" applyBorder="0" applyAlignment="0" applyProtection="0"/>
    <xf numFmtId="9" fontId="1" fillId="0" borderId="0" applyFont="0" applyFill="0" applyBorder="0" applyAlignment="0" applyProtection="0"/>
    <xf numFmtId="4" fontId="17" fillId="106" borderId="107" applyNumberFormat="0" applyProtection="0">
      <alignment vertical="center"/>
    </xf>
    <xf numFmtId="4" fontId="17" fillId="106" borderId="107" applyNumberFormat="0" applyProtection="0">
      <alignment vertical="center"/>
    </xf>
    <xf numFmtId="4" fontId="44" fillId="33" borderId="110" applyNumberFormat="0" applyProtection="0">
      <alignment vertical="center"/>
    </xf>
    <xf numFmtId="4" fontId="44" fillId="33" borderId="110" applyNumberFormat="0" applyProtection="0">
      <alignment vertical="center"/>
    </xf>
    <xf numFmtId="4" fontId="44" fillId="33" borderId="110" applyNumberFormat="0" applyProtection="0">
      <alignment vertical="center"/>
    </xf>
    <xf numFmtId="4" fontId="39" fillId="106" borderId="107" applyNumberFormat="0" applyProtection="0">
      <alignment vertical="center"/>
    </xf>
    <xf numFmtId="4" fontId="117" fillId="106" borderId="110" applyNumberFormat="0" applyProtection="0">
      <alignment vertical="center"/>
    </xf>
    <xf numFmtId="4" fontId="17" fillId="106" borderId="107" applyNumberFormat="0" applyProtection="0">
      <alignment horizontal="left" vertical="center" indent="1"/>
    </xf>
    <xf numFmtId="4" fontId="44" fillId="106" borderId="110" applyNumberFormat="0" applyProtection="0">
      <alignment horizontal="left" vertical="center" indent="1"/>
    </xf>
    <xf numFmtId="4" fontId="44" fillId="106" borderId="110" applyNumberFormat="0" applyProtection="0">
      <alignment horizontal="left" vertical="center" indent="1"/>
    </xf>
    <xf numFmtId="4" fontId="44" fillId="106" borderId="110" applyNumberFormat="0" applyProtection="0">
      <alignment horizontal="left" vertical="center" indent="1"/>
    </xf>
    <xf numFmtId="4" fontId="17" fillId="106" borderId="107" applyNumberFormat="0" applyProtection="0">
      <alignment horizontal="left" vertical="center" indent="1"/>
    </xf>
    <xf numFmtId="0" fontId="118" fillId="33" borderId="108" applyNumberFormat="0" applyProtection="0">
      <alignment horizontal="left" vertical="top" indent="1"/>
    </xf>
    <xf numFmtId="0" fontId="15" fillId="107" borderId="107" applyNumberFormat="0" applyProtection="0">
      <alignment horizontal="left" vertical="center" indent="1"/>
    </xf>
    <xf numFmtId="4" fontId="44" fillId="51" borderId="110" applyNumberFormat="0" applyProtection="0">
      <alignment horizontal="left" vertical="center" indent="1"/>
    </xf>
    <xf numFmtId="4" fontId="44" fillId="51" borderId="110" applyNumberFormat="0" applyProtection="0">
      <alignment horizontal="left" vertical="center" indent="1"/>
    </xf>
    <xf numFmtId="4" fontId="44" fillId="51" borderId="110" applyNumberFormat="0" applyProtection="0">
      <alignment horizontal="left" vertical="center" indent="1"/>
    </xf>
    <xf numFmtId="4" fontId="17" fillId="108" borderId="107" applyNumberFormat="0" applyProtection="0">
      <alignment horizontal="right" vertical="center"/>
    </xf>
    <xf numFmtId="4" fontId="44" fillId="7" borderId="110" applyNumberFormat="0" applyProtection="0">
      <alignment horizontal="right" vertical="center"/>
    </xf>
    <xf numFmtId="4" fontId="44" fillId="7" borderId="110" applyNumberFormat="0" applyProtection="0">
      <alignment horizontal="right" vertical="center"/>
    </xf>
    <xf numFmtId="4" fontId="44" fillId="7" borderId="110" applyNumberFormat="0" applyProtection="0">
      <alignment horizontal="right" vertical="center"/>
    </xf>
    <xf numFmtId="4" fontId="17" fillId="109" borderId="107" applyNumberFormat="0" applyProtection="0">
      <alignment horizontal="right" vertical="center"/>
    </xf>
    <xf numFmtId="4" fontId="44" fillId="110" borderId="110" applyNumberFormat="0" applyProtection="0">
      <alignment horizontal="right" vertical="center"/>
    </xf>
    <xf numFmtId="4" fontId="44" fillId="110" borderId="110" applyNumberFormat="0" applyProtection="0">
      <alignment horizontal="right" vertical="center"/>
    </xf>
    <xf numFmtId="4" fontId="44" fillId="110" borderId="110" applyNumberFormat="0" applyProtection="0">
      <alignment horizontal="right" vertical="center"/>
    </xf>
    <xf numFmtId="4" fontId="17" fillId="111" borderId="107" applyNumberFormat="0" applyProtection="0">
      <alignment horizontal="right" vertical="center"/>
    </xf>
    <xf numFmtId="4" fontId="44" fillId="34" borderId="111" applyNumberFormat="0" applyProtection="0">
      <alignment horizontal="right" vertical="center"/>
    </xf>
    <xf numFmtId="4" fontId="44" fillId="34" borderId="111" applyNumberFormat="0" applyProtection="0">
      <alignment horizontal="right" vertical="center"/>
    </xf>
    <xf numFmtId="4" fontId="44" fillId="34" borderId="111" applyNumberFormat="0" applyProtection="0">
      <alignment horizontal="right" vertical="center"/>
    </xf>
    <xf numFmtId="4" fontId="17" fillId="112" borderId="107" applyNumberFormat="0" applyProtection="0">
      <alignment horizontal="right" vertical="center"/>
    </xf>
    <xf numFmtId="4" fontId="44" fillId="35" borderId="110" applyNumberFormat="0" applyProtection="0">
      <alignment horizontal="right" vertical="center"/>
    </xf>
    <xf numFmtId="4" fontId="44" fillId="35" borderId="110" applyNumberFormat="0" applyProtection="0">
      <alignment horizontal="right" vertical="center"/>
    </xf>
    <xf numFmtId="4" fontId="44" fillId="35" borderId="110" applyNumberFormat="0" applyProtection="0">
      <alignment horizontal="right" vertical="center"/>
    </xf>
    <xf numFmtId="4" fontId="17" fillId="113" borderId="107" applyNumberFormat="0" applyProtection="0">
      <alignment horizontal="right" vertical="center"/>
    </xf>
    <xf numFmtId="4" fontId="44" fillId="36" borderId="110" applyNumberFormat="0" applyProtection="0">
      <alignment horizontal="right" vertical="center"/>
    </xf>
    <xf numFmtId="4" fontId="44" fillId="36" borderId="110" applyNumberFormat="0" applyProtection="0">
      <alignment horizontal="right" vertical="center"/>
    </xf>
    <xf numFmtId="4" fontId="44" fillId="36" borderId="110" applyNumberFormat="0" applyProtection="0">
      <alignment horizontal="right" vertical="center"/>
    </xf>
    <xf numFmtId="4" fontId="17" fillId="114" borderId="107" applyNumberFormat="0" applyProtection="0">
      <alignment horizontal="right" vertical="center"/>
    </xf>
    <xf numFmtId="4" fontId="44" fillId="37" borderId="110" applyNumberFormat="0" applyProtection="0">
      <alignment horizontal="right" vertical="center"/>
    </xf>
    <xf numFmtId="4" fontId="44" fillId="37" borderId="110" applyNumberFormat="0" applyProtection="0">
      <alignment horizontal="right" vertical="center"/>
    </xf>
    <xf numFmtId="4" fontId="44" fillId="37" borderId="110" applyNumberFormat="0" applyProtection="0">
      <alignment horizontal="right" vertical="center"/>
    </xf>
    <xf numFmtId="4" fontId="17" fillId="115" borderId="107" applyNumberFormat="0" applyProtection="0">
      <alignment horizontal="right" vertical="center"/>
    </xf>
    <xf numFmtId="4" fontId="44" fillId="9" borderId="110" applyNumberFormat="0" applyProtection="0">
      <alignment horizontal="right" vertical="center"/>
    </xf>
    <xf numFmtId="4" fontId="44" fillId="9" borderId="110" applyNumberFormat="0" applyProtection="0">
      <alignment horizontal="right" vertical="center"/>
    </xf>
    <xf numFmtId="4" fontId="44" fillId="9" borderId="110" applyNumberFormat="0" applyProtection="0">
      <alignment horizontal="right" vertical="center"/>
    </xf>
    <xf numFmtId="4" fontId="17" fillId="116" borderId="107" applyNumberFormat="0" applyProtection="0">
      <alignment horizontal="right" vertical="center"/>
    </xf>
    <xf numFmtId="4" fontId="44" fillId="38" borderId="110" applyNumberFormat="0" applyProtection="0">
      <alignment horizontal="right" vertical="center"/>
    </xf>
    <xf numFmtId="4" fontId="44" fillId="38" borderId="110" applyNumberFormat="0" applyProtection="0">
      <alignment horizontal="right" vertical="center"/>
    </xf>
    <xf numFmtId="4" fontId="44" fillId="38" borderId="110" applyNumberFormat="0" applyProtection="0">
      <alignment horizontal="right" vertical="center"/>
    </xf>
    <xf numFmtId="4" fontId="17" fillId="117" borderId="107" applyNumberFormat="0" applyProtection="0">
      <alignment horizontal="right" vertical="center"/>
    </xf>
    <xf numFmtId="4" fontId="44" fillId="39" borderId="110" applyNumberFormat="0" applyProtection="0">
      <alignment horizontal="right" vertical="center"/>
    </xf>
    <xf numFmtId="4" fontId="44" fillId="39" borderId="110" applyNumberFormat="0" applyProtection="0">
      <alignment horizontal="right" vertical="center"/>
    </xf>
    <xf numFmtId="4" fontId="44" fillId="39" borderId="110" applyNumberFormat="0" applyProtection="0">
      <alignment horizontal="right" vertical="center"/>
    </xf>
    <xf numFmtId="4" fontId="36" fillId="118" borderId="107" applyNumberFormat="0" applyProtection="0">
      <alignment horizontal="left" vertical="center" indent="1"/>
    </xf>
    <xf numFmtId="4" fontId="44" fillId="40" borderId="111" applyNumberFormat="0" applyProtection="0">
      <alignment horizontal="left" vertical="center" indent="1"/>
    </xf>
    <xf numFmtId="4" fontId="44" fillId="40" borderId="111" applyNumberFormat="0" applyProtection="0">
      <alignment horizontal="left" vertical="center" indent="1"/>
    </xf>
    <xf numFmtId="4" fontId="44" fillId="40" borderId="111" applyNumberFormat="0" applyProtection="0">
      <alignment horizontal="left" vertical="center" indent="1"/>
    </xf>
    <xf numFmtId="4" fontId="17" fillId="119" borderId="112" applyNumberFormat="0" applyProtection="0">
      <alignment horizontal="left" vertical="center" indent="1"/>
    </xf>
    <xf numFmtId="4" fontId="15" fillId="8" borderId="111" applyNumberFormat="0" applyProtection="0">
      <alignment horizontal="left" vertical="center" indent="1"/>
    </xf>
    <xf numFmtId="4" fontId="15" fillId="8" borderId="111" applyNumberFormat="0" applyProtection="0">
      <alignment horizontal="left" vertical="center" indent="1"/>
    </xf>
    <xf numFmtId="0" fontId="15" fillId="107" borderId="107" applyNumberFormat="0" applyProtection="0">
      <alignment horizontal="left" vertical="center" indent="1"/>
    </xf>
    <xf numFmtId="4" fontId="44" fillId="2" borderId="110" applyNumberFormat="0" applyProtection="0">
      <alignment horizontal="right" vertical="center"/>
    </xf>
    <xf numFmtId="4" fontId="44" fillId="2" borderId="110" applyNumberFormat="0" applyProtection="0">
      <alignment horizontal="right" vertical="center"/>
    </xf>
    <xf numFmtId="4" fontId="44" fillId="2" borderId="110" applyNumberFormat="0" applyProtection="0">
      <alignment horizontal="right" vertical="center"/>
    </xf>
    <xf numFmtId="4" fontId="17" fillId="119" borderId="107" applyNumberFormat="0" applyProtection="0">
      <alignment horizontal="left" vertical="center" indent="1"/>
    </xf>
    <xf numFmtId="4" fontId="44" fillId="41" borderId="111" applyNumberFormat="0" applyProtection="0">
      <alignment horizontal="left" vertical="center" indent="1"/>
    </xf>
    <xf numFmtId="4" fontId="44" fillId="41" borderId="111" applyNumberFormat="0" applyProtection="0">
      <alignment horizontal="left" vertical="center" indent="1"/>
    </xf>
    <xf numFmtId="4" fontId="44" fillId="41" borderId="111" applyNumberFormat="0" applyProtection="0">
      <alignment horizontal="left" vertical="center" indent="1"/>
    </xf>
    <xf numFmtId="4" fontId="17" fillId="46" borderId="107" applyNumberFormat="0" applyProtection="0">
      <alignment horizontal="left" vertical="center" indent="1"/>
    </xf>
    <xf numFmtId="4" fontId="44" fillId="2" borderId="111" applyNumberFormat="0" applyProtection="0">
      <alignment horizontal="left" vertical="center" indent="1"/>
    </xf>
    <xf numFmtId="4" fontId="44" fillId="2" borderId="111" applyNumberFormat="0" applyProtection="0">
      <alignment horizontal="left" vertical="center" indent="1"/>
    </xf>
    <xf numFmtId="4" fontId="44" fillId="2" borderId="111" applyNumberFormat="0" applyProtection="0">
      <alignment horizontal="left" vertical="center" indent="1"/>
    </xf>
    <xf numFmtId="0" fontId="15" fillId="46" borderId="107" applyNumberFormat="0" applyProtection="0">
      <alignment horizontal="left" vertical="center" indent="1"/>
    </xf>
    <xf numFmtId="0" fontId="44" fillId="10" borderId="110" applyNumberFormat="0" applyProtection="0">
      <alignment horizontal="left" vertical="center" indent="1"/>
    </xf>
    <xf numFmtId="0" fontId="44" fillId="10" borderId="110" applyNumberFormat="0" applyProtection="0">
      <alignment horizontal="left" vertical="center" indent="1"/>
    </xf>
    <xf numFmtId="0" fontId="44" fillId="10" borderId="110" applyNumberFormat="0" applyProtection="0">
      <alignment horizontal="left" vertical="center" indent="1"/>
    </xf>
    <xf numFmtId="0" fontId="15" fillId="46" borderId="107" applyNumberFormat="0" applyProtection="0">
      <alignment horizontal="left" vertical="center" indent="1"/>
    </xf>
    <xf numFmtId="0" fontId="44" fillId="8" borderId="108" applyNumberFormat="0" applyProtection="0">
      <alignment horizontal="left" vertical="top" indent="1"/>
    </xf>
    <xf numFmtId="0" fontId="15" fillId="45" borderId="107" applyNumberFormat="0" applyProtection="0">
      <alignment horizontal="left" vertical="center" indent="1"/>
    </xf>
    <xf numFmtId="0" fontId="44" fillId="121" borderId="110" applyNumberFormat="0" applyProtection="0">
      <alignment horizontal="left" vertical="center" indent="1"/>
    </xf>
    <xf numFmtId="0" fontId="44" fillId="121" borderId="110" applyNumberFormat="0" applyProtection="0">
      <alignment horizontal="left" vertical="center" indent="1"/>
    </xf>
    <xf numFmtId="0" fontId="44" fillId="121" borderId="110" applyNumberFormat="0" applyProtection="0">
      <alignment horizontal="left" vertical="center" indent="1"/>
    </xf>
    <xf numFmtId="0" fontId="15" fillId="45" borderId="107" applyNumberFormat="0" applyProtection="0">
      <alignment horizontal="left" vertical="center" indent="1"/>
    </xf>
    <xf numFmtId="0" fontId="44" fillId="2" borderId="108" applyNumberFormat="0" applyProtection="0">
      <alignment horizontal="left" vertical="top" indent="1"/>
    </xf>
    <xf numFmtId="0" fontId="15" fillId="122" borderId="107" applyNumberFormat="0" applyProtection="0">
      <alignment horizontal="left" vertical="center" indent="1"/>
    </xf>
    <xf numFmtId="0" fontId="44" fillId="6" borderId="110" applyNumberFormat="0" applyProtection="0">
      <alignment horizontal="left" vertical="center" indent="1"/>
    </xf>
    <xf numFmtId="0" fontId="44" fillId="6" borderId="110" applyNumberFormat="0" applyProtection="0">
      <alignment horizontal="left" vertical="center" indent="1"/>
    </xf>
    <xf numFmtId="0" fontId="44" fillId="6" borderId="110" applyNumberFormat="0" applyProtection="0">
      <alignment horizontal="left" vertical="center" indent="1"/>
    </xf>
    <xf numFmtId="0" fontId="15" fillId="122" borderId="107" applyNumberFormat="0" applyProtection="0">
      <alignment horizontal="left" vertical="center" indent="1"/>
    </xf>
    <xf numFmtId="0" fontId="44" fillId="6" borderId="108" applyNumberFormat="0" applyProtection="0">
      <alignment horizontal="left" vertical="top" indent="1"/>
    </xf>
    <xf numFmtId="0" fontId="15" fillId="107" borderId="107" applyNumberFormat="0" applyProtection="0">
      <alignment horizontal="left" vertical="center" indent="1"/>
    </xf>
    <xf numFmtId="0" fontId="44" fillId="41" borderId="110" applyNumberFormat="0" applyProtection="0">
      <alignment horizontal="left" vertical="center" indent="1"/>
    </xf>
    <xf numFmtId="0" fontId="44" fillId="41" borderId="110" applyNumberFormat="0" applyProtection="0">
      <alignment horizontal="left" vertical="center" indent="1"/>
    </xf>
    <xf numFmtId="0" fontId="44" fillId="41" borderId="110" applyNumberFormat="0" applyProtection="0">
      <alignment horizontal="left" vertical="center" indent="1"/>
    </xf>
    <xf numFmtId="0" fontId="15" fillId="107" borderId="107" applyNumberFormat="0" applyProtection="0">
      <alignment horizontal="left" vertical="center" indent="1"/>
    </xf>
    <xf numFmtId="0" fontId="44" fillId="41" borderId="108" applyNumberFormat="0" applyProtection="0">
      <alignment horizontal="left" vertical="top" inden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9" fillId="8" borderId="113" applyBorder="0"/>
    <xf numFmtId="4" fontId="17" fillId="123" borderId="107" applyNumberFormat="0" applyProtection="0">
      <alignment vertical="center"/>
    </xf>
    <xf numFmtId="4" fontId="120" fillId="4" borderId="108" applyNumberFormat="0" applyProtection="0">
      <alignment vertical="center"/>
    </xf>
    <xf numFmtId="4" fontId="39" fillId="123" borderId="107" applyNumberFormat="0" applyProtection="0">
      <alignment vertical="center"/>
    </xf>
    <xf numFmtId="4" fontId="17" fillId="123" borderId="107" applyNumberFormat="0" applyProtection="0">
      <alignment horizontal="left" vertical="center" indent="1"/>
    </xf>
    <xf numFmtId="4" fontId="120" fillId="10" borderId="108" applyNumberFormat="0" applyProtection="0">
      <alignment horizontal="left" vertical="center" indent="1"/>
    </xf>
    <xf numFmtId="4" fontId="17" fillId="123" borderId="107" applyNumberFormat="0" applyProtection="0">
      <alignment horizontal="left" vertical="center" indent="1"/>
    </xf>
    <xf numFmtId="0" fontId="120" fillId="4" borderId="108" applyNumberFormat="0" applyProtection="0">
      <alignment horizontal="left" vertical="top" indent="1"/>
    </xf>
    <xf numFmtId="4" fontId="17" fillId="119" borderId="107" applyNumberFormat="0" applyProtection="0">
      <alignment horizontal="right" vertical="center"/>
    </xf>
    <xf numFmtId="4" fontId="17" fillId="119" borderId="107" applyNumberFormat="0" applyProtection="0">
      <alignment horizontal="right" vertical="center"/>
    </xf>
    <xf numFmtId="4" fontId="44" fillId="0" borderId="110" applyNumberFormat="0" applyProtection="0">
      <alignment horizontal="right" vertical="center"/>
    </xf>
    <xf numFmtId="4" fontId="44" fillId="0" borderId="110" applyNumberFormat="0" applyProtection="0">
      <alignment horizontal="right" vertical="center"/>
    </xf>
    <xf numFmtId="4" fontId="44" fillId="0" borderId="110" applyNumberFormat="0" applyProtection="0">
      <alignment horizontal="right" vertical="center"/>
    </xf>
    <xf numFmtId="4" fontId="39" fillId="119" borderId="107" applyNumberFormat="0" applyProtection="0">
      <alignment horizontal="right" vertical="center"/>
    </xf>
    <xf numFmtId="4" fontId="117" fillId="43" borderId="110" applyNumberFormat="0" applyProtection="0">
      <alignment horizontal="right" vertical="center"/>
    </xf>
    <xf numFmtId="0" fontId="15" fillId="107" borderId="107" applyNumberFormat="0" applyProtection="0">
      <alignment horizontal="left" vertical="center" indent="1"/>
    </xf>
    <xf numFmtId="4" fontId="44" fillId="51" borderId="110" applyNumberFormat="0" applyProtection="0">
      <alignment horizontal="left" vertical="center" indent="1"/>
    </xf>
    <xf numFmtId="4" fontId="44" fillId="51" borderId="110" applyNumberFormat="0" applyProtection="0">
      <alignment horizontal="left" vertical="center" indent="1"/>
    </xf>
    <xf numFmtId="4" fontId="44" fillId="51" borderId="110" applyNumberFormat="0" applyProtection="0">
      <alignment horizontal="left" vertical="center" indent="1"/>
    </xf>
    <xf numFmtId="0" fontId="15" fillId="107" borderId="107" applyNumberFormat="0" applyProtection="0">
      <alignment horizontal="left" vertical="center" indent="1"/>
    </xf>
    <xf numFmtId="0" fontId="120" fillId="2" borderId="108" applyNumberFormat="0" applyProtection="0">
      <alignment horizontal="left" vertical="top" indent="1"/>
    </xf>
    <xf numFmtId="4" fontId="122" fillId="42" borderId="111" applyNumberFormat="0" applyProtection="0">
      <alignment horizontal="left" vertical="center" indent="1"/>
    </xf>
    <xf numFmtId="4" fontId="41" fillId="119" borderId="107" applyNumberFormat="0" applyProtection="0">
      <alignment horizontal="right" vertical="center"/>
    </xf>
    <xf numFmtId="4" fontId="123" fillId="5" borderId="110" applyNumberFormat="0" applyProtection="0">
      <alignment horizontal="right" vertical="center"/>
    </xf>
    <xf numFmtId="0" fontId="26" fillId="0" borderId="109" applyNumberFormat="0" applyFill="0" applyAlignment="0" applyProtection="0"/>
    <xf numFmtId="0" fontId="26" fillId="0" borderId="114" applyNumberFormat="0" applyFill="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4" borderId="106" applyNumberFormat="0" applyFont="0" applyAlignment="0" applyProtection="0"/>
    <xf numFmtId="0" fontId="1" fillId="0" borderId="0"/>
    <xf numFmtId="44" fontId="1" fillId="0" borderId="0" applyFont="0" applyFill="0" applyBorder="0" applyAlignment="0" applyProtection="0"/>
    <xf numFmtId="0" fontId="1" fillId="0" borderId="0"/>
    <xf numFmtId="0" fontId="1" fillId="59" borderId="81" applyNumberFormat="0" applyFont="0" applyAlignment="0" applyProtection="0"/>
    <xf numFmtId="0" fontId="1" fillId="0" borderId="0"/>
    <xf numFmtId="0" fontId="1" fillId="0" borderId="0"/>
    <xf numFmtId="0" fontId="1" fillId="0" borderId="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59" borderId="8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59" borderId="81" applyNumberFormat="0" applyFont="0" applyAlignment="0" applyProtection="0"/>
    <xf numFmtId="43" fontId="1" fillId="0" borderId="0" applyFont="0" applyFill="0" applyBorder="0" applyAlignment="0" applyProtection="0"/>
    <xf numFmtId="4" fontId="44" fillId="0" borderId="110" applyNumberFormat="0" applyProtection="0">
      <alignment horizontal="right" vertical="center"/>
    </xf>
    <xf numFmtId="4" fontId="17" fillId="123" borderId="107" applyNumberFormat="0" applyProtection="0">
      <alignment vertical="center"/>
    </xf>
    <xf numFmtId="4" fontId="44" fillId="34" borderId="111" applyNumberFormat="0" applyProtection="0">
      <alignment horizontal="right" vertical="center"/>
    </xf>
    <xf numFmtId="4" fontId="44" fillId="40" borderId="111" applyNumberFormat="0" applyProtection="0">
      <alignment horizontal="left" vertical="center" indent="1"/>
    </xf>
    <xf numFmtId="4" fontId="44" fillId="37" borderId="110" applyNumberFormat="0" applyProtection="0">
      <alignment horizontal="right" vertical="center"/>
    </xf>
    <xf numFmtId="4" fontId="39" fillId="106" borderId="107" applyNumberFormat="0" applyProtection="0">
      <alignment vertical="center"/>
    </xf>
    <xf numFmtId="0" fontId="15" fillId="107" borderId="107" applyNumberFormat="0" applyProtection="0">
      <alignment horizontal="left" vertical="center" indent="1"/>
    </xf>
    <xf numFmtId="4" fontId="44" fillId="37" borderId="110" applyNumberFormat="0" applyProtection="0">
      <alignment horizontal="right" vertical="center"/>
    </xf>
    <xf numFmtId="4" fontId="44" fillId="0" borderId="110" applyNumberFormat="0" applyProtection="0">
      <alignment horizontal="right" vertical="center"/>
    </xf>
    <xf numFmtId="0" fontId="44" fillId="41" borderId="110" applyNumberFormat="0" applyProtection="0">
      <alignment horizontal="left" vertical="center" indent="1"/>
    </xf>
    <xf numFmtId="0" fontId="15" fillId="46" borderId="107" applyNumberFormat="0" applyProtection="0">
      <alignment horizontal="left" vertical="center" indent="1"/>
    </xf>
    <xf numFmtId="4" fontId="17" fillId="106" borderId="107" applyNumberFormat="0" applyProtection="0">
      <alignment horizontal="left" vertical="center" indent="1"/>
    </xf>
    <xf numFmtId="4" fontId="17" fillId="119" borderId="112" applyNumberFormat="0" applyProtection="0">
      <alignment horizontal="left" vertical="center" indent="1"/>
    </xf>
    <xf numFmtId="0" fontId="44" fillId="10" borderId="110" applyNumberFormat="0" applyProtection="0">
      <alignment horizontal="left" vertical="center" indent="1"/>
    </xf>
    <xf numFmtId="4" fontId="44" fillId="35" borderId="110" applyNumberFormat="0" applyProtection="0">
      <alignment horizontal="right" vertical="center"/>
    </xf>
    <xf numFmtId="0" fontId="118" fillId="33" borderId="108" applyNumberFormat="0" applyProtection="0">
      <alignment horizontal="left" vertical="top" indent="1"/>
    </xf>
    <xf numFmtId="0" fontId="119" fillId="8" borderId="113" applyBorder="0"/>
    <xf numFmtId="0" fontId="44" fillId="121" borderId="110" applyNumberFormat="0" applyProtection="0">
      <alignment horizontal="left" vertical="center" indent="1"/>
    </xf>
    <xf numFmtId="0" fontId="44" fillId="41" borderId="108" applyNumberFormat="0" applyProtection="0">
      <alignment horizontal="left" vertical="top" indent="1"/>
    </xf>
    <xf numFmtId="4" fontId="44" fillId="39" borderId="110" applyNumberFormat="0" applyProtection="0">
      <alignment horizontal="right" vertical="center"/>
    </xf>
    <xf numFmtId="4" fontId="44" fillId="35" borderId="110" applyNumberFormat="0" applyProtection="0">
      <alignment horizontal="right" vertical="center"/>
    </xf>
    <xf numFmtId="0" fontId="44" fillId="10" borderId="110" applyNumberFormat="0" applyProtection="0">
      <alignment horizontal="left" vertical="center" indent="1"/>
    </xf>
    <xf numFmtId="4" fontId="17" fillId="113" borderId="107" applyNumberFormat="0" applyProtection="0">
      <alignment horizontal="right" vertical="center"/>
    </xf>
    <xf numFmtId="0" fontId="44" fillId="10" borderId="110" applyNumberFormat="0" applyProtection="0">
      <alignment horizontal="left" vertical="center" indent="1"/>
    </xf>
    <xf numFmtId="4" fontId="123" fillId="5" borderId="110" applyNumberFormat="0" applyProtection="0">
      <alignment horizontal="right" vertical="center"/>
    </xf>
    <xf numFmtId="4" fontId="17" fillId="117" borderId="107" applyNumberFormat="0" applyProtection="0">
      <alignment horizontal="right" vertical="center"/>
    </xf>
    <xf numFmtId="4" fontId="44" fillId="33" borderId="110" applyNumberFormat="0" applyProtection="0">
      <alignment vertical="center"/>
    </xf>
    <xf numFmtId="4" fontId="44" fillId="37" borderId="110" applyNumberFormat="0" applyProtection="0">
      <alignment horizontal="right" vertical="center"/>
    </xf>
    <xf numFmtId="0" fontId="44" fillId="121" borderId="110" applyNumberFormat="0" applyProtection="0">
      <alignment horizontal="left" vertical="center" indent="1"/>
    </xf>
    <xf numFmtId="4" fontId="17" fillId="46" borderId="107" applyNumberFormat="0" applyProtection="0">
      <alignment horizontal="left" vertical="center" indent="1"/>
    </xf>
    <xf numFmtId="4" fontId="44" fillId="37" borderId="110" applyNumberFormat="0" applyProtection="0">
      <alignment horizontal="right" vertical="center"/>
    </xf>
    <xf numFmtId="4" fontId="36" fillId="118" borderId="107" applyNumberFormat="0" applyProtection="0">
      <alignment horizontal="left" vertical="center" indent="1"/>
    </xf>
    <xf numFmtId="4" fontId="44" fillId="9" borderId="110" applyNumberFormat="0" applyProtection="0">
      <alignment horizontal="right" vertical="center"/>
    </xf>
    <xf numFmtId="0" fontId="44" fillId="6" borderId="110" applyNumberFormat="0" applyProtection="0">
      <alignment horizontal="left" vertical="center" indent="1"/>
    </xf>
    <xf numFmtId="0" fontId="120" fillId="4" borderId="108" applyNumberFormat="0" applyProtection="0">
      <alignment horizontal="left" vertical="top" indent="1"/>
    </xf>
    <xf numFmtId="4" fontId="44" fillId="41" borderId="111" applyNumberFormat="0" applyProtection="0">
      <alignment horizontal="left" vertical="center" indent="1"/>
    </xf>
    <xf numFmtId="0" fontId="44" fillId="124" borderId="115"/>
    <xf numFmtId="4" fontId="44" fillId="51" borderId="110" applyNumberFormat="0" applyProtection="0">
      <alignment horizontal="left" vertical="center" indent="1"/>
    </xf>
    <xf numFmtId="0" fontId="35" fillId="10" borderId="107" applyNumberFormat="0" applyAlignment="0" applyProtection="0"/>
    <xf numFmtId="0" fontId="17" fillId="4" borderId="106" applyNumberFormat="0" applyFont="0" applyAlignment="0" applyProtection="0"/>
    <xf numFmtId="4" fontId="17" fillId="112" borderId="107" applyNumberFormat="0" applyProtection="0">
      <alignment horizontal="right" vertical="center"/>
    </xf>
    <xf numFmtId="0" fontId="15" fillId="45" borderId="107" applyNumberFormat="0" applyProtection="0">
      <alignment horizontal="left" vertical="center" indent="1"/>
    </xf>
    <xf numFmtId="0" fontId="15" fillId="46" borderId="107" applyNumberFormat="0" applyProtection="0">
      <alignment horizontal="left" vertical="center" indent="1"/>
    </xf>
    <xf numFmtId="4" fontId="44" fillId="38" borderId="110" applyNumberFormat="0" applyProtection="0">
      <alignment horizontal="right" vertical="center"/>
    </xf>
    <xf numFmtId="4" fontId="17" fillId="108" borderId="107" applyNumberFormat="0" applyProtection="0">
      <alignment horizontal="right" vertical="center"/>
    </xf>
    <xf numFmtId="4" fontId="44" fillId="51" borderId="110" applyNumberFormat="0" applyProtection="0">
      <alignment horizontal="left" vertical="center" indent="1"/>
    </xf>
    <xf numFmtId="0" fontId="44" fillId="41" borderId="110" applyNumberFormat="0" applyProtection="0">
      <alignment horizontal="left" vertical="center" indent="1"/>
    </xf>
    <xf numFmtId="4" fontId="44" fillId="2" borderId="110" applyNumberFormat="0" applyProtection="0">
      <alignment horizontal="right" vertical="center"/>
    </xf>
    <xf numFmtId="0" fontId="15" fillId="107" borderId="107" applyNumberFormat="0" applyProtection="0">
      <alignment horizontal="left" vertical="center" indent="1"/>
    </xf>
    <xf numFmtId="4" fontId="17" fillId="109" borderId="107" applyNumberFormat="0" applyProtection="0">
      <alignment horizontal="right" vertical="center"/>
    </xf>
    <xf numFmtId="0" fontId="44" fillId="6" borderId="110" applyNumberFormat="0" applyProtection="0">
      <alignment horizontal="left" vertical="center" indent="1"/>
    </xf>
    <xf numFmtId="4" fontId="44" fillId="51" borderId="110" applyNumberFormat="0" applyProtection="0">
      <alignment horizontal="left" vertical="center" indent="1"/>
    </xf>
    <xf numFmtId="4" fontId="44" fillId="41" borderId="111" applyNumberFormat="0" applyProtection="0">
      <alignment horizontal="left" vertical="center" indent="1"/>
    </xf>
    <xf numFmtId="0" fontId="15" fillId="107" borderId="107" applyNumberFormat="0" applyProtection="0">
      <alignment horizontal="left" vertical="center" indent="1"/>
    </xf>
    <xf numFmtId="4" fontId="17" fillId="119" borderId="107" applyNumberFormat="0" applyProtection="0">
      <alignment horizontal="right" vertical="center"/>
    </xf>
    <xf numFmtId="4" fontId="39" fillId="106" borderId="107" applyNumberFormat="0" applyProtection="0">
      <alignment vertical="center"/>
    </xf>
    <xf numFmtId="4" fontId="17" fillId="119" borderId="107" applyNumberFormat="0" applyProtection="0">
      <alignment horizontal="right" vertical="center"/>
    </xf>
    <xf numFmtId="4" fontId="44" fillId="40" borderId="111" applyNumberFormat="0" applyProtection="0">
      <alignment horizontal="left" vertical="center" indent="1"/>
    </xf>
    <xf numFmtId="0" fontId="44" fillId="2" borderId="108" applyNumberFormat="0" applyProtection="0">
      <alignment horizontal="left" vertical="top" indent="1"/>
    </xf>
    <xf numFmtId="4" fontId="44" fillId="33" borderId="110" applyNumberFormat="0" applyProtection="0">
      <alignment vertical="center"/>
    </xf>
    <xf numFmtId="4" fontId="117" fillId="123" borderId="115" applyNumberFormat="0" applyProtection="0">
      <alignment vertical="center"/>
    </xf>
    <xf numFmtId="0" fontId="120" fillId="2" borderId="108" applyNumberFormat="0" applyProtection="0">
      <alignment horizontal="left" vertical="top" indent="1"/>
    </xf>
    <xf numFmtId="4" fontId="44" fillId="37" borderId="110" applyNumberFormat="0" applyProtection="0">
      <alignment horizontal="right" vertical="center"/>
    </xf>
    <xf numFmtId="0" fontId="108" fillId="101" borderId="110" applyNumberFormat="0" applyAlignment="0" applyProtection="0"/>
    <xf numFmtId="4" fontId="44" fillId="51" borderId="110" applyNumberFormat="0" applyProtection="0">
      <alignment horizontal="left" vertical="center" indent="1"/>
    </xf>
    <xf numFmtId="4" fontId="39" fillId="123" borderId="107" applyNumberFormat="0" applyProtection="0">
      <alignment vertical="center"/>
    </xf>
    <xf numFmtId="4" fontId="44" fillId="33" borderId="110" applyNumberFormat="0" applyProtection="0">
      <alignment vertical="center"/>
    </xf>
    <xf numFmtId="0" fontId="15" fillId="107" borderId="107" applyNumberFormat="0" applyProtection="0">
      <alignment horizontal="left" vertical="center" indent="1"/>
    </xf>
    <xf numFmtId="4" fontId="44" fillId="40" borderId="111" applyNumberFormat="0" applyProtection="0">
      <alignment horizontal="left" vertical="center" indent="1"/>
    </xf>
    <xf numFmtId="4" fontId="17" fillId="119" borderId="107" applyNumberFormat="0" applyProtection="0">
      <alignment horizontal="right" vertical="center"/>
    </xf>
    <xf numFmtId="0" fontId="15" fillId="107" borderId="107" applyNumberFormat="0" applyProtection="0">
      <alignment horizontal="left" vertical="center" indent="1"/>
    </xf>
    <xf numFmtId="4" fontId="44" fillId="39" borderId="110" applyNumberFormat="0" applyProtection="0">
      <alignment horizontal="right" vertical="center"/>
    </xf>
    <xf numFmtId="0" fontId="32" fillId="27" borderId="110" applyNumberFormat="0" applyAlignment="0" applyProtection="0"/>
    <xf numFmtId="4" fontId="17" fillId="112" borderId="107" applyNumberFormat="0" applyProtection="0">
      <alignment horizontal="right" vertical="center"/>
    </xf>
    <xf numFmtId="4" fontId="44" fillId="38" borderId="110" applyNumberFormat="0" applyProtection="0">
      <alignment horizontal="right" vertical="center"/>
    </xf>
    <xf numFmtId="4" fontId="44" fillId="106" borderId="110" applyNumberFormat="0" applyProtection="0">
      <alignment horizontal="left" vertical="center" indent="1"/>
    </xf>
    <xf numFmtId="4" fontId="44" fillId="36" borderId="110" applyNumberFormat="0" applyProtection="0">
      <alignment horizontal="right" vertical="center"/>
    </xf>
    <xf numFmtId="4" fontId="44" fillId="41" borderId="111" applyNumberFormat="0" applyProtection="0">
      <alignment horizontal="left" vertical="center" indent="1"/>
    </xf>
    <xf numFmtId="4" fontId="44" fillId="110" borderId="110" applyNumberFormat="0" applyProtection="0">
      <alignment horizontal="right" vertical="center"/>
    </xf>
    <xf numFmtId="4" fontId="44" fillId="2" borderId="111" applyNumberFormat="0" applyProtection="0">
      <alignment horizontal="left" vertical="center" indent="1"/>
    </xf>
    <xf numFmtId="4" fontId="44" fillId="39" borderId="110" applyNumberFormat="0" applyProtection="0">
      <alignment horizontal="right" vertical="center"/>
    </xf>
    <xf numFmtId="4" fontId="44" fillId="41" borderId="111" applyNumberFormat="0" applyProtection="0">
      <alignment horizontal="left" vertical="center" indent="1"/>
    </xf>
    <xf numFmtId="4" fontId="17" fillId="106" borderId="107" applyNumberFormat="0" applyProtection="0">
      <alignment horizontal="left" vertical="center" indent="1"/>
    </xf>
    <xf numFmtId="4" fontId="17" fillId="115" borderId="107" applyNumberFormat="0" applyProtection="0">
      <alignment horizontal="right" vertical="center"/>
    </xf>
    <xf numFmtId="4" fontId="17" fillId="106" borderId="107" applyNumberFormat="0" applyProtection="0">
      <alignment horizontal="left" vertical="center" indent="1"/>
    </xf>
    <xf numFmtId="4" fontId="44" fillId="38" borderId="110" applyNumberFormat="0" applyProtection="0">
      <alignment horizontal="right" vertical="center"/>
    </xf>
    <xf numFmtId="4" fontId="44" fillId="2" borderId="111" applyNumberFormat="0" applyProtection="0">
      <alignment horizontal="left" vertical="center" indent="1"/>
    </xf>
    <xf numFmtId="4" fontId="44" fillId="35" borderId="110" applyNumberFormat="0" applyProtection="0">
      <alignment horizontal="right" vertical="center"/>
    </xf>
    <xf numFmtId="0" fontId="44" fillId="2" borderId="108" applyNumberFormat="0" applyProtection="0">
      <alignment horizontal="left" vertical="top" indent="1"/>
    </xf>
    <xf numFmtId="4" fontId="44" fillId="7" borderId="110" applyNumberFormat="0" applyProtection="0">
      <alignment horizontal="right" vertical="center"/>
    </xf>
    <xf numFmtId="0" fontId="35" fillId="10" borderId="107" applyNumberFormat="0" applyAlignment="0" applyProtection="0"/>
    <xf numFmtId="4" fontId="44" fillId="51" borderId="110" applyNumberFormat="0" applyProtection="0">
      <alignment horizontal="left" vertical="center" indent="1"/>
    </xf>
    <xf numFmtId="4" fontId="44" fillId="40" borderId="111" applyNumberFormat="0" applyProtection="0">
      <alignment horizontal="left" vertical="center" indent="1"/>
    </xf>
    <xf numFmtId="0" fontId="44" fillId="41" borderId="108" applyNumberFormat="0" applyProtection="0">
      <alignment horizontal="left" vertical="top" indent="1"/>
    </xf>
    <xf numFmtId="4" fontId="44" fillId="37" borderId="110" applyNumberFormat="0" applyProtection="0">
      <alignment horizontal="right" vertical="center"/>
    </xf>
    <xf numFmtId="0" fontId="15" fillId="122" borderId="107" applyNumberFormat="0" applyProtection="0">
      <alignment horizontal="left" vertical="center" indent="1"/>
    </xf>
    <xf numFmtId="0" fontId="35" fillId="101" borderId="107" applyNumberFormat="0" applyAlignment="0" applyProtection="0"/>
    <xf numFmtId="0" fontId="109" fillId="10" borderId="105" applyNumberFormat="0" applyAlignment="0" applyProtection="0"/>
    <xf numFmtId="4" fontId="17" fillId="123" borderId="107" applyNumberFormat="0" applyProtection="0">
      <alignment horizontal="left" vertical="center" indent="1"/>
    </xf>
    <xf numFmtId="4" fontId="44" fillId="34" borderId="111" applyNumberFormat="0" applyProtection="0">
      <alignment horizontal="right" vertical="center"/>
    </xf>
    <xf numFmtId="4" fontId="17" fillId="46" borderId="107" applyNumberFormat="0" applyProtection="0">
      <alignment horizontal="left" vertical="center" indent="1"/>
    </xf>
    <xf numFmtId="4" fontId="120" fillId="10" borderId="108" applyNumberFormat="0" applyProtection="0">
      <alignment horizontal="left" vertical="center" indent="1"/>
    </xf>
    <xf numFmtId="4" fontId="44" fillId="41" borderId="111" applyNumberFormat="0" applyProtection="0">
      <alignment horizontal="left" vertical="center" indent="1"/>
    </xf>
    <xf numFmtId="0" fontId="44" fillId="41" borderId="110" applyNumberFormat="0" applyProtection="0">
      <alignment horizontal="left" vertical="center" indent="1"/>
    </xf>
    <xf numFmtId="4" fontId="122" fillId="42" borderId="111" applyNumberFormat="0" applyProtection="0">
      <alignment horizontal="left" vertical="center" indent="1"/>
    </xf>
    <xf numFmtId="4" fontId="44" fillId="51" borderId="110" applyNumberFormat="0" applyProtection="0">
      <alignment horizontal="left" vertical="center" indent="1"/>
    </xf>
    <xf numFmtId="0" fontId="15" fillId="107" borderId="107" applyNumberFormat="0" applyProtection="0">
      <alignment horizontal="left" vertical="center" indent="1"/>
    </xf>
    <xf numFmtId="0" fontId="44" fillId="124" borderId="115"/>
    <xf numFmtId="0" fontId="44" fillId="6" borderId="110" applyNumberFormat="0" applyProtection="0">
      <alignment horizontal="left" vertical="center" indent="1"/>
    </xf>
    <xf numFmtId="0" fontId="15" fillId="107" borderId="107" applyNumberFormat="0" applyProtection="0">
      <alignment horizontal="left" vertical="center" indent="1"/>
    </xf>
    <xf numFmtId="4" fontId="44" fillId="38" borderId="110" applyNumberFormat="0" applyProtection="0">
      <alignment horizontal="right" vertical="center"/>
    </xf>
    <xf numFmtId="4" fontId="44" fillId="2" borderId="110" applyNumberFormat="0" applyProtection="0">
      <alignment horizontal="right" vertical="center"/>
    </xf>
    <xf numFmtId="4" fontId="17" fillId="111" borderId="107" applyNumberFormat="0" applyProtection="0">
      <alignment horizontal="right" vertical="center"/>
    </xf>
    <xf numFmtId="4" fontId="44" fillId="35" borderId="110" applyNumberFormat="0" applyProtection="0">
      <alignment horizontal="right" vertical="center"/>
    </xf>
    <xf numFmtId="4" fontId="17" fillId="119" borderId="107" applyNumberFormat="0" applyProtection="0">
      <alignment horizontal="left" vertical="center" indent="1"/>
    </xf>
    <xf numFmtId="4" fontId="17" fillId="119" borderId="107" applyNumberFormat="0" applyProtection="0">
      <alignment horizontal="right" vertical="center"/>
    </xf>
    <xf numFmtId="0" fontId="17" fillId="4" borderId="106" applyNumberFormat="0" applyFont="0" applyAlignment="0" applyProtection="0"/>
    <xf numFmtId="0" fontId="44" fillId="6" borderId="108" applyNumberFormat="0" applyProtection="0">
      <alignment horizontal="left" vertical="top" indent="1"/>
    </xf>
    <xf numFmtId="0" fontId="26" fillId="0" borderId="114" applyNumberFormat="0" applyFill="0" applyAlignment="0" applyProtection="0"/>
    <xf numFmtId="0" fontId="44" fillId="10" borderId="110" applyNumberFormat="0" applyProtection="0">
      <alignment horizontal="left" vertical="center" indent="1"/>
    </xf>
    <xf numFmtId="4" fontId="17" fillId="117" borderId="107" applyNumberFormat="0" applyProtection="0">
      <alignment horizontal="right" vertical="center"/>
    </xf>
    <xf numFmtId="4" fontId="17" fillId="123" borderId="107" applyNumberFormat="0" applyProtection="0">
      <alignment vertical="center"/>
    </xf>
    <xf numFmtId="4" fontId="44" fillId="51" borderId="110" applyNumberFormat="0" applyProtection="0">
      <alignment horizontal="left" vertical="center" indent="1"/>
    </xf>
    <xf numFmtId="0" fontId="15" fillId="122" borderId="107" applyNumberFormat="0" applyProtection="0">
      <alignment horizontal="left" vertical="center" indent="1"/>
    </xf>
    <xf numFmtId="4" fontId="44" fillId="9" borderId="110" applyNumberFormat="0" applyProtection="0">
      <alignment horizontal="right" vertical="center"/>
    </xf>
    <xf numFmtId="4" fontId="17" fillId="114" borderId="107" applyNumberFormat="0" applyProtection="0">
      <alignment horizontal="right" vertical="center"/>
    </xf>
    <xf numFmtId="4" fontId="44" fillId="36" borderId="110" applyNumberFormat="0" applyProtection="0">
      <alignment horizontal="right" vertical="center"/>
    </xf>
    <xf numFmtId="4" fontId="44" fillId="34" borderId="111" applyNumberFormat="0" applyProtection="0">
      <alignment horizontal="right" vertical="center"/>
    </xf>
    <xf numFmtId="0" fontId="26" fillId="0" borderId="109" applyNumberFormat="0" applyFill="0" applyAlignment="0" applyProtection="0"/>
    <xf numFmtId="4" fontId="44" fillId="7" borderId="110" applyNumberFormat="0" applyProtection="0">
      <alignment horizontal="right" vertical="center"/>
    </xf>
    <xf numFmtId="4" fontId="44" fillId="40" borderId="111" applyNumberFormat="0" applyProtection="0">
      <alignment horizontal="left" vertical="center" indent="1"/>
    </xf>
    <xf numFmtId="4" fontId="44" fillId="110" borderId="110" applyNumberFormat="0" applyProtection="0">
      <alignment horizontal="right" vertical="center"/>
    </xf>
    <xf numFmtId="4" fontId="44" fillId="7" borderId="110" applyNumberFormat="0" applyProtection="0">
      <alignment horizontal="right" vertical="center"/>
    </xf>
    <xf numFmtId="4" fontId="44" fillId="51" borderId="110" applyNumberFormat="0" applyProtection="0">
      <alignment horizontal="left" vertical="center" indent="1"/>
    </xf>
    <xf numFmtId="4" fontId="44" fillId="110" borderId="110" applyNumberFormat="0" applyProtection="0">
      <alignment horizontal="right" vertical="center"/>
    </xf>
    <xf numFmtId="0" fontId="44" fillId="121" borderId="110" applyNumberFormat="0" applyProtection="0">
      <alignment horizontal="left" vertical="center" indent="1"/>
    </xf>
    <xf numFmtId="4" fontId="44" fillId="51" borderId="110" applyNumberFormat="0" applyProtection="0">
      <alignment horizontal="left" vertical="center" indent="1"/>
    </xf>
    <xf numFmtId="4" fontId="44" fillId="36" borderId="110" applyNumberFormat="0" applyProtection="0">
      <alignment horizontal="right" vertical="center"/>
    </xf>
    <xf numFmtId="4" fontId="44" fillId="2" borderId="110" applyNumberFormat="0" applyProtection="0">
      <alignment horizontal="right" vertical="center"/>
    </xf>
    <xf numFmtId="4" fontId="44" fillId="51" borderId="110" applyNumberFormat="0" applyProtection="0">
      <alignment horizontal="left" vertical="center" indent="1"/>
    </xf>
    <xf numFmtId="0" fontId="120" fillId="4" borderId="108" applyNumberFormat="0" applyProtection="0">
      <alignment horizontal="left" vertical="top" indent="1"/>
    </xf>
    <xf numFmtId="0" fontId="15" fillId="107" borderId="107" applyNumberFormat="0" applyProtection="0">
      <alignment horizontal="left" vertical="center" indent="1"/>
    </xf>
    <xf numFmtId="4" fontId="44" fillId="36" borderId="110" applyNumberFormat="0" applyProtection="0">
      <alignment horizontal="right" vertical="center"/>
    </xf>
    <xf numFmtId="4" fontId="44" fillId="35" borderId="110" applyNumberFormat="0" applyProtection="0">
      <alignment horizontal="right" vertical="center"/>
    </xf>
    <xf numFmtId="0" fontId="44" fillId="121" borderId="110" applyNumberFormat="0" applyProtection="0">
      <alignment horizontal="left" vertical="center" indent="1"/>
    </xf>
    <xf numFmtId="0" fontId="44" fillId="6" borderId="110" applyNumberFormat="0" applyProtection="0">
      <alignment horizontal="left" vertical="center" indent="1"/>
    </xf>
    <xf numFmtId="4" fontId="117" fillId="106" borderId="110" applyNumberFormat="0" applyProtection="0">
      <alignment vertical="center"/>
    </xf>
    <xf numFmtId="4" fontId="44" fillId="33" borderId="110" applyNumberFormat="0" applyProtection="0">
      <alignment vertical="center"/>
    </xf>
    <xf numFmtId="4" fontId="117" fillId="106" borderId="110" applyNumberFormat="0" applyProtection="0">
      <alignment vertical="center"/>
    </xf>
    <xf numFmtId="0" fontId="15" fillId="46" borderId="107" applyNumberFormat="0" applyProtection="0">
      <alignment horizontal="left" vertical="center" indent="1"/>
    </xf>
    <xf numFmtId="4" fontId="44" fillId="34" borderId="111" applyNumberFormat="0" applyProtection="0">
      <alignment horizontal="right" vertical="center"/>
    </xf>
    <xf numFmtId="4" fontId="44" fillId="106" borderId="110" applyNumberFormat="0" applyProtection="0">
      <alignment horizontal="left" vertical="center" indent="1"/>
    </xf>
    <xf numFmtId="4" fontId="15" fillId="8" borderId="111" applyNumberFormat="0" applyProtection="0">
      <alignment horizontal="left" vertical="center" indent="1"/>
    </xf>
    <xf numFmtId="0" fontId="44" fillId="6" borderId="110" applyNumberFormat="0" applyProtection="0">
      <alignment horizontal="left" vertical="center" indent="1"/>
    </xf>
    <xf numFmtId="4" fontId="15" fillId="8" borderId="111" applyNumberFormat="0" applyProtection="0">
      <alignment horizontal="left" vertical="center" indent="1"/>
    </xf>
    <xf numFmtId="0" fontId="15" fillId="46" borderId="107" applyNumberFormat="0" applyProtection="0">
      <alignment horizontal="left" vertical="center" indent="1"/>
    </xf>
    <xf numFmtId="0" fontId="15" fillId="107" borderId="107" applyNumberFormat="0" applyProtection="0">
      <alignment horizontal="left" vertical="center" indent="1"/>
    </xf>
    <xf numFmtId="4" fontId="17" fillId="106" borderId="107" applyNumberFormat="0" applyProtection="0">
      <alignment vertical="center"/>
    </xf>
    <xf numFmtId="4" fontId="44" fillId="36" borderId="110" applyNumberFormat="0" applyProtection="0">
      <alignment horizontal="right" vertical="center"/>
    </xf>
    <xf numFmtId="4" fontId="15" fillId="8" borderId="111" applyNumberFormat="0" applyProtection="0">
      <alignment horizontal="left" vertical="center" indent="1"/>
    </xf>
    <xf numFmtId="4" fontId="36" fillId="118" borderId="107" applyNumberFormat="0" applyProtection="0">
      <alignment horizontal="left" vertical="center" indent="1"/>
    </xf>
    <xf numFmtId="4" fontId="17" fillId="116" borderId="107" applyNumberFormat="0" applyProtection="0">
      <alignment horizontal="right" vertical="center"/>
    </xf>
    <xf numFmtId="4" fontId="17" fillId="106" borderId="107" applyNumberFormat="0" applyProtection="0">
      <alignment vertical="center"/>
    </xf>
    <xf numFmtId="4" fontId="39" fillId="123" borderId="107" applyNumberFormat="0" applyProtection="0">
      <alignment vertical="center"/>
    </xf>
    <xf numFmtId="4" fontId="39" fillId="119" borderId="107" applyNumberFormat="0" applyProtection="0">
      <alignment horizontal="right" vertical="center"/>
    </xf>
    <xf numFmtId="4" fontId="17" fillId="114" borderId="107" applyNumberFormat="0" applyProtection="0">
      <alignment horizontal="right" vertical="center"/>
    </xf>
    <xf numFmtId="0" fontId="17" fillId="4" borderId="106" applyNumberFormat="0" applyFont="0" applyAlignment="0" applyProtection="0"/>
    <xf numFmtId="4" fontId="17" fillId="108" borderId="107" applyNumberFormat="0" applyProtection="0">
      <alignment horizontal="right" vertical="center"/>
    </xf>
    <xf numFmtId="4" fontId="44" fillId="9" borderId="110" applyNumberFormat="0" applyProtection="0">
      <alignment horizontal="right" vertical="center"/>
    </xf>
    <xf numFmtId="4" fontId="123" fillId="5" borderId="110" applyNumberFormat="0" applyProtection="0">
      <alignment horizontal="right" vertical="center"/>
    </xf>
    <xf numFmtId="0" fontId="15" fillId="122" borderId="107" applyNumberFormat="0" applyProtection="0">
      <alignment horizontal="left" vertical="center" indent="1"/>
    </xf>
    <xf numFmtId="0" fontId="44" fillId="41" borderId="110" applyNumberFormat="0" applyProtection="0">
      <alignment horizontal="left" vertical="center" indent="1"/>
    </xf>
    <xf numFmtId="0" fontId="44" fillId="121" borderId="110" applyNumberFormat="0" applyProtection="0">
      <alignment horizontal="left" vertical="center" indent="1"/>
    </xf>
    <xf numFmtId="4" fontId="44" fillId="34" borderId="111" applyNumberFormat="0" applyProtection="0">
      <alignment horizontal="right" vertical="center"/>
    </xf>
    <xf numFmtId="4" fontId="44" fillId="106" borderId="110" applyNumberFormat="0" applyProtection="0">
      <alignment horizontal="left" vertical="center" indent="1"/>
    </xf>
    <xf numFmtId="0" fontId="44" fillId="8" borderId="108" applyNumberFormat="0" applyProtection="0">
      <alignment horizontal="left" vertical="top" indent="1"/>
    </xf>
    <xf numFmtId="4" fontId="44" fillId="34" borderId="111" applyNumberFormat="0" applyProtection="0">
      <alignment horizontal="right" vertical="center"/>
    </xf>
    <xf numFmtId="4" fontId="44" fillId="2" borderId="111" applyNumberFormat="0" applyProtection="0">
      <alignment horizontal="left" vertical="center" indent="1"/>
    </xf>
    <xf numFmtId="4" fontId="44" fillId="40" borderId="111" applyNumberFormat="0" applyProtection="0">
      <alignment horizontal="left" vertical="center" indent="1"/>
    </xf>
    <xf numFmtId="4" fontId="44" fillId="2" borderId="110" applyNumberFormat="0" applyProtection="0">
      <alignment horizontal="right" vertical="center"/>
    </xf>
    <xf numFmtId="0" fontId="44" fillId="8" borderId="108" applyNumberFormat="0" applyProtection="0">
      <alignment horizontal="left" vertical="top" indent="1"/>
    </xf>
    <xf numFmtId="4" fontId="44" fillId="38" borderId="110" applyNumberFormat="0" applyProtection="0">
      <alignment horizontal="right" vertical="center"/>
    </xf>
    <xf numFmtId="0" fontId="44" fillId="121" borderId="110" applyNumberFormat="0" applyProtection="0">
      <alignment horizontal="left" vertical="center" indent="1"/>
    </xf>
    <xf numFmtId="0" fontId="115" fillId="11" borderId="105" applyNumberFormat="0" applyAlignment="0" applyProtection="0"/>
    <xf numFmtId="4" fontId="17" fillId="123" borderId="107" applyNumberFormat="0" applyProtection="0">
      <alignment horizontal="left" vertical="center" indent="1"/>
    </xf>
    <xf numFmtId="4" fontId="120" fillId="4" borderId="108" applyNumberFormat="0" applyProtection="0">
      <alignment vertical="center"/>
    </xf>
    <xf numFmtId="4" fontId="120" fillId="4" borderId="108" applyNumberFormat="0" applyProtection="0">
      <alignment vertical="center"/>
    </xf>
    <xf numFmtId="0" fontId="44" fillId="6" borderId="108" applyNumberFormat="0" applyProtection="0">
      <alignment horizontal="left" vertical="top" indent="1"/>
    </xf>
    <xf numFmtId="4" fontId="44" fillId="110" borderId="110" applyNumberFormat="0" applyProtection="0">
      <alignment horizontal="right" vertical="center"/>
    </xf>
    <xf numFmtId="4" fontId="44" fillId="2" borderId="111" applyNumberFormat="0" applyProtection="0">
      <alignment horizontal="left" vertical="center" indent="1"/>
    </xf>
    <xf numFmtId="0" fontId="44" fillId="10" borderId="110" applyNumberFormat="0" applyProtection="0">
      <alignment horizontal="left" vertical="center" indent="1"/>
    </xf>
    <xf numFmtId="4" fontId="17" fillId="119" borderId="107" applyNumberFormat="0" applyProtection="0">
      <alignment horizontal="left" vertical="center" indent="1"/>
    </xf>
    <xf numFmtId="4" fontId="44" fillId="9" borderId="110" applyNumberFormat="0" applyProtection="0">
      <alignment horizontal="right" vertical="center"/>
    </xf>
    <xf numFmtId="4" fontId="44" fillId="2" borderId="110" applyNumberFormat="0" applyProtection="0">
      <alignment horizontal="right" vertical="center"/>
    </xf>
    <xf numFmtId="0" fontId="44" fillId="41" borderId="110" applyNumberFormat="0" applyProtection="0">
      <alignment horizontal="left" vertical="center" indent="1"/>
    </xf>
    <xf numFmtId="4" fontId="117" fillId="43" borderId="110" applyNumberFormat="0" applyProtection="0">
      <alignment horizontal="right" vertical="center"/>
    </xf>
    <xf numFmtId="4" fontId="44" fillId="2" borderId="110" applyNumberFormat="0" applyProtection="0">
      <alignment horizontal="right" vertical="center"/>
    </xf>
    <xf numFmtId="4" fontId="44" fillId="0" borderId="110" applyNumberFormat="0" applyProtection="0">
      <alignment horizontal="right" vertical="center"/>
    </xf>
    <xf numFmtId="0" fontId="15" fillId="45" borderId="107" applyNumberFormat="0" applyProtection="0">
      <alignment horizontal="left" vertical="center" indent="1"/>
    </xf>
    <xf numFmtId="4" fontId="17" fillId="111" borderId="107" applyNumberFormat="0" applyProtection="0">
      <alignment horizontal="right" vertical="center"/>
    </xf>
    <xf numFmtId="0" fontId="15" fillId="107" borderId="107" applyNumberFormat="0" applyProtection="0">
      <alignment horizontal="left" vertical="center" indent="1"/>
    </xf>
    <xf numFmtId="4" fontId="17" fillId="106" borderId="107" applyNumberFormat="0" applyProtection="0">
      <alignment vertical="center"/>
    </xf>
    <xf numFmtId="4" fontId="44" fillId="39" borderId="110" applyNumberFormat="0" applyProtection="0">
      <alignment horizontal="right" vertical="center"/>
    </xf>
    <xf numFmtId="0" fontId="32" fillId="27" borderId="110" applyNumberFormat="0" applyAlignment="0" applyProtection="0"/>
    <xf numFmtId="0" fontId="44" fillId="41" borderId="110" applyNumberFormat="0" applyProtection="0">
      <alignment horizontal="left" vertical="center" indent="1"/>
    </xf>
    <xf numFmtId="4" fontId="17" fillId="115" borderId="107" applyNumberFormat="0" applyProtection="0">
      <alignment horizontal="right" vertical="center"/>
    </xf>
    <xf numFmtId="4" fontId="44" fillId="9" borderId="110" applyNumberFormat="0" applyProtection="0">
      <alignment horizontal="right" vertical="center"/>
    </xf>
    <xf numFmtId="4" fontId="44" fillId="39" borderId="110" applyNumberFormat="0" applyProtection="0">
      <alignment horizontal="right" vertical="center"/>
    </xf>
    <xf numFmtId="0" fontId="15" fillId="107" borderId="107" applyNumberFormat="0" applyProtection="0">
      <alignment horizontal="left" vertical="center" indent="1"/>
    </xf>
    <xf numFmtId="4" fontId="17" fillId="109" borderId="107" applyNumberFormat="0" applyProtection="0">
      <alignment horizontal="right" vertical="center"/>
    </xf>
    <xf numFmtId="4" fontId="44" fillId="0" borderId="110" applyNumberFormat="0" applyProtection="0">
      <alignment horizontal="right" vertical="center"/>
    </xf>
    <xf numFmtId="4" fontId="44" fillId="110" borderId="110" applyNumberFormat="0" applyProtection="0">
      <alignment horizontal="right" vertical="center"/>
    </xf>
    <xf numFmtId="4" fontId="17" fillId="106" borderId="107" applyNumberFormat="0" applyProtection="0">
      <alignment horizontal="left" vertical="center" indent="1"/>
    </xf>
    <xf numFmtId="4" fontId="44" fillId="51" borderId="110" applyNumberFormat="0" applyProtection="0">
      <alignment horizontal="left" vertical="center" indent="1"/>
    </xf>
    <xf numFmtId="0" fontId="15" fillId="122" borderId="107" applyNumberFormat="0" applyProtection="0">
      <alignment horizontal="left" vertical="center" indent="1"/>
    </xf>
    <xf numFmtId="4" fontId="17" fillId="123" borderId="107" applyNumberFormat="0" applyProtection="0">
      <alignment horizontal="left" vertical="center" indent="1"/>
    </xf>
    <xf numFmtId="4" fontId="44" fillId="7" borderId="110" applyNumberFormat="0" applyProtection="0">
      <alignment horizontal="right" vertical="center"/>
    </xf>
    <xf numFmtId="0" fontId="115" fillId="11" borderId="105" applyNumberFormat="0" applyAlignment="0" applyProtection="0"/>
    <xf numFmtId="4" fontId="117" fillId="43" borderId="110" applyNumberFormat="0" applyProtection="0">
      <alignment horizontal="right" vertical="center"/>
    </xf>
    <xf numFmtId="4" fontId="44" fillId="110" borderId="110" applyNumberFormat="0" applyProtection="0">
      <alignment horizontal="right" vertical="center"/>
    </xf>
    <xf numFmtId="0" fontId="15" fillId="45" borderId="107" applyNumberFormat="0" applyProtection="0">
      <alignment horizontal="left" vertical="center" indent="1"/>
    </xf>
    <xf numFmtId="0" fontId="119" fillId="8" borderId="113" applyBorder="0"/>
    <xf numFmtId="0" fontId="44" fillId="6" borderId="110" applyNumberFormat="0" applyProtection="0">
      <alignment horizontal="left" vertical="center" indent="1"/>
    </xf>
    <xf numFmtId="4" fontId="17" fillId="116" borderId="107" applyNumberFormat="0" applyProtection="0">
      <alignment horizontal="right" vertical="center"/>
    </xf>
    <xf numFmtId="4" fontId="44" fillId="36" borderId="110" applyNumberFormat="0" applyProtection="0">
      <alignment horizontal="right" vertical="center"/>
    </xf>
    <xf numFmtId="4" fontId="44" fillId="9" borderId="110" applyNumberFormat="0" applyProtection="0">
      <alignment horizontal="right" vertical="center"/>
    </xf>
    <xf numFmtId="4" fontId="44" fillId="38" borderId="110" applyNumberFormat="0" applyProtection="0">
      <alignment horizontal="right" vertical="center"/>
    </xf>
    <xf numFmtId="4" fontId="120" fillId="10" borderId="108" applyNumberFormat="0" applyProtection="0">
      <alignment horizontal="left" vertical="center" indent="1"/>
    </xf>
    <xf numFmtId="4" fontId="44" fillId="7" borderId="110" applyNumberFormat="0" applyProtection="0">
      <alignment horizontal="right" vertical="center"/>
    </xf>
    <xf numFmtId="4" fontId="44" fillId="33" borderId="110" applyNumberFormat="0" applyProtection="0">
      <alignment vertical="center"/>
    </xf>
    <xf numFmtId="4" fontId="17" fillId="123" borderId="107" applyNumberFormat="0" applyProtection="0">
      <alignment horizontal="left" vertical="center" indent="1"/>
    </xf>
    <xf numFmtId="4" fontId="44" fillId="106" borderId="110" applyNumberFormat="0" applyProtection="0">
      <alignment horizontal="left" vertical="center" indent="1"/>
    </xf>
    <xf numFmtId="0" fontId="44" fillId="10" borderId="110" applyNumberFormat="0" applyProtection="0">
      <alignment horizontal="left" vertical="center" indent="1"/>
    </xf>
    <xf numFmtId="4" fontId="44" fillId="41" borderId="111" applyNumberFormat="0" applyProtection="0">
      <alignment horizontal="left" vertical="center" indent="1"/>
    </xf>
    <xf numFmtId="4" fontId="17" fillId="113" borderId="107" applyNumberFormat="0" applyProtection="0">
      <alignment horizontal="right" vertical="center"/>
    </xf>
    <xf numFmtId="4" fontId="44" fillId="35" borderId="110" applyNumberFormat="0" applyProtection="0">
      <alignment horizontal="right" vertical="center"/>
    </xf>
    <xf numFmtId="4" fontId="15" fillId="8" borderId="111" applyNumberFormat="0" applyProtection="0">
      <alignment horizontal="left" vertical="center" indent="1"/>
    </xf>
    <xf numFmtId="0" fontId="15" fillId="45" borderId="107" applyNumberFormat="0" applyProtection="0">
      <alignment horizontal="left" vertical="center" indent="1"/>
    </xf>
    <xf numFmtId="4" fontId="44" fillId="39" borderId="110" applyNumberFormat="0" applyProtection="0">
      <alignment horizontal="right" vertical="center"/>
    </xf>
    <xf numFmtId="4" fontId="44" fillId="2" borderId="111" applyNumberFormat="0" applyProtection="0">
      <alignment horizontal="left" vertical="center" indent="1"/>
    </xf>
    <xf numFmtId="4" fontId="41" fillId="119" borderId="107" applyNumberFormat="0" applyProtection="0">
      <alignment horizontal="right" vertical="center"/>
    </xf>
    <xf numFmtId="4" fontId="44" fillId="2" borderId="111" applyNumberFormat="0" applyProtection="0">
      <alignment horizontal="left" vertical="center" indent="1"/>
    </xf>
    <xf numFmtId="4" fontId="44" fillId="106" borderId="110" applyNumberFormat="0" applyProtection="0">
      <alignment horizontal="left" vertical="center" indent="1"/>
    </xf>
    <xf numFmtId="4" fontId="17" fillId="106" borderId="107" applyNumberFormat="0" applyProtection="0">
      <alignment vertical="center"/>
    </xf>
    <xf numFmtId="4" fontId="44" fillId="106" borderId="110" applyNumberFormat="0" applyProtection="0">
      <alignment horizontal="left" vertical="center" indent="1"/>
    </xf>
    <xf numFmtId="0" fontId="44" fillId="26" borderId="110" applyNumberFormat="0" applyFont="0" applyAlignment="0" applyProtection="0"/>
    <xf numFmtId="0" fontId="109" fillId="10" borderId="105" applyNumberFormat="0" applyAlignment="0" applyProtection="0"/>
    <xf numFmtId="4" fontId="44" fillId="7" borderId="110" applyNumberFormat="0" applyProtection="0">
      <alignment horizontal="right" vertical="center"/>
    </xf>
    <xf numFmtId="0" fontId="118" fillId="33" borderId="108" applyNumberFormat="0" applyProtection="0">
      <alignment horizontal="left" vertical="top" indent="1"/>
    </xf>
    <xf numFmtId="4" fontId="44" fillId="33" borderId="110" applyNumberFormat="0" applyProtection="0">
      <alignment vertical="center"/>
    </xf>
    <xf numFmtId="0" fontId="108" fillId="101" borderId="110" applyNumberFormat="0" applyAlignment="0" applyProtection="0"/>
    <xf numFmtId="4" fontId="122" fillId="42" borderId="111" applyNumberFormat="0" applyProtection="0">
      <alignment horizontal="left" vertical="center" indent="1"/>
    </xf>
    <xf numFmtId="0" fontId="44" fillId="124" borderId="115"/>
    <xf numFmtId="0" fontId="120" fillId="2" borderId="108" applyNumberFormat="0" applyProtection="0">
      <alignment horizontal="left" vertical="top" indent="1"/>
    </xf>
    <xf numFmtId="4" fontId="41" fillId="119" borderId="107" applyNumberFormat="0" applyProtection="0">
      <alignment horizontal="right" vertical="center"/>
    </xf>
    <xf numFmtId="4" fontId="44" fillId="0" borderId="110" applyNumberFormat="0" applyProtection="0">
      <alignment horizontal="right" vertical="center"/>
    </xf>
    <xf numFmtId="0" fontId="15" fillId="107" borderId="107" applyNumberFormat="0" applyProtection="0">
      <alignment horizontal="left" vertical="center" indent="1"/>
    </xf>
    <xf numFmtId="4" fontId="44" fillId="0" borderId="110" applyNumberFormat="0" applyProtection="0">
      <alignment horizontal="right" vertical="center"/>
    </xf>
    <xf numFmtId="4" fontId="44" fillId="51" borderId="110" applyNumberFormat="0" applyProtection="0">
      <alignment horizontal="left" vertical="center" indent="1"/>
    </xf>
    <xf numFmtId="4" fontId="39" fillId="119" borderId="107" applyNumberFormat="0" applyProtection="0">
      <alignment horizontal="right" vertical="center"/>
    </xf>
    <xf numFmtId="0" fontId="35" fillId="101" borderId="107" applyNumberFormat="0" applyAlignment="0" applyProtection="0"/>
    <xf numFmtId="0" fontId="44" fillId="26" borderId="110" applyNumberFormat="0" applyFont="0" applyAlignment="0" applyProtection="0"/>
    <xf numFmtId="0" fontId="17" fillId="4" borderId="106"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35" fillId="0" borderId="0" applyFont="0" applyFill="0" applyBorder="0" applyAlignment="0" applyProtection="0"/>
  </cellStyleXfs>
  <cellXfs count="731">
    <xf numFmtId="175" fontId="0" fillId="0" borderId="0" xfId="0"/>
    <xf numFmtId="3" fontId="15" fillId="0" borderId="24" xfId="0" applyNumberFormat="1" applyFont="1" applyBorder="1" applyAlignment="1">
      <alignment horizontal="center"/>
    </xf>
    <xf numFmtId="3" fontId="15" fillId="0" borderId="31" xfId="0" applyNumberFormat="1" applyFont="1" applyBorder="1" applyAlignment="1">
      <alignment horizontal="center"/>
    </xf>
    <xf numFmtId="3" fontId="15" fillId="0" borderId="33" xfId="0" applyNumberFormat="1" applyFont="1" applyBorder="1" applyAlignment="1">
      <alignment horizontal="center"/>
    </xf>
    <xf numFmtId="3" fontId="15" fillId="0" borderId="41" xfId="0" applyNumberFormat="1" applyFont="1" applyBorder="1" applyAlignment="1" applyProtection="1">
      <alignment wrapText="1"/>
      <protection locked="0"/>
    </xf>
    <xf numFmtId="165" fontId="15" fillId="0" borderId="25" xfId="0" applyNumberFormat="1" applyFont="1" applyBorder="1" applyAlignment="1" applyProtection="1">
      <alignment horizontal="center"/>
      <protection locked="0"/>
    </xf>
    <xf numFmtId="165" fontId="15" fillId="0" borderId="0" xfId="0" applyNumberFormat="1" applyFont="1" applyProtection="1">
      <protection locked="0"/>
    </xf>
    <xf numFmtId="3" fontId="15" fillId="0" borderId="48" xfId="0" applyNumberFormat="1" applyFont="1" applyBorder="1" applyAlignment="1" applyProtection="1">
      <alignment wrapText="1"/>
      <protection locked="0"/>
    </xf>
    <xf numFmtId="165" fontId="15" fillId="0" borderId="32" xfId="0" applyNumberFormat="1" applyFont="1" applyBorder="1" applyAlignment="1" applyProtection="1">
      <alignment horizontal="center"/>
      <protection locked="0"/>
    </xf>
    <xf numFmtId="165" fontId="15" fillId="0" borderId="0" xfId="0" applyNumberFormat="1" applyFont="1" applyAlignment="1" applyProtection="1">
      <alignment horizontal="center"/>
      <protection locked="0"/>
    </xf>
    <xf numFmtId="175" fontId="15" fillId="0" borderId="0" xfId="0" applyFont="1" applyProtection="1">
      <protection locked="0"/>
    </xf>
    <xf numFmtId="175" fontId="16" fillId="0" borderId="0" xfId="0" applyFont="1" applyAlignment="1" applyProtection="1">
      <alignment horizontal="center" wrapText="1"/>
      <protection locked="0"/>
    </xf>
    <xf numFmtId="3" fontId="15" fillId="0" borderId="0" xfId="0" applyNumberFormat="1" applyFont="1" applyProtection="1">
      <protection locked="0"/>
    </xf>
    <xf numFmtId="175" fontId="16" fillId="0" borderId="0" xfId="0" applyFont="1" applyAlignment="1" applyProtection="1">
      <alignment wrapText="1"/>
      <protection locked="0"/>
    </xf>
    <xf numFmtId="3" fontId="47" fillId="0" borderId="17" xfId="0" applyNumberFormat="1" applyFont="1" applyBorder="1" applyAlignment="1">
      <alignment horizontal="center"/>
    </xf>
    <xf numFmtId="6" fontId="15" fillId="0" borderId="0" xfId="66" applyNumberFormat="1"/>
    <xf numFmtId="175" fontId="15" fillId="0" borderId="0" xfId="66"/>
    <xf numFmtId="175" fontId="17" fillId="0" borderId="0" xfId="67"/>
    <xf numFmtId="175" fontId="36" fillId="0" borderId="11" xfId="67" applyFont="1" applyBorder="1" applyAlignment="1">
      <alignment horizontal="center"/>
    </xf>
    <xf numFmtId="175" fontId="36" fillId="0" borderId="0" xfId="67" applyFont="1" applyAlignment="1">
      <alignment horizontal="center"/>
    </xf>
    <xf numFmtId="175" fontId="16" fillId="0" borderId="43" xfId="66" applyFont="1" applyBorder="1"/>
    <xf numFmtId="175" fontId="16" fillId="0" borderId="45" xfId="66" applyFont="1" applyBorder="1" applyAlignment="1">
      <alignment wrapText="1"/>
    </xf>
    <xf numFmtId="175" fontId="45" fillId="0" borderId="0" xfId="66" applyFont="1"/>
    <xf numFmtId="175" fontId="16" fillId="44" borderId="35" xfId="66" applyFont="1" applyFill="1" applyBorder="1" applyAlignment="1">
      <alignment horizontal="center"/>
    </xf>
    <xf numFmtId="175" fontId="16" fillId="0" borderId="36" xfId="66" applyFont="1" applyBorder="1" applyAlignment="1">
      <alignment horizontal="center"/>
    </xf>
    <xf numFmtId="175" fontId="46" fillId="0" borderId="44" xfId="66" applyFont="1" applyBorder="1" applyAlignment="1">
      <alignment horizontal="center"/>
    </xf>
    <xf numFmtId="175" fontId="16" fillId="0" borderId="44" xfId="66" applyFont="1" applyBorder="1" applyAlignment="1">
      <alignment horizontal="center"/>
    </xf>
    <xf numFmtId="175" fontId="15" fillId="0" borderId="44" xfId="66" applyBorder="1"/>
    <xf numFmtId="164" fontId="15" fillId="0" borderId="0" xfId="66" applyNumberFormat="1"/>
    <xf numFmtId="175" fontId="16" fillId="0" borderId="44" xfId="66" applyFont="1" applyBorder="1"/>
    <xf numFmtId="164" fontId="15" fillId="0" borderId="0" xfId="66" applyNumberFormat="1" applyAlignment="1">
      <alignment horizontal="right"/>
    </xf>
    <xf numFmtId="175" fontId="16" fillId="0" borderId="44" xfId="66" applyFont="1" applyBorder="1" applyAlignment="1">
      <alignment horizontal="left" indent="1"/>
    </xf>
    <xf numFmtId="175" fontId="16" fillId="0" borderId="44" xfId="66" applyFont="1" applyBorder="1" applyAlignment="1">
      <alignment horizontal="center" wrapText="1"/>
    </xf>
    <xf numFmtId="175" fontId="16" fillId="0" borderId="43" xfId="66" applyFont="1" applyBorder="1" applyAlignment="1">
      <alignment horizontal="left" indent="1"/>
    </xf>
    <xf numFmtId="175" fontId="16" fillId="0" borderId="47" xfId="66" applyFont="1" applyBorder="1" applyAlignment="1">
      <alignment horizontal="left" indent="1"/>
    </xf>
    <xf numFmtId="164" fontId="15" fillId="44" borderId="0" xfId="66" applyNumberFormat="1" applyFill="1"/>
    <xf numFmtId="175" fontId="16" fillId="0" borderId="37" xfId="66" applyFont="1" applyBorder="1" applyAlignment="1">
      <alignment wrapText="1"/>
    </xf>
    <xf numFmtId="164" fontId="16" fillId="0" borderId="37" xfId="66" applyNumberFormat="1" applyFont="1" applyBorder="1"/>
    <xf numFmtId="175" fontId="16" fillId="0" borderId="0" xfId="0" applyFont="1"/>
    <xf numFmtId="175" fontId="0" fillId="0" borderId="15" xfId="0" applyBorder="1"/>
    <xf numFmtId="175" fontId="16" fillId="0" borderId="34" xfId="0" applyFont="1" applyBorder="1"/>
    <xf numFmtId="175" fontId="15" fillId="0" borderId="0" xfId="0" applyFont="1"/>
    <xf numFmtId="175" fontId="15" fillId="0" borderId="13" xfId="0" applyFont="1" applyBorder="1"/>
    <xf numFmtId="175" fontId="36" fillId="0" borderId="0" xfId="0" applyFont="1" applyProtection="1">
      <protection locked="0"/>
    </xf>
    <xf numFmtId="175" fontId="17" fillId="0" borderId="0" xfId="0" applyFont="1" applyProtection="1">
      <protection locked="0"/>
    </xf>
    <xf numFmtId="165" fontId="17" fillId="0" borderId="0" xfId="0" applyNumberFormat="1" applyFont="1" applyProtection="1">
      <protection locked="0"/>
    </xf>
    <xf numFmtId="175" fontId="48" fillId="0" borderId="0" xfId="0" applyFont="1" applyProtection="1">
      <protection locked="0"/>
    </xf>
    <xf numFmtId="172" fontId="36" fillId="0" borderId="0" xfId="0" applyNumberFormat="1" applyFont="1" applyAlignment="1" applyProtection="1">
      <alignment horizontal="right"/>
      <protection locked="0"/>
    </xf>
    <xf numFmtId="172" fontId="36" fillId="0" borderId="0" xfId="0" applyNumberFormat="1" applyFont="1" applyAlignment="1" applyProtection="1">
      <alignment horizontal="center"/>
      <protection locked="0"/>
    </xf>
    <xf numFmtId="38" fontId="49" fillId="0" borderId="0" xfId="0" applyNumberFormat="1" applyFont="1" applyProtection="1">
      <protection locked="0"/>
    </xf>
    <xf numFmtId="165" fontId="49" fillId="0" borderId="0" xfId="0" applyNumberFormat="1" applyFont="1" applyProtection="1">
      <protection locked="0"/>
    </xf>
    <xf numFmtId="175" fontId="49" fillId="0" borderId="0" xfId="0" applyFont="1" applyProtection="1">
      <protection locked="0"/>
    </xf>
    <xf numFmtId="175" fontId="17" fillId="0" borderId="0" xfId="0" applyFont="1" applyAlignment="1" applyProtection="1">
      <alignment horizontal="left" indent="1"/>
      <protection locked="0"/>
    </xf>
    <xf numFmtId="175" fontId="17" fillId="0" borderId="0" xfId="0" applyFont="1"/>
    <xf numFmtId="175" fontId="36" fillId="0" borderId="11" xfId="0" applyFont="1" applyBorder="1" applyAlignment="1">
      <alignment horizontal="center" wrapText="1"/>
    </xf>
    <xf numFmtId="175" fontId="17" fillId="0" borderId="11" xfId="0" applyFont="1" applyBorder="1"/>
    <xf numFmtId="172" fontId="17" fillId="0" borderId="11" xfId="0" applyNumberFormat="1" applyFont="1" applyBorder="1"/>
    <xf numFmtId="172" fontId="17" fillId="0" borderId="11" xfId="46" applyNumberFormat="1" applyFont="1" applyBorder="1" applyAlignment="1">
      <alignment horizontal="right"/>
    </xf>
    <xf numFmtId="166" fontId="17" fillId="0" borderId="11" xfId="46" applyNumberFormat="1" applyFont="1" applyBorder="1" applyAlignment="1">
      <alignment horizontal="right"/>
    </xf>
    <xf numFmtId="172" fontId="36" fillId="0" borderId="11" xfId="46" applyNumberFormat="1" applyFont="1" applyBorder="1" applyAlignment="1">
      <alignment horizontal="right" wrapText="1"/>
    </xf>
    <xf numFmtId="166" fontId="36" fillId="0" borderId="11" xfId="0" applyNumberFormat="1" applyFont="1" applyBorder="1"/>
    <xf numFmtId="166" fontId="17" fillId="0" borderId="11" xfId="46" applyNumberFormat="1" applyFont="1" applyBorder="1" applyAlignment="1">
      <alignment horizontal="right" wrapText="1"/>
    </xf>
    <xf numFmtId="166" fontId="17" fillId="0" borderId="11" xfId="0" applyNumberFormat="1" applyFont="1" applyBorder="1"/>
    <xf numFmtId="175" fontId="36" fillId="0" borderId="20" xfId="0" applyFont="1" applyBorder="1"/>
    <xf numFmtId="166" fontId="36" fillId="0" borderId="20" xfId="0" applyNumberFormat="1" applyFont="1" applyBorder="1"/>
    <xf numFmtId="175" fontId="36" fillId="0" borderId="20" xfId="0" applyFont="1" applyBorder="1" applyAlignment="1">
      <alignment horizontal="center"/>
    </xf>
    <xf numFmtId="166" fontId="36" fillId="0" borderId="11" xfId="0" applyNumberFormat="1" applyFont="1" applyBorder="1" applyAlignment="1">
      <alignment horizontal="center" wrapText="1"/>
    </xf>
    <xf numFmtId="166" fontId="36" fillId="0" borderId="11" xfId="0" applyNumberFormat="1" applyFont="1" applyBorder="1" applyAlignment="1">
      <alignment horizontal="center"/>
    </xf>
    <xf numFmtId="166" fontId="36" fillId="0" borderId="20" xfId="0" applyNumberFormat="1" applyFont="1" applyBorder="1" applyAlignment="1">
      <alignment horizontal="center"/>
    </xf>
    <xf numFmtId="166" fontId="17" fillId="0" borderId="27" xfId="0" applyNumberFormat="1" applyFont="1" applyBorder="1"/>
    <xf numFmtId="166" fontId="36" fillId="0" borderId="27" xfId="0" applyNumberFormat="1" applyFont="1" applyBorder="1"/>
    <xf numFmtId="166" fontId="17" fillId="0" borderId="18" xfId="46" applyNumberFormat="1" applyFont="1" applyBorder="1" applyAlignment="1">
      <alignment horizontal="right"/>
    </xf>
    <xf numFmtId="166" fontId="17" fillId="0" borderId="18" xfId="0" applyNumberFormat="1" applyFont="1" applyBorder="1"/>
    <xf numFmtId="166" fontId="17" fillId="0" borderId="19" xfId="0" applyNumberFormat="1" applyFont="1" applyBorder="1"/>
    <xf numFmtId="172" fontId="36" fillId="0" borderId="11" xfId="0" applyNumberFormat="1" applyFont="1" applyBorder="1"/>
    <xf numFmtId="166" fontId="36" fillId="0" borderId="11" xfId="46" applyNumberFormat="1" applyFont="1" applyBorder="1" applyAlignment="1">
      <alignment horizontal="right"/>
    </xf>
    <xf numFmtId="172" fontId="36" fillId="0" borderId="20" xfId="0" applyNumberFormat="1" applyFont="1" applyBorder="1" applyAlignment="1">
      <alignment horizontal="right"/>
    </xf>
    <xf numFmtId="172" fontId="36" fillId="0" borderId="20" xfId="0" applyNumberFormat="1" applyFont="1" applyBorder="1" applyAlignment="1">
      <alignment horizontal="center"/>
    </xf>
    <xf numFmtId="166" fontId="17" fillId="0" borderId="11" xfId="0" quotePrefix="1" applyNumberFormat="1" applyFont="1" applyBorder="1" applyAlignment="1">
      <alignment horizontal="center"/>
    </xf>
    <xf numFmtId="166" fontId="17" fillId="0" borderId="11" xfId="46" applyNumberFormat="1" applyFont="1" applyBorder="1" applyAlignment="1">
      <alignment horizontal="center"/>
    </xf>
    <xf numFmtId="166" fontId="36" fillId="0" borderId="20" xfId="0" applyNumberFormat="1" applyFont="1" applyBorder="1" applyAlignment="1">
      <alignment horizontal="right"/>
    </xf>
    <xf numFmtId="175" fontId="36" fillId="0" borderId="27" xfId="0" applyFont="1" applyBorder="1"/>
    <xf numFmtId="175" fontId="36" fillId="0" borderId="0" xfId="0" applyFont="1"/>
    <xf numFmtId="38" fontId="17" fillId="0" borderId="0" xfId="0" applyNumberFormat="1" applyFont="1"/>
    <xf numFmtId="165" fontId="17" fillId="0" borderId="0" xfId="0" applyNumberFormat="1" applyFont="1"/>
    <xf numFmtId="175" fontId="15" fillId="0" borderId="13" xfId="0" applyFont="1" applyBorder="1" applyProtection="1">
      <protection locked="0"/>
    </xf>
    <xf numFmtId="9" fontId="15" fillId="0" borderId="0" xfId="145" applyFont="1" applyProtection="1">
      <protection locked="0"/>
    </xf>
    <xf numFmtId="175" fontId="16" fillId="0" borderId="14" xfId="0" applyFont="1" applyBorder="1" applyAlignment="1" applyProtection="1">
      <alignment horizontal="center"/>
      <protection locked="0"/>
    </xf>
    <xf numFmtId="175" fontId="15" fillId="0" borderId="16" xfId="0" applyFont="1" applyBorder="1" applyProtection="1">
      <protection locked="0"/>
    </xf>
    <xf numFmtId="175" fontId="16" fillId="0" borderId="11" xfId="0" applyFont="1" applyBorder="1" applyAlignment="1" applyProtection="1">
      <alignment horizontal="center"/>
      <protection locked="0"/>
    </xf>
    <xf numFmtId="166" fontId="15" fillId="0" borderId="0" xfId="0" applyNumberFormat="1" applyFont="1" applyAlignment="1">
      <alignment horizontal="center"/>
    </xf>
    <xf numFmtId="173" fontId="15" fillId="0" borderId="0" xfId="0" applyNumberFormat="1" applyFont="1" applyAlignment="1">
      <alignment horizontal="center"/>
    </xf>
    <xf numFmtId="3" fontId="15" fillId="0" borderId="0" xfId="0" applyNumberFormat="1" applyFont="1" applyAlignment="1">
      <alignment horizontal="center"/>
    </xf>
    <xf numFmtId="165" fontId="15" fillId="0" borderId="0" xfId="0" applyNumberFormat="1" applyFont="1" applyAlignment="1">
      <alignment horizontal="center"/>
    </xf>
    <xf numFmtId="175" fontId="36" fillId="0" borderId="16" xfId="0" applyFont="1" applyBorder="1" applyAlignment="1" applyProtection="1">
      <alignment horizontal="center"/>
      <protection locked="0"/>
    </xf>
    <xf numFmtId="175" fontId="17" fillId="0" borderId="11" xfId="0" applyFont="1" applyBorder="1" applyProtection="1">
      <protection locked="0"/>
    </xf>
    <xf numFmtId="175" fontId="36" fillId="0" borderId="20" xfId="0" applyFont="1" applyBorder="1" applyProtection="1">
      <protection locked="0"/>
    </xf>
    <xf numFmtId="175" fontId="36" fillId="0" borderId="20" xfId="0" applyFont="1" applyBorder="1" applyAlignment="1" applyProtection="1">
      <alignment horizontal="center"/>
      <protection locked="0"/>
    </xf>
    <xf numFmtId="175" fontId="36" fillId="0" borderId="22" xfId="0" applyFont="1" applyBorder="1" applyProtection="1">
      <protection locked="0"/>
    </xf>
    <xf numFmtId="175" fontId="17" fillId="0" borderId="11" xfId="0" applyFont="1" applyBorder="1" applyAlignment="1" applyProtection="1">
      <alignment wrapText="1" shrinkToFit="1"/>
      <protection locked="0"/>
    </xf>
    <xf numFmtId="175" fontId="36" fillId="0" borderId="11" xfId="0" applyFont="1" applyBorder="1" applyProtection="1">
      <protection locked="0"/>
    </xf>
    <xf numFmtId="175" fontId="17" fillId="0" borderId="16" xfId="0" applyFont="1" applyBorder="1" applyProtection="1">
      <protection locked="0"/>
    </xf>
    <xf numFmtId="38" fontId="55" fillId="0" borderId="17" xfId="0" applyNumberFormat="1" applyFont="1" applyBorder="1" applyAlignment="1">
      <alignment horizontal="center"/>
    </xf>
    <xf numFmtId="172" fontId="17" fillId="0" borderId="11" xfId="0" quotePrefix="1" applyNumberFormat="1" applyFont="1" applyBorder="1" applyAlignment="1">
      <alignment horizontal="center"/>
    </xf>
    <xf numFmtId="172" fontId="17" fillId="0" borderId="11" xfId="0" quotePrefix="1" applyNumberFormat="1" applyFont="1" applyBorder="1" applyAlignment="1">
      <alignment horizontal="right"/>
    </xf>
    <xf numFmtId="172" fontId="36" fillId="0" borderId="20" xfId="0" quotePrefix="1" applyNumberFormat="1" applyFont="1" applyBorder="1" applyAlignment="1">
      <alignment horizontal="center"/>
    </xf>
    <xf numFmtId="172" fontId="36" fillId="0" borderId="20" xfId="0" applyNumberFormat="1" applyFont="1" applyBorder="1"/>
    <xf numFmtId="38" fontId="17" fillId="0" borderId="11" xfId="0" applyNumberFormat="1" applyFont="1" applyBorder="1"/>
    <xf numFmtId="165" fontId="36" fillId="0" borderId="11" xfId="0" applyNumberFormat="1" applyFont="1" applyBorder="1"/>
    <xf numFmtId="172" fontId="36" fillId="0" borderId="11" xfId="46" applyNumberFormat="1" applyFont="1" applyBorder="1" applyAlignment="1">
      <alignment horizontal="right"/>
    </xf>
    <xf numFmtId="38" fontId="17" fillId="0" borderId="27" xfId="0" applyNumberFormat="1" applyFont="1" applyBorder="1"/>
    <xf numFmtId="165" fontId="36" fillId="0" borderId="27" xfId="0" applyNumberFormat="1" applyFont="1" applyBorder="1"/>
    <xf numFmtId="175" fontId="17" fillId="0" borderId="20" xfId="0" applyFont="1" applyBorder="1"/>
    <xf numFmtId="170" fontId="17" fillId="0" borderId="18" xfId="46" applyNumberFormat="1" applyFont="1" applyBorder="1" applyAlignment="1">
      <alignment horizontal="right"/>
    </xf>
    <xf numFmtId="169" fontId="36" fillId="0" borderId="18" xfId="46" applyNumberFormat="1" applyFont="1" applyBorder="1" applyAlignment="1">
      <alignment horizontal="right"/>
    </xf>
    <xf numFmtId="170" fontId="17" fillId="0" borderId="11" xfId="46" applyNumberFormat="1" applyFont="1" applyBorder="1" applyAlignment="1">
      <alignment horizontal="right"/>
    </xf>
    <xf numFmtId="169" fontId="36" fillId="0" borderId="11" xfId="46" applyNumberFormat="1" applyFont="1" applyBorder="1" applyAlignment="1">
      <alignment horizontal="right"/>
    </xf>
    <xf numFmtId="166" fontId="36" fillId="0" borderId="11" xfId="46" applyNumberFormat="1" applyFont="1" applyBorder="1" applyAlignment="1">
      <alignment horizontal="right" wrapText="1"/>
    </xf>
    <xf numFmtId="166" fontId="17" fillId="0" borderId="11" xfId="0" quotePrefix="1" applyNumberFormat="1" applyFont="1" applyBorder="1" applyAlignment="1">
      <alignment horizontal="right"/>
    </xf>
    <xf numFmtId="166" fontId="36" fillId="0" borderId="20" xfId="0" quotePrefix="1" applyNumberFormat="1" applyFont="1" applyBorder="1" applyAlignment="1">
      <alignment horizontal="center"/>
    </xf>
    <xf numFmtId="166" fontId="17" fillId="0" borderId="20" xfId="0" applyNumberFormat="1" applyFont="1" applyBorder="1"/>
    <xf numFmtId="166" fontId="36" fillId="0" borderId="18" xfId="46" applyNumberFormat="1" applyFont="1" applyBorder="1" applyAlignment="1">
      <alignment horizontal="right"/>
    </xf>
    <xf numFmtId="175" fontId="17" fillId="0" borderId="18" xfId="0" applyFont="1" applyBorder="1"/>
    <xf numFmtId="175" fontId="61" fillId="0" borderId="0" xfId="0" applyFont="1"/>
    <xf numFmtId="3" fontId="47" fillId="0" borderId="17" xfId="0" applyNumberFormat="1" applyFont="1" applyBorder="1" applyAlignment="1" applyProtection="1">
      <alignment horizontal="center"/>
      <protection locked="0"/>
    </xf>
    <xf numFmtId="3" fontId="15" fillId="0" borderId="24" xfId="0" applyNumberFormat="1" applyFont="1" applyBorder="1" applyAlignment="1" applyProtection="1">
      <alignment horizontal="center"/>
      <protection locked="0"/>
    </xf>
    <xf numFmtId="3" fontId="47" fillId="0" borderId="20" xfId="0" applyNumberFormat="1" applyFont="1" applyBorder="1" applyAlignment="1" applyProtection="1">
      <alignment horizontal="center"/>
      <protection locked="0"/>
    </xf>
    <xf numFmtId="38" fontId="55" fillId="0" borderId="11" xfId="146" applyNumberFormat="1" applyFont="1" applyBorder="1" applyAlignment="1" applyProtection="1">
      <alignment horizontal="center"/>
      <protection locked="0"/>
    </xf>
    <xf numFmtId="175" fontId="36" fillId="0" borderId="11" xfId="0" applyFont="1" applyBorder="1" applyAlignment="1" applyProtection="1">
      <alignment horizontal="center" wrapText="1"/>
      <protection locked="0"/>
    </xf>
    <xf numFmtId="175" fontId="16" fillId="0" borderId="0" xfId="66" applyFont="1" applyProtection="1">
      <protection locked="0"/>
    </xf>
    <xf numFmtId="175" fontId="15" fillId="0" borderId="0" xfId="66" applyProtection="1">
      <protection locked="0"/>
    </xf>
    <xf numFmtId="175" fontId="15" fillId="0" borderId="36" xfId="66" applyBorder="1" applyProtection="1">
      <protection locked="0"/>
    </xf>
    <xf numFmtId="175" fontId="15" fillId="0" borderId="37" xfId="66" applyBorder="1" applyProtection="1">
      <protection locked="0"/>
    </xf>
    <xf numFmtId="175" fontId="15" fillId="0" borderId="38" xfId="66" applyBorder="1" applyProtection="1">
      <protection locked="0"/>
    </xf>
    <xf numFmtId="175" fontId="15" fillId="0" borderId="14" xfId="66" applyBorder="1" applyProtection="1">
      <protection locked="0"/>
    </xf>
    <xf numFmtId="175" fontId="15" fillId="0" borderId="18" xfId="66" applyBorder="1" applyProtection="1">
      <protection locked="0"/>
    </xf>
    <xf numFmtId="175" fontId="15" fillId="0" borderId="19" xfId="66" applyBorder="1" applyProtection="1">
      <protection locked="0"/>
    </xf>
    <xf numFmtId="175" fontId="16" fillId="0" borderId="11" xfId="66" applyFont="1" applyBorder="1" applyAlignment="1" applyProtection="1">
      <alignment horizontal="center" wrapText="1"/>
      <protection locked="0"/>
    </xf>
    <xf numFmtId="6" fontId="15" fillId="0" borderId="0" xfId="66" applyNumberFormat="1" applyProtection="1">
      <protection locked="0"/>
    </xf>
    <xf numFmtId="175" fontId="15" fillId="0" borderId="13" xfId="66" applyBorder="1" applyProtection="1">
      <protection locked="0"/>
    </xf>
    <xf numFmtId="164" fontId="15" fillId="0" borderId="42" xfId="66" applyNumberFormat="1" applyBorder="1" applyProtection="1">
      <protection locked="0"/>
    </xf>
    <xf numFmtId="175" fontId="15" fillId="0" borderId="42" xfId="66" applyBorder="1" applyProtection="1">
      <protection locked="0"/>
    </xf>
    <xf numFmtId="175" fontId="17" fillId="0" borderId="0" xfId="67" applyProtection="1">
      <protection locked="0"/>
    </xf>
    <xf numFmtId="175" fontId="17" fillId="0" borderId="11" xfId="67" applyBorder="1" applyProtection="1">
      <protection locked="0"/>
    </xf>
    <xf numFmtId="175" fontId="36" fillId="0" borderId="11" xfId="67" applyFont="1" applyBorder="1" applyProtection="1">
      <protection locked="0"/>
    </xf>
    <xf numFmtId="175" fontId="54" fillId="0" borderId="0" xfId="0" applyFont="1" applyProtection="1">
      <protection locked="0"/>
    </xf>
    <xf numFmtId="175" fontId="16" fillId="0" borderId="0" xfId="0" applyFont="1" applyProtection="1">
      <protection locked="0"/>
    </xf>
    <xf numFmtId="175" fontId="65" fillId="0" borderId="0" xfId="0" applyFont="1" applyAlignment="1">
      <alignment horizontal="left" vertical="center" indent="4"/>
    </xf>
    <xf numFmtId="175" fontId="16" fillId="0" borderId="0" xfId="0" applyFont="1" applyAlignment="1" applyProtection="1">
      <alignment horizontal="center"/>
      <protection locked="0"/>
    </xf>
    <xf numFmtId="17" fontId="16" fillId="0" borderId="0" xfId="0" quotePrefix="1" applyNumberFormat="1" applyFont="1" applyAlignment="1" applyProtection="1">
      <alignment horizontal="center"/>
      <protection locked="0"/>
    </xf>
    <xf numFmtId="175" fontId="0" fillId="47" borderId="0" xfId="0" applyFill="1"/>
    <xf numFmtId="17" fontId="16" fillId="47" borderId="0" xfId="0" quotePrefix="1" applyNumberFormat="1" applyFont="1" applyFill="1" applyAlignment="1" applyProtection="1">
      <alignment horizontal="center"/>
      <protection locked="0"/>
    </xf>
    <xf numFmtId="175" fontId="15" fillId="47" borderId="0" xfId="0" applyFont="1" applyFill="1" applyProtection="1">
      <protection locked="0"/>
    </xf>
    <xf numFmtId="175" fontId="53" fillId="0" borderId="0" xfId="0" applyFont="1" applyAlignment="1">
      <alignment horizontal="center"/>
    </xf>
    <xf numFmtId="38" fontId="15" fillId="0" borderId="24" xfId="0" applyNumberFormat="1" applyFont="1" applyBorder="1" applyAlignment="1">
      <alignment horizontal="center"/>
    </xf>
    <xf numFmtId="38" fontId="15" fillId="0" borderId="24" xfId="0" applyNumberFormat="1" applyFont="1" applyBorder="1" applyAlignment="1" applyProtection="1">
      <alignment horizontal="center"/>
      <protection locked="0"/>
    </xf>
    <xf numFmtId="175" fontId="15" fillId="0" borderId="17" xfId="0" applyFont="1" applyBorder="1" applyProtection="1">
      <protection locked="0"/>
    </xf>
    <xf numFmtId="3" fontId="15" fillId="0" borderId="29" xfId="0" applyNumberFormat="1" applyFont="1" applyBorder="1" applyAlignment="1">
      <alignment horizontal="center"/>
    </xf>
    <xf numFmtId="3" fontId="55" fillId="0" borderId="22" xfId="0" applyNumberFormat="1" applyFont="1" applyBorder="1" applyAlignment="1">
      <alignment horizontal="center"/>
    </xf>
    <xf numFmtId="3" fontId="55" fillId="0" borderId="17" xfId="0" applyNumberFormat="1" applyFont="1" applyBorder="1" applyAlignment="1">
      <alignment horizontal="center"/>
    </xf>
    <xf numFmtId="175" fontId="15" fillId="47" borderId="0" xfId="66" applyFill="1"/>
    <xf numFmtId="175" fontId="16" fillId="47" borderId="0" xfId="0" applyFont="1" applyFill="1" applyAlignment="1" applyProtection="1">
      <alignment horizontal="center"/>
      <protection locked="0"/>
    </xf>
    <xf numFmtId="175" fontId="16" fillId="0" borderId="11" xfId="0" applyFont="1" applyBorder="1" applyAlignment="1" applyProtection="1">
      <alignment horizontal="left"/>
      <protection locked="0"/>
    </xf>
    <xf numFmtId="17" fontId="17" fillId="0" borderId="0" xfId="0" applyNumberFormat="1" applyFont="1" applyAlignment="1" applyProtection="1">
      <alignment horizontal="center"/>
      <protection locked="0"/>
    </xf>
    <xf numFmtId="175" fontId="36" fillId="48" borderId="20" xfId="0" applyFont="1" applyFill="1" applyBorder="1" applyAlignment="1" applyProtection="1">
      <alignment horizontal="center" vertical="center"/>
      <protection locked="0"/>
    </xf>
    <xf numFmtId="175" fontId="36" fillId="48" borderId="11" xfId="0" applyFont="1" applyFill="1" applyBorder="1" applyAlignment="1" applyProtection="1">
      <alignment horizontal="center" vertical="center"/>
      <protection locked="0"/>
    </xf>
    <xf numFmtId="175" fontId="36" fillId="0" borderId="20" xfId="0" applyFont="1" applyBorder="1" applyAlignment="1" applyProtection="1">
      <alignment horizontal="right"/>
      <protection locked="0"/>
    </xf>
    <xf numFmtId="175" fontId="17" fillId="0" borderId="11" xfId="0" applyFont="1" applyBorder="1" applyAlignment="1" applyProtection="1">
      <alignment horizontal="left"/>
      <protection locked="0"/>
    </xf>
    <xf numFmtId="175" fontId="16" fillId="0" borderId="19" xfId="0" applyFont="1" applyBorder="1" applyAlignment="1" applyProtection="1">
      <alignment horizontal="center" wrapText="1"/>
      <protection locked="0"/>
    </xf>
    <xf numFmtId="3" fontId="16" fillId="0" borderId="26" xfId="0" applyNumberFormat="1" applyFont="1" applyBorder="1" applyAlignment="1">
      <alignment horizontal="center" wrapText="1"/>
    </xf>
    <xf numFmtId="174" fontId="15" fillId="0" borderId="24" xfId="0" applyNumberFormat="1" applyFont="1" applyBorder="1"/>
    <xf numFmtId="3" fontId="16" fillId="0" borderId="27" xfId="0" applyNumberFormat="1" applyFont="1" applyBorder="1" applyAlignment="1">
      <alignment horizontal="center" wrapText="1"/>
    </xf>
    <xf numFmtId="175" fontId="16" fillId="0" borderId="50" xfId="0" applyFont="1" applyBorder="1" applyAlignment="1">
      <alignment horizontal="center"/>
    </xf>
    <xf numFmtId="4" fontId="15" fillId="0" borderId="32" xfId="0" applyNumberFormat="1" applyFont="1" applyBorder="1" applyAlignment="1">
      <alignment horizontal="right"/>
    </xf>
    <xf numFmtId="4" fontId="15" fillId="0" borderId="29" xfId="0" applyNumberFormat="1" applyFont="1" applyBorder="1" applyAlignment="1">
      <alignment horizontal="right"/>
    </xf>
    <xf numFmtId="175" fontId="16" fillId="0" borderId="17" xfId="0" applyFont="1" applyBorder="1" applyProtection="1">
      <protection locked="0"/>
    </xf>
    <xf numFmtId="175" fontId="16" fillId="0" borderId="11" xfId="0" applyFont="1" applyBorder="1" applyProtection="1">
      <protection locked="0"/>
    </xf>
    <xf numFmtId="175" fontId="16" fillId="0" borderId="18" xfId="0" applyFont="1" applyBorder="1" applyAlignment="1" applyProtection="1">
      <alignment horizontal="center" wrapText="1"/>
      <protection locked="0"/>
    </xf>
    <xf numFmtId="175" fontId="16" fillId="0" borderId="11" xfId="0" applyFont="1" applyBorder="1" applyAlignment="1" applyProtection="1">
      <alignment horizontal="center" wrapText="1"/>
      <protection locked="0"/>
    </xf>
    <xf numFmtId="175" fontId="16" fillId="0" borderId="18" xfId="0" applyFont="1" applyBorder="1" applyAlignment="1">
      <alignment horizontal="center" wrapText="1"/>
    </xf>
    <xf numFmtId="175" fontId="16" fillId="0" borderId="18" xfId="0" applyFont="1" applyBorder="1" applyAlignment="1">
      <alignment horizontal="center"/>
    </xf>
    <xf numFmtId="175" fontId="16" fillId="0" borderId="20" xfId="0" applyFont="1" applyBorder="1" applyAlignment="1">
      <alignment horizontal="center" wrapText="1"/>
    </xf>
    <xf numFmtId="175" fontId="16" fillId="0" borderId="19" xfId="0" applyFont="1" applyBorder="1" applyAlignment="1">
      <alignment horizontal="center"/>
    </xf>
    <xf numFmtId="175" fontId="16" fillId="0" borderId="19" xfId="0" applyFont="1" applyBorder="1" applyAlignment="1" applyProtection="1">
      <alignment horizontal="center"/>
      <protection locked="0"/>
    </xf>
    <xf numFmtId="175" fontId="16" fillId="0" borderId="23" xfId="0" applyFont="1" applyBorder="1" applyProtection="1">
      <protection locked="0"/>
    </xf>
    <xf numFmtId="3" fontId="16" fillId="0" borderId="20" xfId="0" applyNumberFormat="1" applyFont="1" applyBorder="1" applyAlignment="1">
      <alignment horizontal="center" wrapText="1"/>
    </xf>
    <xf numFmtId="2" fontId="16" fillId="0" borderId="18" xfId="0" applyNumberFormat="1" applyFont="1" applyBorder="1" applyAlignment="1">
      <alignment horizontal="center" wrapText="1"/>
    </xf>
    <xf numFmtId="175" fontId="16" fillId="0" borderId="26" xfId="0" applyFont="1" applyBorder="1" applyAlignment="1">
      <alignment horizontal="center"/>
    </xf>
    <xf numFmtId="3" fontId="16" fillId="0" borderId="18" xfId="0" applyNumberFormat="1" applyFont="1" applyBorder="1" applyAlignment="1">
      <alignment horizontal="center" wrapText="1"/>
    </xf>
    <xf numFmtId="3" fontId="16" fillId="0" borderId="20" xfId="0" applyNumberFormat="1" applyFont="1" applyBorder="1" applyAlignment="1" applyProtection="1">
      <alignment horizontal="center" wrapText="1"/>
      <protection locked="0"/>
    </xf>
    <xf numFmtId="175" fontId="16" fillId="0" borderId="49" xfId="0" applyFont="1" applyBorder="1" applyAlignment="1">
      <alignment horizontal="center"/>
    </xf>
    <xf numFmtId="175" fontId="16" fillId="0" borderId="28" xfId="0" applyFont="1" applyBorder="1" applyProtection="1">
      <protection locked="0"/>
    </xf>
    <xf numFmtId="175" fontId="41" fillId="0" borderId="0" xfId="0" applyFont="1" applyProtection="1">
      <protection locked="0"/>
    </xf>
    <xf numFmtId="3" fontId="41" fillId="0" borderId="0" xfId="0" applyNumberFormat="1" applyFont="1" applyProtection="1">
      <protection locked="0"/>
    </xf>
    <xf numFmtId="1" fontId="41" fillId="0" borderId="0" xfId="0" applyNumberFormat="1" applyFont="1" applyProtection="1">
      <protection locked="0"/>
    </xf>
    <xf numFmtId="175" fontId="16" fillId="47" borderId="18" xfId="0" applyFont="1" applyFill="1" applyBorder="1" applyAlignment="1" applyProtection="1">
      <alignment horizontal="center" wrapText="1"/>
      <protection locked="0"/>
    </xf>
    <xf numFmtId="175" fontId="17" fillId="47" borderId="0" xfId="67" applyFill="1" applyProtection="1">
      <protection locked="0"/>
    </xf>
    <xf numFmtId="175" fontId="15" fillId="47" borderId="0" xfId="66" applyFill="1" applyProtection="1">
      <protection locked="0"/>
    </xf>
    <xf numFmtId="17" fontId="16" fillId="47" borderId="0" xfId="0" applyNumberFormat="1" applyFont="1" applyFill="1" applyAlignment="1" applyProtection="1">
      <alignment horizontal="center"/>
      <protection locked="0"/>
    </xf>
    <xf numFmtId="175" fontId="17" fillId="47" borderId="0" xfId="0" applyFont="1" applyFill="1" applyProtection="1">
      <protection locked="0"/>
    </xf>
    <xf numFmtId="164" fontId="15" fillId="0" borderId="51" xfId="66" applyNumberFormat="1" applyBorder="1" applyProtection="1">
      <protection locked="0"/>
    </xf>
    <xf numFmtId="175" fontId="53" fillId="47" borderId="0" xfId="0" applyFont="1" applyFill="1" applyAlignment="1">
      <alignment horizontal="center"/>
    </xf>
    <xf numFmtId="175" fontId="16" fillId="0" borderId="51" xfId="66" applyFont="1" applyBorder="1" applyProtection="1">
      <protection locked="0"/>
    </xf>
    <xf numFmtId="175" fontId="16" fillId="47" borderId="0" xfId="0" applyFont="1" applyFill="1" applyProtection="1">
      <protection locked="0"/>
    </xf>
    <xf numFmtId="175" fontId="0" fillId="0" borderId="0" xfId="0" quotePrefix="1"/>
    <xf numFmtId="175" fontId="15" fillId="47" borderId="17" xfId="0" applyFont="1" applyFill="1" applyBorder="1"/>
    <xf numFmtId="3" fontId="55" fillId="47" borderId="17" xfId="0" applyNumberFormat="1" applyFont="1" applyFill="1" applyBorder="1" applyAlignment="1">
      <alignment horizontal="center"/>
    </xf>
    <xf numFmtId="175" fontId="16" fillId="0" borderId="43" xfId="66" quotePrefix="1" applyFont="1" applyBorder="1" applyAlignment="1">
      <alignment horizontal="left" wrapText="1" indent="1"/>
    </xf>
    <xf numFmtId="175" fontId="17" fillId="0" borderId="0" xfId="0" quotePrefix="1" applyFont="1" applyProtection="1">
      <protection locked="0"/>
    </xf>
    <xf numFmtId="175" fontId="67" fillId="0" borderId="0" xfId="0" applyFont="1" applyAlignment="1" applyProtection="1">
      <alignment horizontal="center"/>
      <protection locked="0"/>
    </xf>
    <xf numFmtId="168" fontId="52" fillId="0" borderId="0" xfId="52" applyNumberFormat="1" applyFont="1"/>
    <xf numFmtId="175" fontId="68" fillId="43" borderId="0" xfId="66" applyFont="1" applyFill="1"/>
    <xf numFmtId="44" fontId="68" fillId="43" borderId="0" xfId="50" applyFont="1" applyFill="1"/>
    <xf numFmtId="175" fontId="68" fillId="47" borderId="0" xfId="66" applyFont="1" applyFill="1"/>
    <xf numFmtId="17" fontId="67" fillId="47" borderId="0" xfId="0" applyNumberFormat="1" applyFont="1" applyFill="1" applyAlignment="1" applyProtection="1">
      <alignment horizontal="center"/>
      <protection locked="0"/>
    </xf>
    <xf numFmtId="175" fontId="67" fillId="44" borderId="35" xfId="66" applyFont="1" applyFill="1" applyBorder="1"/>
    <xf numFmtId="175" fontId="68" fillId="43" borderId="37" xfId="66" applyFont="1" applyFill="1" applyBorder="1"/>
    <xf numFmtId="44" fontId="68" fillId="43" borderId="37" xfId="50" applyFont="1" applyFill="1" applyBorder="1"/>
    <xf numFmtId="175" fontId="67" fillId="44" borderId="43" xfId="66" applyFont="1" applyFill="1" applyBorder="1" applyAlignment="1">
      <alignment horizontal="center"/>
    </xf>
    <xf numFmtId="175" fontId="67" fillId="44" borderId="44" xfId="66" applyFont="1" applyFill="1" applyBorder="1" applyAlignment="1">
      <alignment horizontal="center"/>
    </xf>
    <xf numFmtId="175" fontId="67" fillId="43" borderId="0" xfId="66" applyFont="1" applyFill="1" applyAlignment="1">
      <alignment horizontal="center"/>
    </xf>
    <xf numFmtId="175" fontId="67" fillId="0" borderId="44" xfId="66" applyFont="1" applyBorder="1" applyAlignment="1">
      <alignment horizontal="center"/>
    </xf>
    <xf numFmtId="164" fontId="68" fillId="0" borderId="0" xfId="66" applyNumberFormat="1" applyFont="1"/>
    <xf numFmtId="175" fontId="68" fillId="0" borderId="0" xfId="66" applyFont="1"/>
    <xf numFmtId="175" fontId="67" fillId="0" borderId="43" xfId="66" applyFont="1" applyBorder="1" applyAlignment="1">
      <alignment wrapText="1"/>
    </xf>
    <xf numFmtId="175" fontId="67" fillId="0" borderId="20" xfId="66" applyFont="1" applyBorder="1"/>
    <xf numFmtId="43" fontId="15" fillId="0" borderId="24" xfId="0" applyNumberFormat="1" applyFont="1" applyBorder="1" applyAlignment="1">
      <alignment horizontal="right"/>
    </xf>
    <xf numFmtId="175" fontId="15" fillId="47" borderId="13" xfId="0" applyFont="1" applyFill="1" applyBorder="1"/>
    <xf numFmtId="6" fontId="36" fillId="0" borderId="11" xfId="67" applyNumberFormat="1" applyFont="1" applyBorder="1" applyAlignment="1" applyProtection="1">
      <alignment horizontal="center"/>
      <protection locked="0"/>
    </xf>
    <xf numFmtId="4" fontId="15" fillId="0" borderId="24" xfId="0" applyNumberFormat="1" applyFont="1" applyBorder="1" applyAlignment="1">
      <alignment horizontal="right"/>
    </xf>
    <xf numFmtId="4" fontId="15" fillId="0" borderId="25" xfId="0" applyNumberFormat="1" applyFont="1" applyBorder="1" applyAlignment="1">
      <alignment horizontal="right"/>
    </xf>
    <xf numFmtId="2" fontId="15" fillId="0" borderId="24" xfId="0" applyNumberFormat="1" applyFont="1" applyBorder="1" applyAlignment="1">
      <alignment horizontal="right"/>
    </xf>
    <xf numFmtId="2" fontId="15" fillId="0" borderId="29" xfId="0" applyNumberFormat="1" applyFont="1" applyBorder="1" applyAlignment="1">
      <alignment horizontal="right"/>
    </xf>
    <xf numFmtId="165" fontId="15" fillId="0" borderId="32" xfId="0" applyNumberFormat="1" applyFont="1" applyBorder="1" applyAlignment="1">
      <alignment horizontal="right"/>
    </xf>
    <xf numFmtId="165" fontId="15" fillId="0" borderId="25" xfId="0" applyNumberFormat="1" applyFont="1" applyBorder="1" applyAlignment="1">
      <alignment horizontal="right"/>
    </xf>
    <xf numFmtId="175" fontId="70" fillId="0" borderId="0" xfId="0" applyFont="1" applyAlignment="1">
      <alignment vertical="center"/>
    </xf>
    <xf numFmtId="164" fontId="16" fillId="0" borderId="37" xfId="66" applyNumberFormat="1" applyFont="1" applyBorder="1" applyAlignment="1">
      <alignment horizontal="center"/>
    </xf>
    <xf numFmtId="175" fontId="15" fillId="0" borderId="0" xfId="66" applyAlignment="1">
      <alignment horizontal="center"/>
    </xf>
    <xf numFmtId="2" fontId="15" fillId="0" borderId="24" xfId="0" applyNumberFormat="1" applyFont="1" applyBorder="1"/>
    <xf numFmtId="2" fontId="15" fillId="0" borderId="25" xfId="0" applyNumberFormat="1" applyFont="1" applyBorder="1" applyAlignment="1">
      <alignment horizontal="right"/>
    </xf>
    <xf numFmtId="2" fontId="15" fillId="0" borderId="32" xfId="0" applyNumberFormat="1" applyFont="1" applyBorder="1" applyAlignment="1">
      <alignment horizontal="right"/>
    </xf>
    <xf numFmtId="2" fontId="15" fillId="0" borderId="29" xfId="0" applyNumberFormat="1" applyFont="1" applyBorder="1"/>
    <xf numFmtId="175" fontId="16" fillId="47" borderId="0" xfId="66" applyFont="1" applyFill="1" applyAlignment="1" applyProtection="1">
      <alignment horizontal="center"/>
      <protection locked="0"/>
    </xf>
    <xf numFmtId="171" fontId="16" fillId="47" borderId="0" xfId="0" applyNumberFormat="1" applyFont="1" applyFill="1" applyAlignment="1" applyProtection="1">
      <alignment horizontal="center"/>
      <protection locked="0"/>
    </xf>
    <xf numFmtId="175" fontId="70" fillId="0" borderId="0" xfId="0" applyFont="1" applyProtection="1">
      <protection locked="0"/>
    </xf>
    <xf numFmtId="175" fontId="70" fillId="0" borderId="0" xfId="0" applyFont="1"/>
    <xf numFmtId="175" fontId="70" fillId="0" borderId="0" xfId="0" applyFont="1" applyAlignment="1">
      <alignment vertical="top"/>
    </xf>
    <xf numFmtId="175" fontId="72" fillId="0" borderId="0" xfId="0" applyFont="1" applyAlignment="1" applyProtection="1">
      <alignment horizontal="left"/>
      <protection locked="0"/>
    </xf>
    <xf numFmtId="175" fontId="72" fillId="0" borderId="0" xfId="0" applyFont="1" applyAlignment="1">
      <alignment horizontal="left" vertical="top"/>
    </xf>
    <xf numFmtId="4" fontId="15" fillId="0" borderId="0" xfId="66" applyNumberFormat="1" applyProtection="1">
      <protection locked="0"/>
    </xf>
    <xf numFmtId="175" fontId="67" fillId="0" borderId="0" xfId="66" applyFont="1" applyAlignment="1">
      <alignment wrapText="1"/>
    </xf>
    <xf numFmtId="164" fontId="67" fillId="43" borderId="0" xfId="66" applyNumberFormat="1" applyFont="1" applyFill="1"/>
    <xf numFmtId="164" fontId="67" fillId="0" borderId="0" xfId="66" applyNumberFormat="1" applyFont="1" applyAlignment="1">
      <alignment horizontal="right"/>
    </xf>
    <xf numFmtId="165" fontId="15" fillId="0" borderId="24" xfId="0" applyNumberFormat="1" applyFont="1" applyBorder="1" applyAlignment="1">
      <alignment horizontal="right"/>
    </xf>
    <xf numFmtId="165" fontId="15" fillId="0" borderId="30" xfId="0" applyNumberFormat="1" applyFont="1" applyBorder="1" applyAlignment="1">
      <alignment horizontal="right"/>
    </xf>
    <xf numFmtId="39" fontId="16" fillId="0" borderId="11" xfId="0" applyNumberFormat="1" applyFont="1" applyBorder="1" applyAlignment="1">
      <alignment horizontal="center"/>
    </xf>
    <xf numFmtId="6" fontId="15" fillId="0" borderId="0" xfId="66" applyNumberFormat="1" applyAlignment="1" applyProtection="1">
      <alignment horizontal="center"/>
      <protection locked="0"/>
    </xf>
    <xf numFmtId="40" fontId="15" fillId="0" borderId="24" xfId="0" applyNumberFormat="1" applyFont="1" applyBorder="1" applyAlignment="1">
      <alignment horizontal="right"/>
    </xf>
    <xf numFmtId="40" fontId="15" fillId="0" borderId="25" xfId="0" applyNumberFormat="1" applyFont="1" applyBorder="1" applyAlignment="1">
      <alignment horizontal="right"/>
    </xf>
    <xf numFmtId="175" fontId="16" fillId="0" borderId="14" xfId="66" applyFont="1" applyBorder="1" applyAlignment="1" applyProtection="1">
      <alignment horizontal="right"/>
      <protection locked="0"/>
    </xf>
    <xf numFmtId="175" fontId="16" fillId="0" borderId="14" xfId="66" quotePrefix="1" applyFont="1" applyBorder="1" applyAlignment="1" applyProtection="1">
      <alignment horizontal="right"/>
      <protection locked="0"/>
    </xf>
    <xf numFmtId="6" fontId="52" fillId="0" borderId="0" xfId="520" applyNumberFormat="1" applyFont="1"/>
    <xf numFmtId="175" fontId="70" fillId="47" borderId="0" xfId="66" applyFont="1" applyFill="1" applyProtection="1">
      <protection locked="0"/>
    </xf>
    <xf numFmtId="0" fontId="52" fillId="0" borderId="0" xfId="520" applyFont="1"/>
    <xf numFmtId="0" fontId="15" fillId="0" borderId="0" xfId="522"/>
    <xf numFmtId="0" fontId="52" fillId="47" borderId="0" xfId="520" applyFont="1" applyFill="1"/>
    <xf numFmtId="168" fontId="52" fillId="0" borderId="0" xfId="520" applyNumberFormat="1" applyFont="1"/>
    <xf numFmtId="4" fontId="15" fillId="0" borderId="30" xfId="0" applyNumberFormat="1" applyFont="1" applyBorder="1" applyAlignment="1">
      <alignment horizontal="right"/>
    </xf>
    <xf numFmtId="175" fontId="36" fillId="0" borderId="0" xfId="67" applyFont="1"/>
    <xf numFmtId="3" fontId="55" fillId="47" borderId="21" xfId="0" applyNumberFormat="1" applyFont="1" applyFill="1" applyBorder="1" applyAlignment="1">
      <alignment horizontal="center"/>
    </xf>
    <xf numFmtId="175" fontId="15" fillId="47" borderId="17" xfId="0" applyFont="1" applyFill="1" applyBorder="1" applyProtection="1">
      <protection locked="0"/>
    </xf>
    <xf numFmtId="175" fontId="15" fillId="47" borderId="13" xfId="0" applyFont="1" applyFill="1" applyBorder="1" applyProtection="1">
      <protection locked="0"/>
    </xf>
    <xf numFmtId="175" fontId="16" fillId="0" borderId="34" xfId="0" applyFont="1" applyBorder="1" applyAlignment="1">
      <alignment horizontal="center"/>
    </xf>
    <xf numFmtId="3" fontId="15" fillId="0" borderId="11" xfId="0" applyNumberFormat="1" applyFont="1" applyBorder="1" applyAlignment="1">
      <alignment horizontal="left" vertical="center" wrapText="1"/>
    </xf>
    <xf numFmtId="175" fontId="36" fillId="0" borderId="11" xfId="0" applyFont="1" applyBorder="1" applyAlignment="1" applyProtection="1">
      <alignment horizontal="left"/>
      <protection locked="0"/>
    </xf>
    <xf numFmtId="175" fontId="36" fillId="47" borderId="11" xfId="0" applyFont="1" applyFill="1" applyBorder="1" applyAlignment="1" applyProtection="1">
      <alignment horizontal="left"/>
      <protection locked="0"/>
    </xf>
    <xf numFmtId="44" fontId="68" fillId="0" borderId="0" xfId="50" applyFont="1"/>
    <xf numFmtId="0" fontId="75" fillId="0" borderId="0" xfId="520" applyFont="1"/>
    <xf numFmtId="0" fontId="75" fillId="0" borderId="27" xfId="520" applyFont="1" applyBorder="1" applyAlignment="1">
      <alignment horizontal="center" vertical="center"/>
    </xf>
    <xf numFmtId="0" fontId="76" fillId="0" borderId="14" xfId="520" applyFont="1" applyBorder="1" applyAlignment="1">
      <alignment horizontal="center" vertical="center" wrapText="1"/>
    </xf>
    <xf numFmtId="6" fontId="75" fillId="0" borderId="0" xfId="520" applyNumberFormat="1" applyFont="1"/>
    <xf numFmtId="6" fontId="75" fillId="0" borderId="14" xfId="520" applyNumberFormat="1" applyFont="1" applyBorder="1"/>
    <xf numFmtId="0" fontId="75" fillId="46" borderId="0" xfId="520" applyFont="1" applyFill="1"/>
    <xf numFmtId="0" fontId="78" fillId="0" borderId="0" xfId="520" applyFont="1"/>
    <xf numFmtId="6" fontId="76" fillId="0" borderId="0" xfId="520" applyNumberFormat="1" applyFont="1"/>
    <xf numFmtId="165" fontId="17" fillId="47" borderId="0" xfId="0" applyNumberFormat="1" applyFont="1" applyFill="1" applyProtection="1">
      <protection locked="0"/>
    </xf>
    <xf numFmtId="6" fontId="75" fillId="0" borderId="41" xfId="520" applyNumberFormat="1" applyFont="1" applyBorder="1"/>
    <xf numFmtId="6" fontId="75" fillId="0" borderId="16" xfId="520" applyNumberFormat="1" applyFont="1" applyBorder="1"/>
    <xf numFmtId="0" fontId="75" fillId="0" borderId="17" xfId="520" applyFont="1" applyBorder="1"/>
    <xf numFmtId="0" fontId="76" fillId="0" borderId="22" xfId="520" applyFont="1" applyBorder="1"/>
    <xf numFmtId="175" fontId="15" fillId="0" borderId="55" xfId="66" applyBorder="1" applyProtection="1">
      <protection locked="0"/>
    </xf>
    <xf numFmtId="175" fontId="15" fillId="0" borderId="56" xfId="66" applyBorder="1" applyProtection="1">
      <protection locked="0"/>
    </xf>
    <xf numFmtId="175" fontId="15" fillId="0" borderId="57" xfId="66" applyBorder="1" applyProtection="1">
      <protection locked="0"/>
    </xf>
    <xf numFmtId="175" fontId="17" fillId="0" borderId="20" xfId="0" applyFont="1" applyBorder="1" applyAlignment="1" applyProtection="1">
      <alignment horizontal="left"/>
      <protection locked="0"/>
    </xf>
    <xf numFmtId="175" fontId="36" fillId="0" borderId="15" xfId="0" applyFont="1" applyBorder="1" applyAlignment="1" applyProtection="1">
      <alignment horizontal="center" wrapText="1"/>
      <protection locked="0"/>
    </xf>
    <xf numFmtId="166" fontId="17" fillId="0" borderId="11" xfId="46" applyNumberFormat="1" applyFont="1" applyBorder="1" applyAlignment="1" applyProtection="1">
      <alignment horizontal="right"/>
      <protection locked="0"/>
    </xf>
    <xf numFmtId="175" fontId="16" fillId="0" borderId="58" xfId="66" applyFont="1" applyBorder="1" applyProtection="1">
      <protection locked="0"/>
    </xf>
    <xf numFmtId="175" fontId="16" fillId="0" borderId="34" xfId="66" applyFont="1" applyBorder="1" applyProtection="1">
      <protection locked="0"/>
    </xf>
    <xf numFmtId="175" fontId="18" fillId="0" borderId="17" xfId="66" applyFont="1" applyBorder="1" applyAlignment="1">
      <alignment wrapText="1"/>
    </xf>
    <xf numFmtId="175" fontId="15" fillId="0" borderId="17" xfId="66" applyBorder="1" applyAlignment="1">
      <alignment horizontal="left" indent="1"/>
    </xf>
    <xf numFmtId="175" fontId="15" fillId="47" borderId="17" xfId="66" applyFill="1" applyBorder="1" applyAlignment="1">
      <alignment horizontal="left" indent="1"/>
    </xf>
    <xf numFmtId="175" fontId="16" fillId="0" borderId="20" xfId="66" applyFont="1" applyBorder="1"/>
    <xf numFmtId="175" fontId="16" fillId="0" borderId="17" xfId="66" applyFont="1" applyBorder="1"/>
    <xf numFmtId="175" fontId="15" fillId="0" borderId="17" xfId="66" quotePrefix="1" applyBorder="1" applyAlignment="1">
      <alignment horizontal="left" indent="1"/>
    </xf>
    <xf numFmtId="175" fontId="16" fillId="0" borderId="20" xfId="66" applyFont="1" applyBorder="1" applyAlignment="1">
      <alignment wrapText="1"/>
    </xf>
    <xf numFmtId="175" fontId="16" fillId="0" borderId="22" xfId="66" applyFont="1" applyBorder="1" applyAlignment="1" applyProtection="1">
      <alignment wrapText="1"/>
      <protection locked="0"/>
    </xf>
    <xf numFmtId="0" fontId="77" fillId="49" borderId="18" xfId="520" applyFont="1" applyFill="1" applyBorder="1"/>
    <xf numFmtId="175" fontId="67" fillId="47" borderId="40" xfId="66" applyFont="1" applyFill="1" applyBorder="1" applyAlignment="1">
      <alignment horizontal="center"/>
    </xf>
    <xf numFmtId="175" fontId="68" fillId="0" borderId="40" xfId="66" applyFont="1" applyBorder="1"/>
    <xf numFmtId="175" fontId="68" fillId="47" borderId="40" xfId="66" applyFont="1" applyFill="1" applyBorder="1"/>
    <xf numFmtId="175" fontId="15" fillId="47" borderId="13" xfId="66" applyFill="1" applyBorder="1" applyProtection="1">
      <protection locked="0"/>
    </xf>
    <xf numFmtId="6" fontId="75" fillId="0" borderId="13" xfId="520" applyNumberFormat="1" applyFont="1" applyBorder="1"/>
    <xf numFmtId="175" fontId="63" fillId="0" borderId="0" xfId="66" applyFont="1" applyProtection="1">
      <protection locked="0"/>
    </xf>
    <xf numFmtId="175" fontId="15" fillId="0" borderId="17" xfId="66" applyBorder="1"/>
    <xf numFmtId="175" fontId="15" fillId="47" borderId="17" xfId="0" applyFont="1" applyFill="1" applyBorder="1" applyAlignment="1">
      <alignment horizontal="left"/>
    </xf>
    <xf numFmtId="175" fontId="67" fillId="0" borderId="52" xfId="66" applyFont="1" applyBorder="1"/>
    <xf numFmtId="175" fontId="16" fillId="0" borderId="54" xfId="66" applyFont="1" applyBorder="1" applyAlignment="1">
      <alignment horizontal="center"/>
    </xf>
    <xf numFmtId="175" fontId="16" fillId="0" borderId="54" xfId="66" applyFont="1" applyBorder="1" applyAlignment="1">
      <alignment horizontal="left"/>
    </xf>
    <xf numFmtId="175" fontId="15" fillId="0" borderId="54" xfId="66" applyBorder="1"/>
    <xf numFmtId="175" fontId="16" fillId="0" borderId="54" xfId="66" applyFont="1" applyBorder="1"/>
    <xf numFmtId="175" fontId="16" fillId="0" borderId="54" xfId="66" applyFont="1" applyBorder="1" applyAlignment="1">
      <alignment horizontal="left" indent="1"/>
    </xf>
    <xf numFmtId="175" fontId="16" fillId="0" borderId="54" xfId="66" applyFont="1" applyBorder="1" applyAlignment="1">
      <alignment horizontal="center" wrapText="1"/>
    </xf>
    <xf numFmtId="175" fontId="16" fillId="0" borderId="61" xfId="66" applyFont="1" applyBorder="1" applyAlignment="1">
      <alignment wrapText="1"/>
    </xf>
    <xf numFmtId="175" fontId="64" fillId="0" borderId="0" xfId="66" applyFont="1" applyProtection="1">
      <protection locked="0"/>
    </xf>
    <xf numFmtId="43" fontId="15" fillId="50" borderId="27" xfId="46" quotePrefix="1" applyFill="1" applyBorder="1" applyAlignment="1">
      <alignment horizontal="left"/>
    </xf>
    <xf numFmtId="43" fontId="15" fillId="50" borderId="48" xfId="46" quotePrefix="1" applyFill="1" applyBorder="1" applyAlignment="1">
      <alignment horizontal="left"/>
    </xf>
    <xf numFmtId="43" fontId="15" fillId="50" borderId="0" xfId="46" quotePrefix="1" applyFill="1" applyAlignment="1">
      <alignment horizontal="left"/>
    </xf>
    <xf numFmtId="43" fontId="15" fillId="50" borderId="41" xfId="46" quotePrefix="1" applyFill="1" applyBorder="1" applyAlignment="1">
      <alignment horizontal="left"/>
    </xf>
    <xf numFmtId="43" fontId="15" fillId="50" borderId="14" xfId="46" quotePrefix="1" applyFill="1" applyBorder="1" applyAlignment="1">
      <alignment horizontal="left"/>
    </xf>
    <xf numFmtId="43" fontId="15" fillId="50" borderId="16" xfId="46" quotePrefix="1" applyFill="1" applyBorder="1" applyAlignment="1">
      <alignment horizontal="left"/>
    </xf>
    <xf numFmtId="43" fontId="15" fillId="50" borderId="0" xfId="46" quotePrefix="1" applyFill="1" applyAlignment="1">
      <alignment horizontal="center"/>
    </xf>
    <xf numFmtId="3" fontId="16" fillId="47" borderId="18" xfId="0" applyNumberFormat="1" applyFont="1" applyFill="1" applyBorder="1" applyAlignment="1">
      <alignment horizontal="center" wrapText="1"/>
    </xf>
    <xf numFmtId="175" fontId="16" fillId="47" borderId="26" xfId="0" applyFont="1" applyFill="1" applyBorder="1" applyAlignment="1">
      <alignment horizontal="center"/>
    </xf>
    <xf numFmtId="175" fontId="82" fillId="0" borderId="0" xfId="0" applyFont="1" applyAlignment="1" applyProtection="1">
      <alignment vertical="center"/>
      <protection locked="0"/>
    </xf>
    <xf numFmtId="175" fontId="83" fillId="0" borderId="0" xfId="0" applyFont="1" applyAlignment="1" applyProtection="1">
      <alignment vertical="center"/>
      <protection locked="0"/>
    </xf>
    <xf numFmtId="175" fontId="36" fillId="47" borderId="0" xfId="0" applyFont="1" applyFill="1" applyProtection="1">
      <protection locked="0"/>
    </xf>
    <xf numFmtId="43" fontId="15" fillId="0" borderId="0" xfId="46" applyProtection="1">
      <protection locked="0"/>
    </xf>
    <xf numFmtId="2" fontId="17" fillId="0" borderId="0" xfId="0" applyNumberFormat="1" applyFont="1" applyProtection="1">
      <protection locked="0"/>
    </xf>
    <xf numFmtId="0" fontId="17" fillId="0" borderId="11" xfId="67" applyNumberFormat="1" applyBorder="1" applyAlignment="1">
      <alignment horizontal="center" vertical="center" wrapText="1"/>
    </xf>
    <xf numFmtId="6" fontId="17" fillId="0" borderId="11" xfId="67" applyNumberFormat="1" applyBorder="1" applyAlignment="1">
      <alignment horizontal="center" vertical="center" wrapText="1"/>
    </xf>
    <xf numFmtId="175" fontId="17" fillId="0" borderId="11" xfId="67" applyBorder="1" applyAlignment="1">
      <alignment horizontal="left" vertical="center" wrapText="1"/>
    </xf>
    <xf numFmtId="14" fontId="17" fillId="0" borderId="11" xfId="67" applyNumberFormat="1" applyBorder="1" applyAlignment="1">
      <alignment horizontal="center" vertical="center" wrapText="1"/>
    </xf>
    <xf numFmtId="175" fontId="36" fillId="0" borderId="0" xfId="67" applyFont="1" applyAlignment="1">
      <alignment horizontal="center" vertical="center"/>
    </xf>
    <xf numFmtId="0" fontId="17" fillId="0" borderId="11" xfId="67" applyNumberFormat="1" applyBorder="1" applyAlignment="1" applyProtection="1">
      <alignment horizontal="center" vertical="center"/>
      <protection locked="0"/>
    </xf>
    <xf numFmtId="6" fontId="17" fillId="0" borderId="11" xfId="67" applyNumberFormat="1" applyBorder="1" applyAlignment="1" applyProtection="1">
      <alignment horizontal="center" vertical="center"/>
      <protection locked="0"/>
    </xf>
    <xf numFmtId="175" fontId="17" fillId="0" borderId="0" xfId="67" applyAlignment="1" applyProtection="1">
      <alignment vertical="center"/>
      <protection locked="0"/>
    </xf>
    <xf numFmtId="175" fontId="17" fillId="0" borderId="11" xfId="67" applyBorder="1" applyAlignment="1">
      <alignment horizontal="center" vertical="center" wrapText="1"/>
    </xf>
    <xf numFmtId="175" fontId="17" fillId="0" borderId="11" xfId="67" applyBorder="1" applyAlignment="1" applyProtection="1">
      <alignment horizontal="center" vertical="center" wrapText="1"/>
      <protection locked="0"/>
    </xf>
    <xf numFmtId="175" fontId="17" fillId="0" borderId="0" xfId="0" applyFont="1" applyAlignment="1">
      <alignment horizontal="center"/>
    </xf>
    <xf numFmtId="172" fontId="15" fillId="0" borderId="0" xfId="0" applyNumberFormat="1" applyFont="1"/>
    <xf numFmtId="175" fontId="41" fillId="0" borderId="0" xfId="0" applyFont="1"/>
    <xf numFmtId="3" fontId="41" fillId="0" borderId="0" xfId="0" applyNumberFormat="1" applyFont="1"/>
    <xf numFmtId="175" fontId="17" fillId="47" borderId="0" xfId="0" applyFont="1" applyFill="1" applyAlignment="1">
      <alignment horizontal="center"/>
    </xf>
    <xf numFmtId="0" fontId="15" fillId="0" borderId="0" xfId="66" applyNumberFormat="1"/>
    <xf numFmtId="175" fontId="15" fillId="47" borderId="0" xfId="66" applyFont="1" applyFill="1" applyAlignment="1" applyProtection="1">
      <alignment horizontal="center"/>
      <protection locked="0"/>
    </xf>
    <xf numFmtId="175" fontId="15" fillId="47" borderId="0" xfId="66" applyFont="1" applyFill="1" applyProtection="1">
      <protection locked="0"/>
    </xf>
    <xf numFmtId="171" fontId="15" fillId="47" borderId="0" xfId="66" applyNumberFormat="1" applyFont="1" applyFill="1" applyAlignment="1" applyProtection="1">
      <alignment horizontal="center"/>
      <protection locked="0"/>
    </xf>
    <xf numFmtId="175" fontId="15" fillId="0" borderId="0" xfId="66" applyBorder="1"/>
    <xf numFmtId="175" fontId="16" fillId="44" borderId="53" xfId="66" applyFont="1" applyFill="1" applyBorder="1" applyAlignment="1">
      <alignment horizontal="center"/>
    </xf>
    <xf numFmtId="175" fontId="16" fillId="0" borderId="53" xfId="0" applyFont="1" applyBorder="1" applyAlignment="1">
      <alignment wrapText="1"/>
    </xf>
    <xf numFmtId="175" fontId="16" fillId="0" borderId="60" xfId="66" applyFont="1" applyBorder="1" applyAlignment="1">
      <alignment horizontal="left"/>
    </xf>
    <xf numFmtId="175" fontId="16" fillId="0" borderId="20" xfId="66" applyFont="1" applyBorder="1" applyAlignment="1" applyProtection="1">
      <alignment horizontal="center"/>
      <protection locked="0"/>
    </xf>
    <xf numFmtId="6" fontId="75" fillId="0" borderId="0" xfId="520" applyNumberFormat="1" applyFont="1" applyBorder="1"/>
    <xf numFmtId="0" fontId="75" fillId="0" borderId="0" xfId="520" applyFont="1" applyBorder="1"/>
    <xf numFmtId="0" fontId="76" fillId="0" borderId="21" xfId="520" applyFont="1" applyBorder="1"/>
    <xf numFmtId="164" fontId="68" fillId="0" borderId="27" xfId="66" applyNumberFormat="1" applyFont="1" applyBorder="1"/>
    <xf numFmtId="175" fontId="80" fillId="0" borderId="0" xfId="0" quotePrefix="1" applyFont="1" applyAlignment="1">
      <alignment vertical="center"/>
    </xf>
    <xf numFmtId="175" fontId="80" fillId="0" borderId="0" xfId="0" quotePrefix="1" applyFont="1" applyProtection="1">
      <protection locked="0"/>
    </xf>
    <xf numFmtId="175" fontId="84" fillId="47" borderId="0" xfId="0" quotePrefix="1" applyFont="1" applyFill="1" applyProtection="1">
      <protection locked="0"/>
    </xf>
    <xf numFmtId="175" fontId="16" fillId="0" borderId="20" xfId="66" applyFont="1" applyBorder="1" applyAlignment="1" applyProtection="1">
      <alignment horizontal="right"/>
      <protection locked="0"/>
    </xf>
    <xf numFmtId="6" fontId="15" fillId="0" borderId="22" xfId="66" applyNumberFormat="1" applyBorder="1" applyAlignment="1">
      <alignment horizontal="right"/>
    </xf>
    <xf numFmtId="0" fontId="16" fillId="0" borderId="0" xfId="522" applyFont="1" applyAlignment="1" applyProtection="1">
      <alignment horizontal="center"/>
      <protection locked="0"/>
    </xf>
    <xf numFmtId="17" fontId="16" fillId="47" borderId="0" xfId="522" quotePrefix="1" applyNumberFormat="1" applyFont="1" applyFill="1" applyAlignment="1" applyProtection="1">
      <alignment horizontal="center"/>
      <protection locked="0"/>
    </xf>
    <xf numFmtId="0" fontId="56" fillId="49" borderId="18" xfId="520" applyFont="1" applyFill="1" applyBorder="1"/>
    <xf numFmtId="0" fontId="16" fillId="0" borderId="18" xfId="520" applyFont="1" applyBorder="1" applyAlignment="1">
      <alignment horizontal="center"/>
    </xf>
    <xf numFmtId="0" fontId="16" fillId="0" borderId="14" xfId="520" applyFont="1" applyBorder="1" applyAlignment="1">
      <alignment horizontal="center"/>
    </xf>
    <xf numFmtId="0" fontId="16" fillId="0" borderId="21" xfId="520" applyFont="1" applyBorder="1" applyAlignment="1">
      <alignment wrapText="1"/>
    </xf>
    <xf numFmtId="0" fontId="15" fillId="0" borderId="17" xfId="520" applyFont="1" applyBorder="1" applyAlignment="1">
      <alignment horizontal="left" indent="2"/>
    </xf>
    <xf numFmtId="0" fontId="15" fillId="0" borderId="17" xfId="520" applyFont="1" applyBorder="1" applyAlignment="1">
      <alignment horizontal="left" wrapText="1" indent="2"/>
    </xf>
    <xf numFmtId="0" fontId="15" fillId="47" borderId="17" xfId="520" applyFont="1" applyFill="1" applyBorder="1" applyAlignment="1">
      <alignment horizontal="left" wrapText="1" indent="2"/>
    </xf>
    <xf numFmtId="0" fontId="87" fillId="0" borderId="17" xfId="520" applyFont="1" applyBorder="1"/>
    <xf numFmtId="0" fontId="56" fillId="49" borderId="20" xfId="520" applyFont="1" applyFill="1" applyBorder="1"/>
    <xf numFmtId="0" fontId="56" fillId="0" borderId="21" xfId="520" applyFont="1" applyBorder="1"/>
    <xf numFmtId="3" fontId="47" fillId="0" borderId="17" xfId="0" applyNumberFormat="1" applyFont="1" applyFill="1" applyBorder="1" applyAlignment="1" applyProtection="1">
      <alignment horizontal="center"/>
      <protection locked="0"/>
    </xf>
    <xf numFmtId="175" fontId="16" fillId="47" borderId="0" xfId="0" applyFont="1" applyFill="1" applyAlignment="1" applyProtection="1">
      <alignment wrapText="1"/>
      <protection locked="0"/>
    </xf>
    <xf numFmtId="175" fontId="16" fillId="0" borderId="11" xfId="0" applyFont="1" applyBorder="1" applyAlignment="1">
      <alignment horizontal="center"/>
    </xf>
    <xf numFmtId="175" fontId="0" fillId="0" borderId="48" xfId="0" applyBorder="1"/>
    <xf numFmtId="2" fontId="41" fillId="0" borderId="0" xfId="0" applyNumberFormat="1" applyFont="1" applyProtection="1">
      <protection locked="0"/>
    </xf>
    <xf numFmtId="175" fontId="15" fillId="0" borderId="0" xfId="0" applyFont="1" applyFill="1" applyBorder="1"/>
    <xf numFmtId="175" fontId="15" fillId="0" borderId="0" xfId="0" applyFont="1" applyFill="1" applyBorder="1" applyProtection="1">
      <protection locked="0"/>
    </xf>
    <xf numFmtId="2" fontId="15" fillId="0" borderId="0" xfId="0" applyNumberFormat="1" applyFont="1" applyFill="1" applyBorder="1" applyProtection="1">
      <protection locked="0"/>
    </xf>
    <xf numFmtId="1" fontId="15" fillId="0" borderId="0" xfId="0" applyNumberFormat="1" applyFont="1" applyFill="1" applyBorder="1" applyProtection="1">
      <protection locked="0"/>
    </xf>
    <xf numFmtId="1" fontId="15" fillId="0" borderId="67" xfId="0" applyNumberFormat="1" applyFont="1" applyFill="1" applyBorder="1" applyProtection="1">
      <protection locked="0"/>
    </xf>
    <xf numFmtId="175" fontId="15" fillId="0" borderId="0" xfId="0" applyFont="1" applyAlignment="1" applyProtection="1">
      <alignment vertical="top"/>
      <protection locked="0"/>
    </xf>
    <xf numFmtId="175" fontId="15" fillId="0" borderId="0" xfId="0" applyFont="1" applyFill="1" applyAlignment="1" applyProtection="1">
      <alignment vertical="top"/>
      <protection locked="0"/>
    </xf>
    <xf numFmtId="175" fontId="88" fillId="0" borderId="0" xfId="0" applyFont="1" applyFill="1" applyBorder="1" applyAlignment="1">
      <alignment horizontal="center" vertical="top"/>
    </xf>
    <xf numFmtId="175" fontId="88" fillId="0" borderId="66" xfId="0" applyFont="1" applyFill="1" applyBorder="1" applyAlignment="1">
      <alignment horizontal="center" vertical="top"/>
    </xf>
    <xf numFmtId="43" fontId="88" fillId="0" borderId="18" xfId="0" applyNumberFormat="1" applyFont="1" applyFill="1" applyBorder="1" applyAlignment="1" applyProtection="1">
      <alignment horizontal="center" vertical="top" wrapText="1"/>
      <protection locked="0"/>
    </xf>
    <xf numFmtId="43" fontId="88" fillId="0" borderId="11" xfId="0" applyNumberFormat="1" applyFont="1" applyFill="1" applyBorder="1" applyAlignment="1" applyProtection="1">
      <alignment horizontal="center" vertical="top" wrapText="1"/>
      <protection locked="0"/>
    </xf>
    <xf numFmtId="1" fontId="58" fillId="0" borderId="67" xfId="0" applyNumberFormat="1" applyFont="1" applyFill="1" applyBorder="1"/>
    <xf numFmtId="175" fontId="58" fillId="0" borderId="68" xfId="0" applyFont="1" applyFill="1" applyBorder="1"/>
    <xf numFmtId="175" fontId="58" fillId="0" borderId="68" xfId="0" applyFont="1" applyFill="1" applyBorder="1" applyProtection="1">
      <protection locked="0"/>
    </xf>
    <xf numFmtId="176" fontId="15" fillId="0" borderId="0" xfId="0" applyNumberFormat="1" applyFont="1" applyFill="1" applyBorder="1" applyProtection="1">
      <protection locked="0"/>
    </xf>
    <xf numFmtId="0" fontId="15" fillId="0" borderId="0" xfId="0" applyNumberFormat="1" applyFont="1" applyFill="1" applyAlignment="1" applyProtection="1">
      <alignment vertical="top"/>
      <protection locked="0"/>
    </xf>
    <xf numFmtId="0" fontId="3" fillId="0" borderId="0" xfId="888"/>
    <xf numFmtId="0" fontId="16" fillId="0" borderId="14" xfId="520" quotePrefix="1" applyNumberFormat="1" applyFont="1" applyBorder="1" applyAlignment="1">
      <alignment horizontal="center"/>
    </xf>
    <xf numFmtId="1" fontId="15" fillId="0" borderId="0" xfId="0" applyNumberFormat="1" applyFont="1" applyProtection="1">
      <protection locked="0"/>
    </xf>
    <xf numFmtId="175" fontId="68" fillId="47" borderId="40" xfId="0" applyFont="1" applyFill="1" applyBorder="1"/>
    <xf numFmtId="175" fontId="68" fillId="0" borderId="0" xfId="0" applyFont="1" applyFill="1" applyBorder="1" applyAlignment="1">
      <alignment horizontal="left"/>
    </xf>
    <xf numFmtId="175" fontId="67" fillId="0" borderId="70" xfId="66" applyFont="1" applyBorder="1" applyAlignment="1">
      <alignment horizontal="left" wrapText="1" indent="1"/>
    </xf>
    <xf numFmtId="175" fontId="45" fillId="0" borderId="0" xfId="66" applyFont="1" applyFill="1"/>
    <xf numFmtId="3" fontId="15" fillId="47" borderId="41" xfId="0" applyNumberFormat="1" applyFont="1" applyFill="1" applyBorder="1" applyAlignment="1" applyProtection="1">
      <alignment wrapText="1"/>
      <protection locked="0"/>
    </xf>
    <xf numFmtId="165" fontId="15" fillId="47" borderId="0" xfId="0" applyNumberFormat="1" applyFont="1" applyFill="1" applyProtection="1">
      <protection locked="0"/>
    </xf>
    <xf numFmtId="172" fontId="17" fillId="47" borderId="11" xfId="46" applyNumberFormat="1" applyFont="1" applyFill="1" applyBorder="1" applyAlignment="1">
      <alignment horizontal="right"/>
    </xf>
    <xf numFmtId="3" fontId="15" fillId="0" borderId="71" xfId="0" applyNumberFormat="1" applyFont="1" applyBorder="1" applyAlignment="1">
      <alignment horizontal="left" vertical="center" wrapText="1"/>
    </xf>
    <xf numFmtId="175" fontId="0" fillId="0" borderId="0" xfId="0" applyBorder="1"/>
    <xf numFmtId="175" fontId="70" fillId="0" borderId="0" xfId="66" applyFont="1" applyAlignment="1">
      <alignment wrapText="1"/>
    </xf>
    <xf numFmtId="164" fontId="16" fillId="0" borderId="0" xfId="66" applyNumberFormat="1" applyFont="1" applyBorder="1"/>
    <xf numFmtId="175" fontId="70" fillId="0" borderId="0" xfId="66" applyFont="1" applyBorder="1" applyAlignment="1">
      <alignment wrapText="1"/>
    </xf>
    <xf numFmtId="3" fontId="15" fillId="0" borderId="0" xfId="0" applyNumberFormat="1" applyFont="1" applyBorder="1" applyAlignment="1">
      <alignment horizontal="left" vertical="center" wrapText="1"/>
    </xf>
    <xf numFmtId="175" fontId="36" fillId="0" borderId="13" xfId="0" applyFont="1" applyBorder="1" applyAlignment="1">
      <alignment horizontal="center" wrapText="1"/>
    </xf>
    <xf numFmtId="175" fontId="36" fillId="0" borderId="15" xfId="0" applyFont="1" applyBorder="1" applyAlignment="1">
      <alignment horizontal="center" wrapText="1"/>
    </xf>
    <xf numFmtId="175" fontId="16" fillId="0" borderId="11" xfId="0" quotePrefix="1" applyFont="1" applyBorder="1" applyAlignment="1">
      <alignment horizontal="center"/>
    </xf>
    <xf numFmtId="175" fontId="15" fillId="0" borderId="11" xfId="0" applyFont="1" applyBorder="1" applyAlignment="1">
      <alignment vertical="center"/>
    </xf>
    <xf numFmtId="2" fontId="15" fillId="0" borderId="19" xfId="0" applyNumberFormat="1" applyFont="1" applyBorder="1" applyAlignment="1">
      <alignment vertical="center"/>
    </xf>
    <xf numFmtId="3" fontId="15" fillId="52" borderId="19" xfId="0" applyNumberFormat="1" applyFont="1" applyFill="1" applyBorder="1" applyAlignment="1">
      <alignment horizontal="center" vertical="center"/>
    </xf>
    <xf numFmtId="175" fontId="15" fillId="0" borderId="34" xfId="0" applyFont="1" applyBorder="1" applyAlignment="1">
      <alignment vertical="center"/>
    </xf>
    <xf numFmtId="2" fontId="15" fillId="0" borderId="16" xfId="0" applyNumberFormat="1" applyFont="1" applyBorder="1" applyAlignment="1">
      <alignment vertical="center"/>
    </xf>
    <xf numFmtId="3" fontId="15" fillId="52" borderId="16" xfId="0" applyNumberFormat="1" applyFont="1" applyFill="1" applyBorder="1" applyAlignment="1">
      <alignment horizontal="center" vertical="center"/>
    </xf>
    <xf numFmtId="3" fontId="15" fillId="0" borderId="16" xfId="0" applyNumberFormat="1" applyFont="1" applyBorder="1" applyAlignment="1">
      <alignment horizontal="center" vertical="center"/>
    </xf>
    <xf numFmtId="2" fontId="15" fillId="52" borderId="16" xfId="0" applyNumberFormat="1" applyFont="1" applyFill="1" applyBorder="1" applyAlignment="1">
      <alignment vertical="center"/>
    </xf>
    <xf numFmtId="3" fontId="15" fillId="0" borderId="19" xfId="0" applyNumberFormat="1" applyFont="1" applyBorder="1" applyAlignment="1">
      <alignment horizontal="center" vertical="center"/>
    </xf>
    <xf numFmtId="2" fontId="15" fillId="0" borderId="41" xfId="0" applyNumberFormat="1" applyFont="1" applyBorder="1" applyAlignment="1">
      <alignment vertical="center"/>
    </xf>
    <xf numFmtId="175" fontId="15" fillId="0" borderId="0" xfId="0" applyFont="1" applyBorder="1" applyAlignment="1"/>
    <xf numFmtId="175" fontId="17" fillId="47" borderId="11" xfId="0" applyFont="1" applyFill="1" applyBorder="1" applyAlignment="1" applyProtection="1">
      <alignment horizontal="left"/>
      <protection locked="0"/>
    </xf>
    <xf numFmtId="175" fontId="71" fillId="0" borderId="0" xfId="67" applyFont="1" applyProtection="1">
      <protection locked="0"/>
    </xf>
    <xf numFmtId="175" fontId="71" fillId="0" borderId="0" xfId="67" quotePrefix="1" applyFont="1" applyProtection="1">
      <protection locked="0"/>
    </xf>
    <xf numFmtId="175" fontId="72" fillId="0" borderId="0" xfId="0" applyFont="1" applyAlignment="1">
      <alignment vertical="center"/>
    </xf>
    <xf numFmtId="175" fontId="70" fillId="47" borderId="0" xfId="782" applyFont="1" applyFill="1" applyAlignment="1">
      <alignment vertical="center"/>
    </xf>
    <xf numFmtId="175" fontId="63" fillId="0" borderId="0" xfId="66" applyFont="1"/>
    <xf numFmtId="175" fontId="63" fillId="0" borderId="0" xfId="0" applyFont="1" applyAlignment="1">
      <alignment vertical="center"/>
    </xf>
    <xf numFmtId="0" fontId="72" fillId="0" borderId="0" xfId="520" applyFont="1"/>
    <xf numFmtId="175" fontId="15" fillId="0" borderId="0" xfId="66" applyBorder="1" applyAlignment="1">
      <alignment horizontal="center"/>
    </xf>
    <xf numFmtId="175" fontId="67" fillId="43" borderId="18" xfId="66" applyFont="1" applyFill="1" applyBorder="1" applyAlignment="1">
      <alignment horizontal="right"/>
    </xf>
    <xf numFmtId="44" fontId="67" fillId="43" borderId="18" xfId="50" applyFont="1" applyFill="1" applyBorder="1" applyAlignment="1">
      <alignment horizontal="right"/>
    </xf>
    <xf numFmtId="175" fontId="15" fillId="0" borderId="0" xfId="0" applyFont="1" applyBorder="1" applyAlignment="1">
      <alignment vertical="center"/>
    </xf>
    <xf numFmtId="2" fontId="15" fillId="0" borderId="0" xfId="0" applyNumberFormat="1" applyFont="1" applyBorder="1" applyAlignment="1">
      <alignment vertical="center"/>
    </xf>
    <xf numFmtId="3" fontId="15" fillId="0" borderId="0" xfId="0" applyNumberFormat="1" applyFont="1" applyBorder="1" applyAlignment="1">
      <alignment horizontal="center" vertical="center"/>
    </xf>
    <xf numFmtId="3" fontId="15" fillId="52" borderId="0" xfId="0" applyNumberFormat="1" applyFont="1" applyFill="1" applyBorder="1" applyAlignment="1">
      <alignment horizontal="center" vertical="center"/>
    </xf>
    <xf numFmtId="175" fontId="63" fillId="43" borderId="0" xfId="66" applyFont="1" applyFill="1"/>
    <xf numFmtId="44" fontId="63" fillId="43" borderId="0" xfId="50" applyFont="1" applyFill="1"/>
    <xf numFmtId="44" fontId="68" fillId="47" borderId="0" xfId="50" applyFont="1" applyFill="1"/>
    <xf numFmtId="175" fontId="16" fillId="0" borderId="72" xfId="66" applyFont="1" applyBorder="1" applyAlignment="1">
      <alignment horizontal="center" wrapText="1"/>
    </xf>
    <xf numFmtId="175" fontId="15" fillId="0" borderId="59" xfId="66" applyBorder="1"/>
    <xf numFmtId="175" fontId="68" fillId="43" borderId="53" xfId="66" applyFont="1" applyFill="1" applyBorder="1"/>
    <xf numFmtId="175" fontId="63" fillId="0" borderId="0" xfId="0" quotePrefix="1" applyFont="1" applyBorder="1" applyAlignment="1"/>
    <xf numFmtId="175" fontId="36" fillId="0" borderId="11" xfId="0" applyFont="1" applyBorder="1" applyAlignment="1" applyProtection="1">
      <alignment horizontal="center"/>
      <protection locked="0"/>
    </xf>
    <xf numFmtId="175" fontId="36" fillId="0" borderId="11" xfId="0" applyFont="1" applyBorder="1" applyAlignment="1">
      <alignment horizontal="center"/>
    </xf>
    <xf numFmtId="42" fontId="15" fillId="0" borderId="0" xfId="520" applyNumberFormat="1" applyFont="1" applyBorder="1"/>
    <xf numFmtId="42" fontId="15" fillId="0" borderId="41" xfId="520" applyNumberFormat="1" applyBorder="1"/>
    <xf numFmtId="42" fontId="15" fillId="0" borderId="0" xfId="520" applyNumberFormat="1" applyFont="1"/>
    <xf numFmtId="42" fontId="15" fillId="0" borderId="41" xfId="520" applyNumberFormat="1" applyFont="1" applyBorder="1"/>
    <xf numFmtId="42" fontId="15" fillId="49" borderId="18" xfId="520" applyNumberFormat="1" applyFont="1" applyFill="1" applyBorder="1"/>
    <xf numFmtId="42" fontId="15" fillId="49" borderId="19" xfId="520" applyNumberFormat="1" applyFont="1" applyFill="1" applyBorder="1"/>
    <xf numFmtId="42" fontId="75" fillId="49" borderId="18" xfId="520" applyNumberFormat="1" applyFont="1" applyFill="1" applyBorder="1"/>
    <xf numFmtId="42" fontId="75" fillId="0" borderId="17" xfId="520" applyNumberFormat="1" applyFont="1" applyBorder="1"/>
    <xf numFmtId="42" fontId="75" fillId="0" borderId="0" xfId="520" applyNumberFormat="1" applyFont="1"/>
    <xf numFmtId="42" fontId="75" fillId="0" borderId="41" xfId="520" applyNumberFormat="1" applyFont="1" applyBorder="1"/>
    <xf numFmtId="42" fontId="75" fillId="0" borderId="0" xfId="520" applyNumberFormat="1" applyFont="1" applyBorder="1"/>
    <xf numFmtId="42" fontId="75" fillId="0" borderId="14" xfId="520" applyNumberFormat="1" applyFont="1" applyBorder="1"/>
    <xf numFmtId="42" fontId="75" fillId="0" borderId="16" xfId="520" applyNumberFormat="1" applyFont="1" applyBorder="1"/>
    <xf numFmtId="42" fontId="15" fillId="0" borderId="22" xfId="520" applyNumberFormat="1" applyFont="1" applyBorder="1"/>
    <xf numFmtId="42" fontId="15" fillId="0" borderId="48" xfId="520" applyNumberFormat="1" applyBorder="1"/>
    <xf numFmtId="42" fontId="15" fillId="0" borderId="17" xfId="520" applyNumberFormat="1" applyFont="1" applyBorder="1"/>
    <xf numFmtId="42" fontId="15" fillId="0" borderId="21" xfId="520" applyNumberFormat="1" applyFont="1" applyBorder="1"/>
    <xf numFmtId="42" fontId="15" fillId="0" borderId="16" xfId="520" applyNumberFormat="1" applyBorder="1"/>
    <xf numFmtId="42" fontId="15" fillId="49" borderId="21" xfId="520" applyNumberFormat="1" applyFont="1" applyFill="1" applyBorder="1"/>
    <xf numFmtId="42" fontId="15" fillId="49" borderId="14" xfId="520" applyNumberFormat="1" applyFont="1" applyFill="1" applyBorder="1"/>
    <xf numFmtId="42" fontId="75" fillId="49" borderId="19" xfId="520" applyNumberFormat="1" applyFont="1" applyFill="1" applyBorder="1"/>
    <xf numFmtId="42" fontId="75" fillId="0" borderId="22" xfId="520" applyNumberFormat="1" applyFont="1" applyBorder="1"/>
    <xf numFmtId="42" fontId="75" fillId="0" borderId="27" xfId="520" applyNumberFormat="1" applyFont="1" applyBorder="1"/>
    <xf numFmtId="42" fontId="75" fillId="45" borderId="0" xfId="520" applyNumberFormat="1" applyFont="1" applyFill="1"/>
    <xf numFmtId="42" fontId="75" fillId="0" borderId="48" xfId="520" applyNumberFormat="1" applyFont="1" applyBorder="1"/>
    <xf numFmtId="42" fontId="15" fillId="0" borderId="13" xfId="520" applyNumberFormat="1" applyBorder="1"/>
    <xf numFmtId="42" fontId="15" fillId="0" borderId="0" xfId="66" applyNumberFormat="1" applyProtection="1">
      <protection locked="0"/>
    </xf>
    <xf numFmtId="42" fontId="15" fillId="0" borderId="17" xfId="66" applyNumberFormat="1" applyBorder="1" applyAlignment="1" applyProtection="1">
      <alignment horizontal="center"/>
      <protection locked="0"/>
    </xf>
    <xf numFmtId="42" fontId="15" fillId="0" borderId="0" xfId="66" applyNumberFormat="1" applyAlignment="1" applyProtection="1">
      <alignment horizontal="right"/>
      <protection locked="0"/>
    </xf>
    <xf numFmtId="175" fontId="0" fillId="47" borderId="0" xfId="66" applyFont="1" applyFill="1" applyAlignment="1" applyProtection="1">
      <alignment horizontal="center"/>
      <protection locked="0"/>
    </xf>
    <xf numFmtId="175" fontId="0" fillId="47" borderId="0" xfId="66" applyFont="1" applyFill="1" applyProtection="1">
      <protection locked="0"/>
    </xf>
    <xf numFmtId="175" fontId="16" fillId="47" borderId="11" xfId="66" applyFont="1" applyFill="1" applyBorder="1" applyAlignment="1">
      <alignment horizontal="center"/>
    </xf>
    <xf numFmtId="171" fontId="16" fillId="47" borderId="11" xfId="66" applyNumberFormat="1" applyFont="1" applyFill="1" applyBorder="1" applyAlignment="1">
      <alignment horizontal="center"/>
    </xf>
    <xf numFmtId="175" fontId="16" fillId="47" borderId="11" xfId="66" applyFont="1" applyFill="1" applyBorder="1" applyAlignment="1">
      <alignment horizontal="center" wrapText="1"/>
    </xf>
    <xf numFmtId="175" fontId="0" fillId="0" borderId="11" xfId="0" applyBorder="1"/>
    <xf numFmtId="1" fontId="0" fillId="47" borderId="11" xfId="66" applyNumberFormat="1" applyFont="1" applyFill="1" applyBorder="1" applyAlignment="1" applyProtection="1">
      <alignment horizontal="center"/>
      <protection locked="0"/>
    </xf>
    <xf numFmtId="14" fontId="0" fillId="0" borderId="11" xfId="0" applyNumberFormat="1" applyBorder="1"/>
    <xf numFmtId="175" fontId="0" fillId="47" borderId="11" xfId="66" applyFont="1" applyFill="1" applyBorder="1" applyAlignment="1" applyProtection="1">
      <alignment horizontal="center"/>
      <protection locked="0"/>
    </xf>
    <xf numFmtId="2" fontId="0" fillId="47" borderId="11" xfId="66" applyNumberFormat="1" applyFont="1" applyFill="1" applyBorder="1" applyProtection="1">
      <protection locked="0"/>
    </xf>
    <xf numFmtId="16" fontId="0" fillId="0" borderId="11" xfId="0" applyNumberFormat="1" applyBorder="1" applyAlignment="1">
      <alignment horizontal="right"/>
    </xf>
    <xf numFmtId="1" fontId="0" fillId="47" borderId="0" xfId="66" applyNumberFormat="1" applyFont="1" applyFill="1" applyAlignment="1" applyProtection="1">
      <alignment horizontal="center"/>
      <protection locked="0"/>
    </xf>
    <xf numFmtId="14" fontId="58" fillId="0" borderId="0" xfId="0" applyNumberFormat="1" applyFont="1" applyAlignment="1">
      <alignment horizontal="right"/>
    </xf>
    <xf numFmtId="2" fontId="0" fillId="47" borderId="0" xfId="66" applyNumberFormat="1" applyFont="1" applyFill="1" applyProtection="1">
      <protection locked="0"/>
    </xf>
    <xf numFmtId="175" fontId="58" fillId="0" borderId="0" xfId="0" applyFont="1" applyAlignment="1">
      <alignment horizontal="right"/>
    </xf>
    <xf numFmtId="175" fontId="0" fillId="47" borderId="0" xfId="66" applyFont="1" applyFill="1" applyAlignment="1" applyProtection="1">
      <alignment horizontal="left"/>
      <protection locked="0"/>
    </xf>
    <xf numFmtId="171" fontId="0" fillId="47" borderId="0" xfId="66" applyNumberFormat="1" applyFont="1" applyFill="1" applyAlignment="1" applyProtection="1">
      <alignment horizontal="center"/>
      <protection locked="0"/>
    </xf>
    <xf numFmtId="0" fontId="0" fillId="0" borderId="0" xfId="520" applyFont="1" applyAlignment="1" applyProtection="1">
      <alignment horizontal="left"/>
      <protection locked="0"/>
    </xf>
    <xf numFmtId="175" fontId="16" fillId="47" borderId="0" xfId="66" applyFont="1" applyFill="1" applyAlignment="1" applyProtection="1">
      <alignment horizontal="left"/>
      <protection locked="0"/>
    </xf>
    <xf numFmtId="175" fontId="70" fillId="47" borderId="0" xfId="66" applyFont="1" applyFill="1" applyAlignment="1" applyProtection="1">
      <alignment horizontal="left"/>
      <protection locked="0"/>
    </xf>
    <xf numFmtId="0" fontId="5" fillId="0" borderId="0" xfId="597"/>
    <xf numFmtId="43" fontId="0" fillId="50" borderId="0" xfId="46" applyFont="1" applyFill="1" applyAlignment="1">
      <alignment horizontal="left"/>
    </xf>
    <xf numFmtId="175" fontId="127" fillId="0" borderId="0" xfId="66" applyFont="1" applyAlignment="1">
      <alignment wrapText="1"/>
    </xf>
    <xf numFmtId="175" fontId="127" fillId="47" borderId="0" xfId="66" applyFont="1" applyFill="1" applyAlignment="1"/>
    <xf numFmtId="175" fontId="71" fillId="47" borderId="0" xfId="0" quotePrefix="1" applyFont="1" applyFill="1" applyProtection="1">
      <protection locked="0"/>
    </xf>
    <xf numFmtId="175" fontId="128" fillId="52" borderId="0" xfId="0" applyFont="1" applyFill="1" applyBorder="1"/>
    <xf numFmtId="175" fontId="15" fillId="0" borderId="13" xfId="0" applyFont="1" applyBorder="1" applyAlignment="1">
      <alignment vertical="center"/>
    </xf>
    <xf numFmtId="2" fontId="15" fillId="0" borderId="97" xfId="0" applyNumberFormat="1" applyFont="1" applyBorder="1" applyAlignment="1">
      <alignment vertical="center"/>
    </xf>
    <xf numFmtId="3" fontId="15" fillId="52" borderId="41" xfId="0" applyNumberFormat="1" applyFont="1" applyFill="1" applyBorder="1" applyAlignment="1">
      <alignment horizontal="center" vertical="center"/>
    </xf>
    <xf numFmtId="3" fontId="15" fillId="0" borderId="98" xfId="0" applyNumberFormat="1" applyFont="1" applyBorder="1" applyAlignment="1">
      <alignment horizontal="left" vertical="center" wrapText="1"/>
    </xf>
    <xf numFmtId="2" fontId="15" fillId="0" borderId="11" xfId="0" applyNumberFormat="1" applyFont="1" applyBorder="1" applyAlignment="1">
      <alignment vertical="center"/>
    </xf>
    <xf numFmtId="3" fontId="15" fillId="52" borderId="11" xfId="0" applyNumberFormat="1" applyFont="1" applyFill="1" applyBorder="1" applyAlignment="1">
      <alignment horizontal="center" vertical="center"/>
    </xf>
    <xf numFmtId="175" fontId="15" fillId="0" borderId="0" xfId="0" applyFont="1" applyBorder="1"/>
    <xf numFmtId="175" fontId="63" fillId="0" borderId="0" xfId="0" quotePrefix="1" applyFont="1" applyBorder="1"/>
    <xf numFmtId="3" fontId="15" fillId="0" borderId="41" xfId="0" applyNumberFormat="1" applyFont="1" applyBorder="1" applyAlignment="1">
      <alignment horizontal="center" vertical="center"/>
    </xf>
    <xf numFmtId="3" fontId="15" fillId="0" borderId="99" xfId="0" applyNumberFormat="1" applyFont="1" applyBorder="1" applyAlignment="1">
      <alignment horizontal="left" vertical="center" wrapText="1"/>
    </xf>
    <xf numFmtId="3" fontId="15" fillId="0" borderId="11" xfId="0" applyNumberFormat="1" applyFont="1" applyBorder="1" applyAlignment="1">
      <alignment horizontal="center" vertical="center"/>
    </xf>
    <xf numFmtId="175" fontId="127" fillId="52" borderId="0" xfId="0" applyFont="1" applyFill="1" applyBorder="1" applyAlignment="1"/>
    <xf numFmtId="175" fontId="58" fillId="0" borderId="34" xfId="0" applyFont="1" applyBorder="1" applyAlignment="1">
      <alignment vertical="center"/>
    </xf>
    <xf numFmtId="2" fontId="58" fillId="0" borderId="16" xfId="0" applyNumberFormat="1" applyFont="1" applyBorder="1" applyAlignment="1">
      <alignment vertical="center"/>
    </xf>
    <xf numFmtId="2" fontId="58" fillId="0" borderId="100" xfId="0" applyNumberFormat="1" applyFont="1" applyBorder="1" applyAlignment="1">
      <alignment vertical="center"/>
    </xf>
    <xf numFmtId="175" fontId="130" fillId="0" borderId="0" xfId="66" applyFont="1" applyProtection="1">
      <protection locked="0"/>
    </xf>
    <xf numFmtId="0" fontId="131" fillId="0" borderId="0" xfId="520" applyFont="1"/>
    <xf numFmtId="6" fontId="131" fillId="0" borderId="0" xfId="520" applyNumberFormat="1" applyFont="1"/>
    <xf numFmtId="168" fontId="131" fillId="0" borderId="0" xfId="52" applyNumberFormat="1" applyFont="1"/>
    <xf numFmtId="175" fontId="15" fillId="0" borderId="0" xfId="66" applyFill="1" applyProtection="1">
      <protection locked="0"/>
    </xf>
    <xf numFmtId="175" fontId="15" fillId="0" borderId="37" xfId="66" applyFill="1" applyBorder="1" applyProtection="1">
      <protection locked="0"/>
    </xf>
    <xf numFmtId="175" fontId="15" fillId="0" borderId="18" xfId="66" applyFill="1" applyBorder="1" applyProtection="1">
      <protection locked="0"/>
    </xf>
    <xf numFmtId="175" fontId="16" fillId="0" borderId="11" xfId="66" applyFont="1" applyFill="1" applyBorder="1" applyAlignment="1" applyProtection="1">
      <alignment horizontal="center" wrapText="1"/>
      <protection locked="0"/>
    </xf>
    <xf numFmtId="175" fontId="16" fillId="0" borderId="13" xfId="66" applyFont="1" applyFill="1" applyBorder="1" applyAlignment="1" applyProtection="1">
      <alignment horizontal="center" wrapText="1"/>
      <protection locked="0"/>
    </xf>
    <xf numFmtId="42" fontId="15" fillId="0" borderId="0" xfId="66" applyNumberFormat="1" applyFill="1" applyProtection="1">
      <protection locked="0"/>
    </xf>
    <xf numFmtId="164" fontId="15" fillId="0" borderId="42" xfId="66" applyNumberFormat="1" applyFill="1" applyBorder="1" applyProtection="1">
      <protection locked="0"/>
    </xf>
    <xf numFmtId="0" fontId="63" fillId="0" borderId="0" xfId="66" applyNumberFormat="1" applyFont="1" applyAlignment="1">
      <alignment horizontal="left"/>
    </xf>
    <xf numFmtId="164" fontId="70" fillId="0" borderId="0" xfId="66" applyNumberFormat="1" applyFont="1"/>
    <xf numFmtId="175" fontId="63" fillId="47" borderId="0" xfId="66" applyFont="1" applyFill="1" applyAlignment="1">
      <alignment wrapText="1"/>
    </xf>
    <xf numFmtId="175" fontId="63" fillId="0" borderId="0" xfId="66" applyFont="1" applyAlignment="1">
      <alignment wrapText="1"/>
    </xf>
    <xf numFmtId="175" fontId="63" fillId="47" borderId="0" xfId="66" applyFont="1" applyFill="1" applyAlignment="1"/>
    <xf numFmtId="175" fontId="67" fillId="47" borderId="52" xfId="66" applyFont="1" applyFill="1" applyBorder="1" applyAlignment="1">
      <alignment wrapText="1"/>
    </xf>
    <xf numFmtId="175" fontId="16" fillId="47" borderId="61" xfId="66" applyFont="1" applyFill="1" applyBorder="1" applyAlignment="1">
      <alignment wrapText="1"/>
    </xf>
    <xf numFmtId="164" fontId="15" fillId="47" borderId="0" xfId="66" applyNumberFormat="1" applyFill="1"/>
    <xf numFmtId="175" fontId="67" fillId="43" borderId="96" xfId="66" applyFont="1" applyFill="1" applyBorder="1" applyAlignment="1">
      <alignment horizontal="right"/>
    </xf>
    <xf numFmtId="175" fontId="67" fillId="43" borderId="102" xfId="66" applyFont="1" applyFill="1" applyBorder="1" applyAlignment="1">
      <alignment horizontal="center" wrapText="1"/>
    </xf>
    <xf numFmtId="6" fontId="15" fillId="0" borderId="27" xfId="66" applyNumberFormat="1" applyBorder="1" applyProtection="1">
      <protection locked="0"/>
    </xf>
    <xf numFmtId="6" fontId="15" fillId="0" borderId="95" xfId="66" applyNumberFormat="1" applyBorder="1" applyProtection="1">
      <protection locked="0"/>
    </xf>
    <xf numFmtId="6" fontId="15" fillId="0" borderId="13" xfId="66" applyNumberFormat="1" applyBorder="1" applyAlignment="1">
      <alignment horizontal="right"/>
    </xf>
    <xf numFmtId="167" fontId="15" fillId="0" borderId="13" xfId="66" applyNumberFormat="1" applyBorder="1" applyAlignment="1">
      <alignment horizontal="right"/>
    </xf>
    <xf numFmtId="167" fontId="15" fillId="0" borderId="11" xfId="66" applyNumberFormat="1" applyBorder="1" applyAlignment="1">
      <alignment horizontal="right"/>
    </xf>
    <xf numFmtId="167" fontId="15" fillId="0" borderId="11" xfId="66" applyNumberFormat="1" applyBorder="1"/>
    <xf numFmtId="167" fontId="15" fillId="0" borderId="13" xfId="66" applyNumberFormat="1" applyBorder="1"/>
    <xf numFmtId="167" fontId="15" fillId="47" borderId="13" xfId="66" applyNumberFormat="1" applyFill="1" applyBorder="1" applyAlignment="1">
      <alignment horizontal="right"/>
    </xf>
    <xf numFmtId="42" fontId="15" fillId="49" borderId="11" xfId="520" applyNumberFormat="1" applyFont="1" applyFill="1" applyBorder="1"/>
    <xf numFmtId="42" fontId="15" fillId="0" borderId="15" xfId="520" applyNumberFormat="1" applyFont="1" applyBorder="1"/>
    <xf numFmtId="42" fontId="15" fillId="0" borderId="13" xfId="520" applyNumberFormat="1" applyFont="1" applyBorder="1"/>
    <xf numFmtId="42" fontId="15" fillId="0" borderId="13" xfId="520" applyNumberFormat="1" applyFill="1" applyBorder="1"/>
    <xf numFmtId="42" fontId="15" fillId="0" borderId="41" xfId="520" applyNumberFormat="1" applyFill="1" applyBorder="1"/>
    <xf numFmtId="42" fontId="15" fillId="0" borderId="0" xfId="520" applyNumberFormat="1" applyFont="1" applyFill="1"/>
    <xf numFmtId="42" fontId="15" fillId="0" borderId="41" xfId="520" applyNumberFormat="1" applyFont="1" applyFill="1" applyBorder="1"/>
    <xf numFmtId="42" fontId="15" fillId="0" borderId="15" xfId="520" applyNumberFormat="1" applyFill="1" applyBorder="1"/>
    <xf numFmtId="42" fontId="15" fillId="0" borderId="48" xfId="520" applyNumberFormat="1" applyFill="1" applyBorder="1"/>
    <xf numFmtId="42" fontId="75" fillId="0" borderId="0" xfId="520" applyNumberFormat="1" applyFont="1" applyFill="1"/>
    <xf numFmtId="42" fontId="76" fillId="0" borderId="0" xfId="520" applyNumberFormat="1" applyFont="1"/>
    <xf numFmtId="175" fontId="16" fillId="0" borderId="60" xfId="66" applyFont="1" applyBorder="1"/>
    <xf numFmtId="175" fontId="16" fillId="0" borderId="102" xfId="66" applyFont="1" applyBorder="1"/>
    <xf numFmtId="175" fontId="16" fillId="0" borderId="102" xfId="66" applyFont="1" applyBorder="1" applyAlignment="1">
      <alignment horizontal="left" wrapText="1" indent="1"/>
    </xf>
    <xf numFmtId="175" fontId="16" fillId="0" borderId="102" xfId="66" applyFont="1" applyBorder="1" applyAlignment="1">
      <alignment horizontal="left" indent="1"/>
    </xf>
    <xf numFmtId="175" fontId="16" fillId="0" borderId="104" xfId="66" applyFont="1" applyBorder="1" applyAlignment="1">
      <alignment horizontal="left" indent="1"/>
    </xf>
    <xf numFmtId="43" fontId="15" fillId="50" borderId="0" xfId="46" applyFill="1" applyAlignment="1">
      <alignment horizontal="left"/>
    </xf>
    <xf numFmtId="175" fontId="127" fillId="47" borderId="0" xfId="0" quotePrefix="1" applyFont="1" applyFill="1" applyAlignment="1">
      <alignment vertical="top" wrapText="1"/>
    </xf>
    <xf numFmtId="175" fontId="63" fillId="0" borderId="0" xfId="0" applyFont="1"/>
    <xf numFmtId="175" fontId="69" fillId="47" borderId="0" xfId="66" applyFont="1" applyFill="1" applyAlignment="1" applyProtection="1">
      <alignment vertical="center"/>
      <protection locked="0"/>
    </xf>
    <xf numFmtId="175" fontId="15" fillId="0" borderId="0" xfId="66" applyFont="1" applyProtection="1">
      <protection locked="0"/>
    </xf>
    <xf numFmtId="42" fontId="15" fillId="47" borderId="17" xfId="66" applyNumberFormat="1" applyFill="1" applyBorder="1" applyAlignment="1">
      <alignment horizontal="right"/>
    </xf>
    <xf numFmtId="41" fontId="15" fillId="0" borderId="0" xfId="66" applyNumberFormat="1" applyBorder="1" applyProtection="1">
      <protection locked="0"/>
    </xf>
    <xf numFmtId="177" fontId="15" fillId="0" borderId="0" xfId="66" applyNumberFormat="1" applyBorder="1" applyProtection="1">
      <protection locked="0"/>
    </xf>
    <xf numFmtId="178" fontId="68" fillId="0" borderId="17" xfId="66" applyNumberFormat="1" applyFont="1" applyBorder="1"/>
    <xf numFmtId="178" fontId="68" fillId="0" borderId="0" xfId="66" applyNumberFormat="1" applyFont="1" applyBorder="1"/>
    <xf numFmtId="178" fontId="67" fillId="43" borderId="14" xfId="66" applyNumberFormat="1" applyFont="1" applyFill="1" applyBorder="1" applyAlignment="1"/>
    <xf numFmtId="178" fontId="68" fillId="0" borderId="0" xfId="66" applyNumberFormat="1" applyFont="1" applyAlignment="1"/>
    <xf numFmtId="178" fontId="67" fillId="0" borderId="96" xfId="66" applyNumberFormat="1" applyFont="1" applyBorder="1" applyAlignment="1"/>
    <xf numFmtId="178" fontId="67" fillId="43" borderId="42" xfId="66" applyNumberFormat="1" applyFont="1" applyFill="1" applyBorder="1" applyAlignment="1"/>
    <xf numFmtId="178" fontId="68" fillId="0" borderId="22" xfId="66" applyNumberFormat="1" applyFont="1" applyFill="1" applyBorder="1"/>
    <xf numFmtId="178" fontId="68" fillId="0" borderId="101" xfId="66" applyNumberFormat="1" applyFont="1" applyFill="1" applyBorder="1"/>
    <xf numFmtId="178" fontId="68" fillId="0" borderId="54" xfId="66" applyNumberFormat="1" applyFont="1" applyFill="1" applyBorder="1"/>
    <xf numFmtId="178" fontId="15" fillId="0" borderId="0" xfId="66" applyNumberFormat="1" applyBorder="1" applyAlignment="1"/>
    <xf numFmtId="178" fontId="15" fillId="0" borderId="54" xfId="66" applyNumberFormat="1" applyBorder="1" applyAlignment="1"/>
    <xf numFmtId="178" fontId="15" fillId="0" borderId="96" xfId="66" applyNumberFormat="1" applyBorder="1" applyAlignment="1"/>
    <xf numFmtId="178" fontId="15" fillId="0" borderId="18" xfId="66" applyNumberFormat="1" applyBorder="1" applyAlignment="1"/>
    <xf numFmtId="178" fontId="15" fillId="0" borderId="39" xfId="66" applyNumberFormat="1" applyBorder="1" applyAlignment="1"/>
    <xf numFmtId="178" fontId="15" fillId="0" borderId="0" xfId="66" applyNumberFormat="1" applyAlignment="1"/>
    <xf numFmtId="178" fontId="15" fillId="0" borderId="0" xfId="66" applyNumberFormat="1" applyAlignment="1" applyProtection="1">
      <protection locked="0"/>
    </xf>
    <xf numFmtId="178" fontId="15" fillId="0" borderId="0" xfId="66" applyNumberFormat="1" applyBorder="1" applyAlignment="1" applyProtection="1">
      <protection locked="0"/>
    </xf>
    <xf numFmtId="178" fontId="15" fillId="0" borderId="27" xfId="66" applyNumberFormat="1" applyBorder="1" applyAlignment="1"/>
    <xf numFmtId="178" fontId="15" fillId="0" borderId="14" xfId="66" applyNumberFormat="1" applyBorder="1" applyAlignment="1" applyProtection="1">
      <protection locked="0"/>
    </xf>
    <xf numFmtId="178" fontId="15" fillId="0" borderId="103" xfId="66" applyNumberFormat="1" applyBorder="1" applyAlignment="1"/>
    <xf numFmtId="178" fontId="15" fillId="0" borderId="59" xfId="66" applyNumberFormat="1" applyBorder="1" applyAlignment="1"/>
    <xf numFmtId="178" fontId="15" fillId="44" borderId="96" xfId="66" applyNumberFormat="1" applyFill="1" applyBorder="1" applyAlignment="1"/>
    <xf numFmtId="178" fontId="15" fillId="44" borderId="18" xfId="66" applyNumberFormat="1" applyFill="1" applyBorder="1" applyAlignment="1"/>
    <xf numFmtId="178" fontId="15" fillId="44" borderId="39" xfId="66" applyNumberFormat="1" applyFill="1" applyBorder="1" applyAlignment="1"/>
    <xf numFmtId="178" fontId="16" fillId="0" borderId="46" xfId="66" applyNumberFormat="1" applyFont="1" applyBorder="1" applyAlignment="1"/>
    <xf numFmtId="178" fontId="16" fillId="0" borderId="61" xfId="66" applyNumberFormat="1" applyFont="1" applyBorder="1" applyAlignment="1"/>
    <xf numFmtId="178" fontId="16" fillId="47" borderId="46" xfId="66" applyNumberFormat="1" applyFont="1" applyFill="1" applyBorder="1" applyAlignment="1"/>
    <xf numFmtId="178" fontId="16" fillId="47" borderId="62" xfId="66" applyNumberFormat="1" applyFont="1" applyFill="1" applyBorder="1" applyAlignment="1"/>
    <xf numFmtId="178" fontId="16" fillId="47" borderId="61" xfId="66" applyNumberFormat="1" applyFont="1" applyFill="1" applyBorder="1" applyAlignment="1"/>
    <xf numFmtId="178" fontId="68" fillId="0" borderId="17" xfId="66" applyNumberFormat="1" applyFont="1" applyBorder="1" applyAlignment="1"/>
    <xf numFmtId="178" fontId="68" fillId="0" borderId="0" xfId="66" applyNumberFormat="1" applyFont="1" applyBorder="1" applyAlignment="1"/>
    <xf numFmtId="178" fontId="68" fillId="0" borderId="21" xfId="66" applyNumberFormat="1" applyFont="1" applyBorder="1" applyAlignment="1"/>
    <xf numFmtId="178" fontId="68" fillId="0" borderId="14" xfId="66" applyNumberFormat="1" applyFont="1" applyBorder="1" applyAlignment="1"/>
    <xf numFmtId="178" fontId="67" fillId="43" borderId="21" xfId="66" applyNumberFormat="1" applyFont="1" applyFill="1" applyBorder="1" applyAlignment="1"/>
    <xf numFmtId="178" fontId="68" fillId="0" borderId="54" xfId="66" applyNumberFormat="1" applyFont="1" applyFill="1" applyBorder="1" applyAlignment="1"/>
    <xf numFmtId="178" fontId="67" fillId="43" borderId="51" xfId="66" applyNumberFormat="1" applyFont="1" applyFill="1" applyBorder="1" applyAlignment="1"/>
    <xf numFmtId="178" fontId="67" fillId="47" borderId="51" xfId="66" applyNumberFormat="1" applyFont="1" applyFill="1" applyBorder="1" applyAlignment="1"/>
    <xf numFmtId="42" fontId="15" fillId="0" borderId="17" xfId="66" applyNumberFormat="1" applyBorder="1" applyAlignment="1"/>
    <xf numFmtId="42" fontId="15" fillId="0" borderId="13" xfId="66" applyNumberFormat="1" applyBorder="1" applyAlignment="1"/>
    <xf numFmtId="42" fontId="15" fillId="0" borderId="0" xfId="66" applyNumberFormat="1" applyFill="1" applyBorder="1" applyAlignment="1"/>
    <xf numFmtId="42" fontId="15" fillId="47" borderId="13" xfId="66" applyNumberFormat="1" applyFill="1" applyBorder="1" applyAlignment="1"/>
    <xf numFmtId="42" fontId="15" fillId="0" borderId="21" xfId="66" applyNumberFormat="1" applyBorder="1" applyAlignment="1"/>
    <xf numFmtId="42" fontId="15" fillId="0" borderId="14" xfId="66" applyNumberFormat="1" applyBorder="1" applyAlignment="1"/>
    <xf numFmtId="42" fontId="15" fillId="0" borderId="20" xfId="66" applyNumberFormat="1" applyBorder="1" applyAlignment="1"/>
    <xf numFmtId="42" fontId="15" fillId="0" borderId="18" xfId="66" applyNumberFormat="1" applyFill="1" applyBorder="1" applyAlignment="1"/>
    <xf numFmtId="42" fontId="15" fillId="47" borderId="11" xfId="66" applyNumberFormat="1" applyFill="1" applyBorder="1" applyAlignment="1"/>
    <xf numFmtId="42" fontId="15" fillId="0" borderId="11" xfId="66" applyNumberFormat="1" applyBorder="1" applyAlignment="1"/>
    <xf numFmtId="42" fontId="15" fillId="0" borderId="0" xfId="66" applyNumberFormat="1" applyAlignment="1"/>
    <xf numFmtId="42" fontId="15" fillId="0" borderId="0" xfId="66" applyNumberFormat="1" applyAlignment="1" applyProtection="1">
      <protection locked="0"/>
    </xf>
    <xf numFmtId="42" fontId="15" fillId="0" borderId="13" xfId="66" applyNumberFormat="1" applyFill="1" applyBorder="1" applyAlignment="1"/>
    <xf numFmtId="42" fontId="15" fillId="0" borderId="18" xfId="66" applyNumberFormat="1" applyBorder="1" applyAlignment="1"/>
    <xf numFmtId="42" fontId="15" fillId="0" borderId="11" xfId="66" applyNumberFormat="1" applyFill="1" applyBorder="1" applyAlignment="1"/>
    <xf numFmtId="42" fontId="15" fillId="0" borderId="22" xfId="66" applyNumberFormat="1" applyBorder="1" applyAlignment="1"/>
    <xf numFmtId="42" fontId="15" fillId="0" borderId="14" xfId="66" applyNumberFormat="1" applyBorder="1" applyAlignment="1" applyProtection="1">
      <protection locked="0"/>
    </xf>
    <xf numFmtId="42" fontId="15" fillId="0" borderId="20" xfId="66" applyNumberFormat="1" applyFill="1" applyBorder="1" applyAlignment="1"/>
    <xf numFmtId="42" fontId="15" fillId="0" borderId="17" xfId="66" applyNumberFormat="1" applyFill="1" applyBorder="1" applyAlignment="1"/>
    <xf numFmtId="42" fontId="15" fillId="47" borderId="15" xfId="66" applyNumberFormat="1" applyFill="1" applyBorder="1" applyAlignment="1"/>
    <xf numFmtId="42" fontId="15" fillId="47" borderId="13" xfId="66" applyNumberFormat="1" applyFill="1" applyBorder="1" applyAlignment="1" applyProtection="1">
      <protection locked="0"/>
    </xf>
    <xf numFmtId="42" fontId="15" fillId="0" borderId="13" xfId="66" applyNumberFormat="1" applyBorder="1" applyAlignment="1" applyProtection="1">
      <protection locked="0"/>
    </xf>
    <xf numFmtId="42" fontId="15" fillId="0" borderId="34" xfId="66" applyNumberFormat="1" applyBorder="1" applyAlignment="1" applyProtection="1">
      <protection locked="0"/>
    </xf>
    <xf numFmtId="42" fontId="15" fillId="47" borderId="20" xfId="66" applyNumberFormat="1" applyFill="1" applyBorder="1" applyAlignment="1"/>
    <xf numFmtId="175" fontId="15" fillId="0" borderId="0" xfId="66" applyFont="1" applyFill="1" applyProtection="1">
      <protection locked="0"/>
    </xf>
    <xf numFmtId="3" fontId="47" fillId="47" borderId="17" xfId="0" applyNumberFormat="1" applyFont="1" applyFill="1" applyBorder="1" applyAlignment="1" applyProtection="1">
      <alignment horizontal="center"/>
      <protection locked="0"/>
    </xf>
    <xf numFmtId="43" fontId="15" fillId="50" borderId="0" xfId="46" quotePrefix="1" applyFill="1" applyAlignment="1">
      <alignment horizontal="right"/>
    </xf>
    <xf numFmtId="43" fontId="15" fillId="50" borderId="0" xfId="46" quotePrefix="1" applyNumberFormat="1" applyFill="1" applyAlignment="1">
      <alignment horizontal="right"/>
    </xf>
    <xf numFmtId="179" fontId="15" fillId="0" borderId="17" xfId="66" applyNumberFormat="1" applyBorder="1" applyAlignment="1"/>
    <xf numFmtId="42" fontId="58" fillId="0" borderId="21" xfId="520" applyNumberFormat="1" applyFont="1" applyBorder="1"/>
    <xf numFmtId="175" fontId="15" fillId="47" borderId="0" xfId="66" applyFont="1" applyFill="1"/>
    <xf numFmtId="175" fontId="133" fillId="0" borderId="0" xfId="0" quotePrefix="1" applyFont="1" applyAlignment="1">
      <alignment vertical="center"/>
    </xf>
    <xf numFmtId="175" fontId="63" fillId="47" borderId="0" xfId="0" quotePrefix="1" applyFont="1" applyFill="1" applyAlignment="1">
      <alignment horizontal="left" vertical="top" wrapText="1"/>
    </xf>
    <xf numFmtId="175" fontId="63" fillId="0" borderId="0" xfId="0" quotePrefix="1" applyFont="1" applyAlignment="1">
      <alignment horizontal="left" vertical="justify"/>
    </xf>
    <xf numFmtId="175" fontId="63" fillId="0" borderId="0" xfId="0" quotePrefix="1" applyFont="1"/>
    <xf numFmtId="175" fontId="63" fillId="0" borderId="0" xfId="0" applyFont="1"/>
    <xf numFmtId="175" fontId="63" fillId="52" borderId="0" xfId="0" quotePrefix="1" applyFont="1" applyFill="1" applyAlignment="1">
      <alignment vertical="justify"/>
    </xf>
    <xf numFmtId="175" fontId="63" fillId="52" borderId="0" xfId="0" applyFont="1" applyFill="1" applyAlignment="1">
      <alignment vertical="justify"/>
    </xf>
    <xf numFmtId="175" fontId="63" fillId="52" borderId="0" xfId="0" quotePrefix="1" applyFont="1" applyFill="1"/>
    <xf numFmtId="175" fontId="63" fillId="52" borderId="0" xfId="0" applyFont="1" applyFill="1"/>
    <xf numFmtId="175" fontId="63" fillId="0" borderId="0" xfId="0" applyFont="1" applyAlignment="1">
      <alignment horizontal="left" vertical="justify"/>
    </xf>
    <xf numFmtId="175" fontId="63" fillId="0" borderId="0" xfId="0" quotePrefix="1" applyFont="1" applyProtection="1">
      <protection locked="0"/>
    </xf>
    <xf numFmtId="175" fontId="134" fillId="47" borderId="0" xfId="0" applyFont="1" applyFill="1" applyProtection="1">
      <protection locked="0"/>
    </xf>
    <xf numFmtId="175" fontId="127" fillId="47" borderId="0" xfId="0" applyFont="1" applyFill="1" applyAlignment="1">
      <alignment vertical="top" wrapText="1"/>
    </xf>
    <xf numFmtId="175" fontId="68" fillId="43" borderId="0" xfId="66" applyFont="1" applyFill="1"/>
    <xf numFmtId="175" fontId="68" fillId="47" borderId="40" xfId="0" applyFont="1" applyFill="1" applyBorder="1"/>
    <xf numFmtId="42" fontId="15" fillId="0" borderId="0" xfId="520" applyNumberFormat="1" applyFont="1" applyBorder="1"/>
    <xf numFmtId="178" fontId="68" fillId="0" borderId="0" xfId="66" applyNumberFormat="1" applyFont="1" applyBorder="1" applyAlignment="1"/>
    <xf numFmtId="175" fontId="15" fillId="43" borderId="0" xfId="66" applyFont="1" applyFill="1"/>
    <xf numFmtId="175" fontId="63" fillId="125" borderId="0" xfId="0" quotePrefix="1" applyFont="1" applyFill="1" applyProtection="1">
      <protection locked="0"/>
    </xf>
    <xf numFmtId="175" fontId="15" fillId="125" borderId="0" xfId="0" applyFont="1" applyFill="1" applyProtection="1">
      <protection locked="0"/>
    </xf>
    <xf numFmtId="175" fontId="63" fillId="47" borderId="0" xfId="0" quotePrefix="1" applyFont="1" applyFill="1" applyAlignment="1">
      <alignment horizontal="left" vertical="top" wrapText="1"/>
    </xf>
    <xf numFmtId="175" fontId="16" fillId="0" borderId="63" xfId="0" applyFont="1" applyBorder="1" applyAlignment="1">
      <alignment horizontal="center"/>
    </xf>
    <xf numFmtId="175" fontId="16" fillId="0" borderId="64" xfId="0" applyFont="1" applyBorder="1" applyAlignment="1">
      <alignment horizontal="center"/>
    </xf>
    <xf numFmtId="175" fontId="16" fillId="0" borderId="65" xfId="0" applyFont="1" applyBorder="1" applyAlignment="1">
      <alignment horizontal="center"/>
    </xf>
    <xf numFmtId="175" fontId="63" fillId="0" borderId="0" xfId="0" quotePrefix="1" applyFont="1" applyBorder="1" applyAlignment="1"/>
    <xf numFmtId="175" fontId="63" fillId="0" borderId="0" xfId="0" applyFont="1" applyBorder="1" applyAlignment="1"/>
    <xf numFmtId="175" fontId="63" fillId="52" borderId="0" xfId="0" quotePrefix="1" applyFont="1" applyFill="1" applyBorder="1" applyAlignment="1"/>
    <xf numFmtId="175" fontId="63" fillId="52" borderId="0" xfId="0" applyFont="1" applyFill="1" applyBorder="1" applyAlignment="1"/>
    <xf numFmtId="175" fontId="63" fillId="0" borderId="0" xfId="0" quotePrefix="1" applyFont="1" applyAlignment="1">
      <alignment horizontal="left" vertical="justify"/>
    </xf>
    <xf numFmtId="175" fontId="16" fillId="0" borderId="17" xfId="0" applyFont="1" applyBorder="1" applyAlignment="1">
      <alignment horizontal="center"/>
    </xf>
    <xf numFmtId="175" fontId="16" fillId="0" borderId="0" xfId="0" applyFont="1" applyBorder="1" applyAlignment="1">
      <alignment horizontal="center"/>
    </xf>
    <xf numFmtId="175" fontId="16" fillId="0" borderId="41" xfId="0" applyFont="1" applyBorder="1" applyAlignment="1">
      <alignment horizontal="center"/>
    </xf>
    <xf numFmtId="175" fontId="70" fillId="0" borderId="0" xfId="0" applyFont="1" applyAlignment="1">
      <alignment vertical="top" wrapText="1"/>
    </xf>
    <xf numFmtId="175" fontId="63" fillId="0" borderId="0" xfId="0" quotePrefix="1" applyFont="1"/>
    <xf numFmtId="175" fontId="63" fillId="0" borderId="0" xfId="0" applyFont="1"/>
    <xf numFmtId="175" fontId="63" fillId="52" borderId="0" xfId="0" quotePrefix="1" applyFont="1" applyFill="1" applyAlignment="1">
      <alignment vertical="justify"/>
    </xf>
    <xf numFmtId="175" fontId="63" fillId="52" borderId="0" xfId="0" applyFont="1" applyFill="1" applyAlignment="1">
      <alignment vertical="justify"/>
    </xf>
    <xf numFmtId="175" fontId="63" fillId="52" borderId="0" xfId="0" quotePrefix="1" applyFont="1" applyFill="1"/>
    <xf numFmtId="175" fontId="63" fillId="52" borderId="0" xfId="0" applyFont="1" applyFill="1"/>
    <xf numFmtId="175" fontId="63" fillId="0" borderId="0" xfId="0" applyFont="1" applyAlignment="1">
      <alignment horizontal="left" vertical="justify"/>
    </xf>
    <xf numFmtId="175" fontId="36" fillId="0" borderId="11" xfId="0" applyFont="1" applyBorder="1" applyAlignment="1" applyProtection="1">
      <alignment horizontal="center"/>
      <protection locked="0"/>
    </xf>
    <xf numFmtId="175" fontId="36" fillId="0" borderId="11" xfId="0" applyFont="1" applyBorder="1" applyAlignment="1">
      <alignment horizontal="center"/>
    </xf>
    <xf numFmtId="175" fontId="56" fillId="47" borderId="20" xfId="66" applyFont="1" applyFill="1" applyBorder="1" applyAlignment="1">
      <alignment horizontal="center" wrapText="1"/>
    </xf>
    <xf numFmtId="175" fontId="56" fillId="47" borderId="18" xfId="66" applyFont="1" applyFill="1" applyBorder="1" applyAlignment="1">
      <alignment horizontal="center" wrapText="1"/>
    </xf>
    <xf numFmtId="175" fontId="56" fillId="47" borderId="19" xfId="66" applyFont="1" applyFill="1" applyBorder="1" applyAlignment="1">
      <alignment horizontal="center" wrapText="1"/>
    </xf>
    <xf numFmtId="175" fontId="82" fillId="0" borderId="0" xfId="0" applyFont="1" applyAlignment="1" applyProtection="1">
      <alignment horizontal="center"/>
      <protection locked="0"/>
    </xf>
    <xf numFmtId="17" fontId="82" fillId="47" borderId="0" xfId="0" quotePrefix="1" applyNumberFormat="1" applyFont="1" applyFill="1" applyAlignment="1" applyProtection="1">
      <alignment horizontal="left"/>
      <protection locked="0"/>
    </xf>
    <xf numFmtId="0" fontId="76" fillId="0" borderId="22" xfId="520" applyFont="1" applyBorder="1" applyAlignment="1">
      <alignment horizontal="center" vertical="center" wrapText="1"/>
    </xf>
    <xf numFmtId="0" fontId="76" fillId="0" borderId="21" xfId="520" applyFont="1" applyBorder="1" applyAlignment="1">
      <alignment horizontal="center" vertical="center" wrapText="1"/>
    </xf>
    <xf numFmtId="0" fontId="76" fillId="0" borderId="15" xfId="520" applyFont="1" applyBorder="1" applyAlignment="1">
      <alignment horizontal="center" vertical="center" wrapText="1"/>
    </xf>
    <xf numFmtId="0" fontId="76" fillId="0" borderId="34" xfId="520" applyFont="1" applyBorder="1" applyAlignment="1">
      <alignment horizontal="center" vertical="center" wrapText="1"/>
    </xf>
    <xf numFmtId="175" fontId="15" fillId="0" borderId="0" xfId="66" applyAlignment="1">
      <alignment wrapText="1"/>
    </xf>
    <xf numFmtId="175" fontId="63" fillId="0" borderId="0" xfId="66" applyFont="1" applyAlignment="1">
      <alignment wrapText="1"/>
    </xf>
    <xf numFmtId="168" fontId="15" fillId="0" borderId="0" xfId="66" applyNumberFormat="1" applyProtection="1">
      <protection locked="0"/>
    </xf>
    <xf numFmtId="44" fontId="68" fillId="43" borderId="0" xfId="5685" applyFont="1" applyFill="1"/>
    <xf numFmtId="168" fontId="15" fillId="0" borderId="0" xfId="66" applyNumberFormat="1" applyFill="1" applyProtection="1">
      <protection locked="0"/>
    </xf>
    <xf numFmtId="175" fontId="15" fillId="0" borderId="36" xfId="66" applyFill="1" applyBorder="1" applyProtection="1">
      <protection locked="0"/>
    </xf>
    <xf numFmtId="175" fontId="15" fillId="0" borderId="14" xfId="66" applyFill="1" applyBorder="1" applyProtection="1">
      <protection locked="0"/>
    </xf>
    <xf numFmtId="175" fontId="16" fillId="0" borderId="14" xfId="66" applyFont="1" applyFill="1" applyBorder="1" applyAlignment="1" applyProtection="1">
      <alignment horizontal="right"/>
      <protection locked="0"/>
    </xf>
    <xf numFmtId="6" fontId="15" fillId="0" borderId="0" xfId="66" applyNumberFormat="1" applyFill="1"/>
    <xf numFmtId="6" fontId="15" fillId="0" borderId="0" xfId="66" applyNumberFormat="1" applyFill="1" applyProtection="1">
      <protection locked="0"/>
    </xf>
    <xf numFmtId="42" fontId="15" fillId="0" borderId="21" xfId="66" applyNumberFormat="1" applyFill="1" applyBorder="1" applyAlignment="1"/>
    <xf numFmtId="175" fontId="67" fillId="0" borderId="0" xfId="66" applyFont="1" applyFill="1" applyAlignment="1">
      <alignment horizontal="center"/>
    </xf>
    <xf numFmtId="175" fontId="67" fillId="0" borderId="0" xfId="66" applyFont="1" applyFill="1" applyAlignment="1"/>
    <xf numFmtId="44" fontId="67" fillId="0" borderId="0" xfId="50" applyFont="1" applyFill="1" applyAlignment="1">
      <alignment horizontal="center"/>
    </xf>
    <xf numFmtId="175" fontId="67" fillId="0" borderId="0" xfId="66" applyFont="1" applyFill="1" applyBorder="1" applyAlignment="1">
      <alignment horizontal="center"/>
    </xf>
    <xf numFmtId="175" fontId="67" fillId="0" borderId="54" xfId="66" applyFont="1" applyFill="1" applyBorder="1" applyAlignment="1">
      <alignment horizontal="center" wrapText="1"/>
    </xf>
    <xf numFmtId="178" fontId="68" fillId="0" borderId="17" xfId="66" applyNumberFormat="1" applyFont="1" applyFill="1" applyBorder="1"/>
    <xf numFmtId="178" fontId="68" fillId="0" borderId="0" xfId="66" applyNumberFormat="1" applyFont="1" applyFill="1" applyBorder="1"/>
    <xf numFmtId="178" fontId="68" fillId="0" borderId="0" xfId="66" applyNumberFormat="1" applyFont="1" applyFill="1" applyBorder="1" applyAlignment="1"/>
    <xf numFmtId="178" fontId="68" fillId="0" borderId="14" xfId="66" applyNumberFormat="1" applyFont="1" applyFill="1" applyBorder="1" applyAlignment="1"/>
    <xf numFmtId="178" fontId="67" fillId="0" borderId="14" xfId="66" applyNumberFormat="1" applyFont="1" applyFill="1" applyBorder="1" applyAlignment="1"/>
    <xf numFmtId="178" fontId="67" fillId="0" borderId="102" xfId="66" applyNumberFormat="1" applyFont="1" applyFill="1" applyBorder="1" applyAlignment="1"/>
    <xf numFmtId="178" fontId="68" fillId="0" borderId="0" xfId="66" applyNumberFormat="1" applyFont="1" applyFill="1" applyAlignment="1"/>
    <xf numFmtId="178" fontId="67" fillId="0" borderId="96" xfId="66" applyNumberFormat="1" applyFont="1" applyFill="1" applyBorder="1" applyAlignment="1"/>
    <xf numFmtId="178" fontId="67" fillId="0" borderId="42" xfId="66" applyNumberFormat="1" applyFont="1" applyFill="1" applyBorder="1" applyAlignment="1"/>
    <xf numFmtId="178" fontId="67" fillId="0" borderId="61" xfId="66" applyNumberFormat="1" applyFont="1" applyFill="1" applyBorder="1" applyAlignment="1"/>
    <xf numFmtId="178" fontId="67" fillId="0" borderId="14" xfId="50" applyNumberFormat="1" applyFont="1" applyFill="1" applyBorder="1" applyAlignment="1"/>
    <xf numFmtId="178" fontId="67" fillId="0" borderId="60" xfId="66" applyNumberFormat="1" applyFont="1" applyFill="1" applyBorder="1" applyAlignment="1"/>
    <xf numFmtId="178" fontId="67" fillId="0" borderId="51" xfId="66" applyNumberFormat="1" applyFont="1" applyFill="1" applyBorder="1" applyAlignment="1"/>
    <xf numFmtId="178" fontId="67" fillId="0" borderId="73" xfId="66" applyNumberFormat="1" applyFont="1" applyFill="1" applyBorder="1" applyAlignment="1"/>
    <xf numFmtId="42" fontId="15" fillId="0" borderId="0" xfId="66" applyNumberFormat="1" applyBorder="1" applyAlignment="1"/>
  </cellXfs>
  <cellStyles count="5686">
    <cellStyle name="20% - Accent1" xfId="1" builtinId="30" customBuiltin="1"/>
    <cellStyle name="20% - Accent1 10" xfId="2615" xr:uid="{0530D38E-A898-4260-B744-EE0FD3F51670}"/>
    <cellStyle name="20% - Accent1 10 2" xfId="5050" xr:uid="{1B5BB733-B31C-45E1-89E8-6B9AE1C1AF2C}"/>
    <cellStyle name="20% - Accent1 11" xfId="946" xr:uid="{BDB4F86E-C395-4B17-B047-8C5095DD363A}"/>
    <cellStyle name="20% - Accent1 11 2" xfId="3842" xr:uid="{59F8B971-E92A-42A0-8C1D-D80B3EE5256F}"/>
    <cellStyle name="20% - Accent1 2" xfId="115" xr:uid="{00000000-0005-0000-0000-000001000000}"/>
    <cellStyle name="20% - Accent1 2 2" xfId="986" xr:uid="{B0F92561-DC52-438D-93BD-56FEC2F54158}"/>
    <cellStyle name="20% - Accent1 2 3" xfId="959" xr:uid="{D5F55993-EF67-4A2B-8AC5-82F99174DB9C}"/>
    <cellStyle name="20% - Accent1 2 3 2" xfId="932" xr:uid="{5756FCE1-F2E9-44A9-9BCD-DF13817ED7DF}"/>
    <cellStyle name="20% - Accent1 2 3 2 2" xfId="1978" xr:uid="{1AF804C7-B6CF-4E3F-8E9D-C44839DA52B8}"/>
    <cellStyle name="20% - Accent1 2 3 2 2 2" xfId="2816" xr:uid="{9F97E78A-BF2C-4A13-9A8A-4E9A2D7BA1C6}"/>
    <cellStyle name="20% - Accent1 2 3 2 2 2 2" xfId="5251" xr:uid="{8A7202C0-E3B0-4168-9036-A882F1397B6F}"/>
    <cellStyle name="20% - Accent1 2 3 2 2 3" xfId="4495" xr:uid="{3A6E4DDB-B1C6-4029-96D1-A8894BE732C2}"/>
    <cellStyle name="20% - Accent1 2 3 2 3" xfId="2288" xr:uid="{F2E1F472-CE35-4D10-8FEB-758E8C07E3DD}"/>
    <cellStyle name="20% - Accent1 2 3 2 3 2" xfId="4723" xr:uid="{85DE5FD8-F8C6-488F-A0CD-5787746E43DD}"/>
    <cellStyle name="20% - Accent1 2 3 2 4" xfId="3830" xr:uid="{B5345671-8464-40DF-9015-96E55105459F}"/>
    <cellStyle name="20% - Accent1 2 3 3" xfId="1808" xr:uid="{D3C92B8B-90D6-43B2-8227-DEE1BA0F0E5B}"/>
    <cellStyle name="20% - Accent1 2 3 3 2" xfId="2646" xr:uid="{70FB1B76-3321-46D4-9106-9DA2EEA22BFB}"/>
    <cellStyle name="20% - Accent1 2 3 3 2 2" xfId="5081" xr:uid="{68A9E1F3-9482-4321-80E0-5A1B248D6A70}"/>
    <cellStyle name="20% - Accent1 2 3 3 3" xfId="4325" xr:uid="{7FC01D06-39D6-40B2-B4C0-912C676C72BD}"/>
    <cellStyle name="20% - Accent1 2 3 4" xfId="2287" xr:uid="{D4B2E421-0561-416A-A741-CB28425CB29D}"/>
    <cellStyle name="20% - Accent1 2 3 4 2" xfId="4722" xr:uid="{7D5C51E6-A3EB-441F-AB85-537C9E848BA3}"/>
    <cellStyle name="20% - Accent1 2 3 5" xfId="3849" xr:uid="{A124BC04-1B1D-4243-87C3-AD3A11303B8D}"/>
    <cellStyle name="20% - Accent1 2 4" xfId="2216" xr:uid="{7EC04D94-F33F-43EE-B7B5-A74ED299E86E}"/>
    <cellStyle name="20% - Accent1 2 5" xfId="985" xr:uid="{496C287B-294B-4B32-85CE-D61DE6A8B3A9}"/>
    <cellStyle name="20% - Accent1 3" xfId="149" xr:uid="{00000000-0005-0000-0000-000002000000}"/>
    <cellStyle name="20% - Accent1 3 2" xfId="979" xr:uid="{205AB90E-089F-45A7-B4E0-E446BED22D60}"/>
    <cellStyle name="20% - Accent1 3 2 2" xfId="1979" xr:uid="{0B6C83EE-8580-457F-8023-6265CAC5FA47}"/>
    <cellStyle name="20% - Accent1 3 2 2 2" xfId="2817" xr:uid="{F988BB2A-E137-44C7-BFDC-91D1A7A233A5}"/>
    <cellStyle name="20% - Accent1 3 2 2 2 2" xfId="5252" xr:uid="{C6373E45-2710-4BC1-ADC3-D8A277A0C71F}"/>
    <cellStyle name="20% - Accent1 3 2 2 3" xfId="4496" xr:uid="{B56AD8FA-1601-449C-8498-F10B4C6DBCC3}"/>
    <cellStyle name="20% - Accent1 3 2 3" xfId="2290" xr:uid="{6F895BEF-BCED-40AC-96A0-82BD08C4B72E}"/>
    <cellStyle name="20% - Accent1 3 2 3 2" xfId="4725" xr:uid="{7ACFB64C-5FE6-4C31-A6D4-8F5C7187E785}"/>
    <cellStyle name="20% - Accent1 3 2 4" xfId="3866" xr:uid="{4D321D5C-EEB2-4EEB-BF26-5841FD046339}"/>
    <cellStyle name="20% - Accent1 3 3" xfId="1809" xr:uid="{931AC7EF-5BF8-4AFB-B058-9DF3DAB1E317}"/>
    <cellStyle name="20% - Accent1 3 3 2" xfId="2647" xr:uid="{78A469D2-3877-443D-9D6E-B6F0FBCDFBDA}"/>
    <cellStyle name="20% - Accent1 3 3 2 2" xfId="5082" xr:uid="{570EAE52-C520-41A5-88B8-D075AE9D40F5}"/>
    <cellStyle name="20% - Accent1 3 3 3" xfId="4326" xr:uid="{6A3D9817-490E-4DE7-9F98-83EEE3DFD902}"/>
    <cellStyle name="20% - Accent1 3 4" xfId="2289" xr:uid="{4303F234-775D-4272-856E-58CA7093D8D3}"/>
    <cellStyle name="20% - Accent1 3 4 2" xfId="4724" xr:uid="{874124A8-AE30-4EC2-B474-5EB1E6EB5848}"/>
    <cellStyle name="20% - Accent1 3 5" xfId="942" xr:uid="{E7080B5B-02A6-4315-B7D0-BA9EBFCC9C42}"/>
    <cellStyle name="20% - Accent1 3 5 2" xfId="3839" xr:uid="{5120F858-5000-4C64-8B26-33EAFA38F1EC}"/>
    <cellStyle name="20% - Accent1 4" xfId="195" xr:uid="{00000000-0005-0000-0000-000003000000}"/>
    <cellStyle name="20% - Accent1 4 2" xfId="961" xr:uid="{2AA9F089-2F1E-4A3A-B562-720CB4572103}"/>
    <cellStyle name="20% - Accent1 4 2 2" xfId="1977" xr:uid="{5F33A3F2-094E-4F21-9F9B-B8ECE9C453BE}"/>
    <cellStyle name="20% - Accent1 4 2 2 2" xfId="2815" xr:uid="{8030E80E-7422-4935-A2B7-2249CDE04564}"/>
    <cellStyle name="20% - Accent1 4 2 2 2 2" xfId="5250" xr:uid="{89249FE4-4DCD-4F4B-8280-D3D43FD3C821}"/>
    <cellStyle name="20% - Accent1 4 2 2 3" xfId="4494" xr:uid="{527CE932-A8CB-472C-9D91-27A874C3AB23}"/>
    <cellStyle name="20% - Accent1 4 2 3" xfId="2292" xr:uid="{904A13CC-9511-44BD-A155-55A1461B31BA}"/>
    <cellStyle name="20% - Accent1 4 2 3 2" xfId="4727" xr:uid="{0599947B-65CD-4DCE-96BA-0F04B036D9B3}"/>
    <cellStyle name="20% - Accent1 4 2 4" xfId="3851" xr:uid="{48BBF66C-EB65-4543-AA92-20F75DB96482}"/>
    <cellStyle name="20% - Accent1 4 3" xfId="1807" xr:uid="{AC47F1B8-BBE0-4DD0-97EF-DB99F3D3AE25}"/>
    <cellStyle name="20% - Accent1 4 3 2" xfId="2645" xr:uid="{B162F789-3EB4-478C-B48C-A5391DEB21B6}"/>
    <cellStyle name="20% - Accent1 4 3 2 2" xfId="5080" xr:uid="{6AC5B924-1C95-4C9C-8A22-53743593635A}"/>
    <cellStyle name="20% - Accent1 4 3 3" xfId="4324" xr:uid="{BD7295CC-9AF2-41A4-B850-986D32FA4747}"/>
    <cellStyle name="20% - Accent1 4 4" xfId="2291" xr:uid="{82B67865-F285-40AF-9237-AC60663EB795}"/>
    <cellStyle name="20% - Accent1 4 4 2" xfId="4726" xr:uid="{928E40C2-C6C4-437E-A342-82D10FC0809C}"/>
    <cellStyle name="20% - Accent1 4 5" xfId="960" xr:uid="{02CF68AE-40E1-4C03-A7E5-9AFC9172E6DB}"/>
    <cellStyle name="20% - Accent1 4 5 2" xfId="3850" xr:uid="{F176C64F-8748-4F5D-A3C8-036EEAFFDFF3}"/>
    <cellStyle name="20% - Accent1 5" xfId="241" xr:uid="{00000000-0005-0000-0000-000004000000}"/>
    <cellStyle name="20% - Accent1 5 2" xfId="1959" xr:uid="{6442A17C-839A-46CD-B1B9-93CBF511BD65}"/>
    <cellStyle name="20% - Accent1 5 2 2" xfId="2797" xr:uid="{80DEC1DD-596A-4720-A340-92C2CEE2C833}"/>
    <cellStyle name="20% - Accent1 5 2 2 2" xfId="5232" xr:uid="{50BD9A80-4680-4BEE-A932-11D90BA31DC3}"/>
    <cellStyle name="20% - Accent1 5 2 3" xfId="4476" xr:uid="{E29F50A5-4399-4677-B321-1023D8123BDC}"/>
    <cellStyle name="20% - Accent1 5 3" xfId="2293" xr:uid="{7411B0E5-644C-40F4-B004-9B1A2ECC1281}"/>
    <cellStyle name="20% - Accent1 5 3 2" xfId="4728" xr:uid="{1BB16F0A-E185-4F63-B8EC-3A30F27EE565}"/>
    <cellStyle name="20% - Accent1 5 4" xfId="947" xr:uid="{CFF7AC42-0470-4B78-BB57-0CCC00B31340}"/>
    <cellStyle name="20% - Accent1 5 4 2" xfId="3843" xr:uid="{94828FA6-D2E7-4B86-A83C-26DAD790C392}"/>
    <cellStyle name="20% - Accent1 6" xfId="290" xr:uid="{00000000-0005-0000-0000-000005000000}"/>
    <cellStyle name="20% - Accent1 6 2" xfId="2627" xr:uid="{59F633C1-AD72-4529-B123-A543BBBE47A7}"/>
    <cellStyle name="20% - Accent1 6 2 2" xfId="5062" xr:uid="{21C444C7-2B61-43BE-96D3-4022FE7FC0D1}"/>
    <cellStyle name="20% - Accent1 6 3" xfId="1789" xr:uid="{6F1A6773-3269-469E-80C2-09CF3E968FCC}"/>
    <cellStyle name="20% - Accent1 6 3 2" xfId="4306" xr:uid="{6B3019A5-4A94-4912-A6EB-603B6692FD22}"/>
    <cellStyle name="20% - Accent1 7" xfId="354" xr:uid="{00000000-0005-0000-0000-000006000000}"/>
    <cellStyle name="20% - Accent1 7 2" xfId="2969" xr:uid="{89D922CA-8333-4F9E-AB5D-C60140539537}"/>
    <cellStyle name="20% - Accent1 7 2 2" xfId="5404" xr:uid="{E594EDC5-AFDF-4F36-A47A-A880A2D697D6}"/>
    <cellStyle name="20% - Accent1 7 3" xfId="2131" xr:uid="{D72A6829-37BD-4F41-9960-E092A72BDF3B}"/>
    <cellStyle name="20% - Accent1 7 3 2" xfId="4648" xr:uid="{6F50E705-2DEC-4958-8E3C-017A8D21BB1C}"/>
    <cellStyle name="20% - Accent1 8" xfId="425" xr:uid="{00000000-0005-0000-0000-000007000000}"/>
    <cellStyle name="20% - Accent1 8 2" xfId="2160" xr:uid="{68F8AC44-09E9-4ECD-93A0-EC765A37E977}"/>
    <cellStyle name="20% - Accent1 8 2 2" xfId="4661" xr:uid="{D937CB3D-DBEA-4AEE-AAB8-2AA2F53820D1}"/>
    <cellStyle name="20% - Accent1 9" xfId="529" xr:uid="{00000000-0005-0000-0000-000008000000}"/>
    <cellStyle name="20% - Accent1 9 2" xfId="2174" xr:uid="{CBCBBE3E-F28D-4BF9-A80D-AFD5EEA10506}"/>
    <cellStyle name="20% - Accent1 9 2 2" xfId="4675" xr:uid="{8E376766-AE7D-4F37-BA57-C0B5F657E449}"/>
    <cellStyle name="20% - Accent2" xfId="2" builtinId="34" customBuiltin="1"/>
    <cellStyle name="20% - Accent2 10" xfId="2617" xr:uid="{D45E1C98-4E1F-4737-8142-6EA2ECD1C7F5}"/>
    <cellStyle name="20% - Accent2 10 2" xfId="5052" xr:uid="{1D1423E6-E4C2-4804-AC1D-26DF8BD5BABB}"/>
    <cellStyle name="20% - Accent2 11" xfId="920" xr:uid="{2F2F1766-9CCF-4EBF-B47F-27C648F64C4A}"/>
    <cellStyle name="20% - Accent2 11 2" xfId="3828" xr:uid="{CE558020-E147-4540-B4B0-2561EFA5C892}"/>
    <cellStyle name="20% - Accent2 2" xfId="116" xr:uid="{00000000-0005-0000-0000-00000A000000}"/>
    <cellStyle name="20% - Accent2 2 2" xfId="984" xr:uid="{411AB685-9CB9-4196-9358-F02608C6E97F}"/>
    <cellStyle name="20% - Accent2 2 3" xfId="962" xr:uid="{A6190496-D203-42E4-857D-DADEE9C883FE}"/>
    <cellStyle name="20% - Accent2 2 3 2" xfId="963" xr:uid="{6895F896-1357-4DDC-B042-E58DA8F2C864}"/>
    <cellStyle name="20% - Accent2 2 3 2 2" xfId="1981" xr:uid="{16FE7A79-5167-4C4B-92E6-4CBB33F1566E}"/>
    <cellStyle name="20% - Accent2 2 3 2 2 2" xfId="2819" xr:uid="{6FD42592-7A67-4D5C-8E59-4284A20DDD45}"/>
    <cellStyle name="20% - Accent2 2 3 2 2 2 2" xfId="5254" xr:uid="{C7B9348D-A92D-464B-9B0D-4BBD3DDC1F69}"/>
    <cellStyle name="20% - Accent2 2 3 2 2 3" xfId="4498" xr:uid="{C464D627-22BA-43D2-8F3B-61A6B07B122D}"/>
    <cellStyle name="20% - Accent2 2 3 2 3" xfId="2295" xr:uid="{2A4ECBE2-27F8-4DBD-BC85-DAC1F0AA44CF}"/>
    <cellStyle name="20% - Accent2 2 3 2 3 2" xfId="4730" xr:uid="{2DF45CDA-E91B-4C87-AB07-44A7448F353D}"/>
    <cellStyle name="20% - Accent2 2 3 2 4" xfId="3853" xr:uid="{53A497BF-CFB6-487F-A75E-ED98B3551F34}"/>
    <cellStyle name="20% - Accent2 2 3 3" xfId="1811" xr:uid="{21A02DD9-FFA4-402E-AD4B-44701A16DAC2}"/>
    <cellStyle name="20% - Accent2 2 3 3 2" xfId="2649" xr:uid="{792D5E3A-8196-4FB9-95E5-759F715902F2}"/>
    <cellStyle name="20% - Accent2 2 3 3 2 2" xfId="5084" xr:uid="{50E9B9D5-05AE-4916-8504-8FCB7739359F}"/>
    <cellStyle name="20% - Accent2 2 3 3 3" xfId="4328" xr:uid="{8121EB68-F8EC-4957-853D-F4C5A702F958}"/>
    <cellStyle name="20% - Accent2 2 3 4" xfId="2294" xr:uid="{3B21621E-C054-4AE6-8A37-DCB9000D8E03}"/>
    <cellStyle name="20% - Accent2 2 3 4 2" xfId="4729" xr:uid="{9E1BD3FD-E7E4-4EB9-A598-830DC34F4EC4}"/>
    <cellStyle name="20% - Accent2 2 3 5" xfId="3852" xr:uid="{489AB53F-F519-4C63-BC37-485ECD57381C}"/>
    <cellStyle name="20% - Accent2 2 4" xfId="2217" xr:uid="{8F05B092-4DCE-49FC-8339-6A9F810DA9DC}"/>
    <cellStyle name="20% - Accent2 2 5" xfId="989" xr:uid="{F6B2A9EB-0809-4EC2-B20C-AB5E9E7BE794}"/>
    <cellStyle name="20% - Accent2 3" xfId="150" xr:uid="{00000000-0005-0000-0000-00000B000000}"/>
    <cellStyle name="20% - Accent2 3 2" xfId="965" xr:uid="{B6C4C275-46FD-4A52-AFFE-FDD50B16206D}"/>
    <cellStyle name="20% - Accent2 3 2 2" xfId="1982" xr:uid="{35C6017E-1663-4FCF-87BB-6D94940C829F}"/>
    <cellStyle name="20% - Accent2 3 2 2 2" xfId="2820" xr:uid="{924999EB-B6B3-46E5-8475-1793C9FB504D}"/>
    <cellStyle name="20% - Accent2 3 2 2 2 2" xfId="5255" xr:uid="{B674335A-2E33-4E5F-807E-72A653C88827}"/>
    <cellStyle name="20% - Accent2 3 2 2 3" xfId="4499" xr:uid="{8DCF0E05-B4A7-4D5C-8959-4C7EA153B954}"/>
    <cellStyle name="20% - Accent2 3 2 3" xfId="2297" xr:uid="{5C6C3C63-DB64-4647-A265-5AD6BE0A1443}"/>
    <cellStyle name="20% - Accent2 3 2 3 2" xfId="4732" xr:uid="{FD33FF82-8916-472D-90D2-1CDB4C14FD41}"/>
    <cellStyle name="20% - Accent2 3 2 4" xfId="3855" xr:uid="{EF19E616-40E0-4380-83FD-3B24606618C0}"/>
    <cellStyle name="20% - Accent2 3 3" xfId="1812" xr:uid="{75D0AB1F-B9FC-4034-BB14-1369BFBCB17E}"/>
    <cellStyle name="20% - Accent2 3 3 2" xfId="2650" xr:uid="{F2E1BF83-BC92-41D2-9709-E7B16480C76E}"/>
    <cellStyle name="20% - Accent2 3 3 2 2" xfId="5085" xr:uid="{050B23A7-E227-4B39-BEC7-00CCBFD8861C}"/>
    <cellStyle name="20% - Accent2 3 3 3" xfId="4329" xr:uid="{507C7139-C3AD-4EF5-96A8-51545372AC95}"/>
    <cellStyle name="20% - Accent2 3 4" xfId="2296" xr:uid="{C7C4C218-3E26-423B-9E12-AB31850DA3BB}"/>
    <cellStyle name="20% - Accent2 3 4 2" xfId="4731" xr:uid="{3DA9D788-B9F1-4E6F-8BCC-67806C5DF0DD}"/>
    <cellStyle name="20% - Accent2 3 5" xfId="964" xr:uid="{747F896C-B310-485C-BD92-091169BFE826}"/>
    <cellStyle name="20% - Accent2 3 5 2" xfId="3854" xr:uid="{60E0A3AB-4751-4BD5-9576-0D196A874AC1}"/>
    <cellStyle name="20% - Accent2 4" xfId="196" xr:uid="{00000000-0005-0000-0000-00000C000000}"/>
    <cellStyle name="20% - Accent2 4 2" xfId="967" xr:uid="{49BD0448-028E-4D2D-924B-D68392E81FBC}"/>
    <cellStyle name="20% - Accent2 4 2 2" xfId="1980" xr:uid="{06A723C7-7256-4880-926D-73AA2CD6A6B5}"/>
    <cellStyle name="20% - Accent2 4 2 2 2" xfId="2818" xr:uid="{F7CCA871-54B0-49B0-856E-66B2421EF67A}"/>
    <cellStyle name="20% - Accent2 4 2 2 2 2" xfId="5253" xr:uid="{EE9109F6-A791-4E92-9C33-2B09B6E0305C}"/>
    <cellStyle name="20% - Accent2 4 2 2 3" xfId="4497" xr:uid="{3EB8827E-4C7A-4309-B34C-2A4F60779463}"/>
    <cellStyle name="20% - Accent2 4 2 3" xfId="2299" xr:uid="{1747903F-0B48-4C12-9BAD-90FE64F55E93}"/>
    <cellStyle name="20% - Accent2 4 2 3 2" xfId="4734" xr:uid="{64F285B3-1124-44A4-BDC2-FDC12290E518}"/>
    <cellStyle name="20% - Accent2 4 2 4" xfId="3857" xr:uid="{9F530370-3F75-4E09-A17A-739A00F5D3B1}"/>
    <cellStyle name="20% - Accent2 4 3" xfId="1810" xr:uid="{0D55ACEC-1AEA-4006-B035-2A1814D9ADA4}"/>
    <cellStyle name="20% - Accent2 4 3 2" xfId="2648" xr:uid="{2DB052C7-9684-45DB-A591-59F29978BF64}"/>
    <cellStyle name="20% - Accent2 4 3 2 2" xfId="5083" xr:uid="{49233B01-B753-4E61-A925-A90F024887B0}"/>
    <cellStyle name="20% - Accent2 4 3 3" xfId="4327" xr:uid="{1A3E8E34-1AA8-476A-A624-632E5EB6111B}"/>
    <cellStyle name="20% - Accent2 4 4" xfId="2298" xr:uid="{08219391-EDCF-4578-B04B-4E4572C6F6C3}"/>
    <cellStyle name="20% - Accent2 4 4 2" xfId="4733" xr:uid="{52C7C624-3795-4329-9082-86A76CAAAB6B}"/>
    <cellStyle name="20% - Accent2 4 5" xfId="966" xr:uid="{3E164E5F-D548-463E-8B9F-25F30C671444}"/>
    <cellStyle name="20% - Accent2 4 5 2" xfId="3856" xr:uid="{CC85D09E-564E-4B68-BCB7-BDD8E67E4E77}"/>
    <cellStyle name="20% - Accent2 5" xfId="242" xr:uid="{00000000-0005-0000-0000-00000D000000}"/>
    <cellStyle name="20% - Accent2 5 2" xfId="1960" xr:uid="{6268BA2A-8D35-4295-9938-7664CA5A71D8}"/>
    <cellStyle name="20% - Accent2 5 2 2" xfId="2798" xr:uid="{948ACF38-882A-48B8-AD57-0F2CF7A5AF5C}"/>
    <cellStyle name="20% - Accent2 5 2 2 2" xfId="5233" xr:uid="{DD7080F0-F129-4079-81E6-63ABC82C6A87}"/>
    <cellStyle name="20% - Accent2 5 2 3" xfId="4477" xr:uid="{EEE9C04C-53F6-4AC2-A066-F79374C56815}"/>
    <cellStyle name="20% - Accent2 5 3" xfId="2300" xr:uid="{8D329776-F97E-4510-8EDA-62F7699BCC57}"/>
    <cellStyle name="20% - Accent2 5 3 2" xfId="4735" xr:uid="{B3F0C368-3083-4EE2-856A-3C307C7A6DC3}"/>
    <cellStyle name="20% - Accent2 5 4" xfId="968" xr:uid="{1D41414A-D504-41CB-BB73-B4F86C41A2B1}"/>
    <cellStyle name="20% - Accent2 5 4 2" xfId="3858" xr:uid="{601D161D-CCF0-40F9-85E0-211EE08FDE7B}"/>
    <cellStyle name="20% - Accent2 6" xfId="291" xr:uid="{00000000-0005-0000-0000-00000E000000}"/>
    <cellStyle name="20% - Accent2 6 2" xfId="2628" xr:uid="{B5F1A896-7B3A-4D37-B3F1-8BF87E2C41B2}"/>
    <cellStyle name="20% - Accent2 6 2 2" xfId="5063" xr:uid="{6B0B7C3C-1B77-40D7-8656-68F170955B9A}"/>
    <cellStyle name="20% - Accent2 6 3" xfId="1790" xr:uid="{A8679535-76C2-4C95-B1F6-C2F50B4DBCBD}"/>
    <cellStyle name="20% - Accent2 6 3 2" xfId="4307" xr:uid="{F66C923E-9012-43EE-90B3-32EE97495547}"/>
    <cellStyle name="20% - Accent2 7" xfId="355" xr:uid="{00000000-0005-0000-0000-00000F000000}"/>
    <cellStyle name="20% - Accent2 7 2" xfId="2971" xr:uid="{64F5F296-F612-4CD5-AE57-82342F3A4393}"/>
    <cellStyle name="20% - Accent2 7 2 2" xfId="5406" xr:uid="{A668FB9D-7DF8-445A-B587-B4F5537B9FAA}"/>
    <cellStyle name="20% - Accent2 7 3" xfId="2133" xr:uid="{56DF31E3-FB5D-40BA-BE3B-0779244E3523}"/>
    <cellStyle name="20% - Accent2 7 3 2" xfId="4650" xr:uid="{84902020-C8B9-4F4C-AF5B-90DFB44E436F}"/>
    <cellStyle name="20% - Accent2 8" xfId="426" xr:uid="{00000000-0005-0000-0000-000010000000}"/>
    <cellStyle name="20% - Accent2 8 2" xfId="2162" xr:uid="{84855050-F300-458B-B537-D1EC01D7189E}"/>
    <cellStyle name="20% - Accent2 8 2 2" xfId="4663" xr:uid="{184562E0-E804-45B4-90F2-6D7B031D7C60}"/>
    <cellStyle name="20% - Accent2 9" xfId="530" xr:uid="{00000000-0005-0000-0000-000011000000}"/>
    <cellStyle name="20% - Accent2 9 2" xfId="2176" xr:uid="{5D233639-AE42-4B0D-8AE6-25139EF609DB}"/>
    <cellStyle name="20% - Accent2 9 2 2" xfId="4677" xr:uid="{3631F91E-331F-48C4-9706-143224B99FC2}"/>
    <cellStyle name="20% - Accent3" xfId="3" builtinId="38" customBuiltin="1"/>
    <cellStyle name="20% - Accent3 10" xfId="2619" xr:uid="{5CFCA78F-B461-4BCC-B775-E9685F5266A1}"/>
    <cellStyle name="20% - Accent3 10 2" xfId="5054" xr:uid="{B614DE88-F7E7-481B-95DC-1E76C25DBFAB}"/>
    <cellStyle name="20% - Accent3 11" xfId="954" xr:uid="{9976CA03-160C-4561-8E89-EC9ABB380422}"/>
    <cellStyle name="20% - Accent3 11 2" xfId="3845" xr:uid="{8689DDD5-256D-4897-A745-61F4B3A42649}"/>
    <cellStyle name="20% - Accent3 2" xfId="117" xr:uid="{00000000-0005-0000-0000-000013000000}"/>
    <cellStyle name="20% - Accent3 2 2" xfId="970" xr:uid="{DD253FEA-DAA4-4DF6-8EE5-1BB8561DED31}"/>
    <cellStyle name="20% - Accent3 2 3" xfId="971" xr:uid="{CBB66954-7CDD-471D-B5FE-8BC82C9EC750}"/>
    <cellStyle name="20% - Accent3 2 3 2" xfId="972" xr:uid="{093CC219-6515-4797-852E-6AA862DB4FE3}"/>
    <cellStyle name="20% - Accent3 2 3 2 2" xfId="1984" xr:uid="{ECD5F8E7-65A3-4F9F-A2ED-939E87D48675}"/>
    <cellStyle name="20% - Accent3 2 3 2 2 2" xfId="2822" xr:uid="{8C32541B-07CC-4DEC-BC1C-C9AE10448AE5}"/>
    <cellStyle name="20% - Accent3 2 3 2 2 2 2" xfId="5257" xr:uid="{1855AB54-8078-4A1A-97F2-062F37D88B0B}"/>
    <cellStyle name="20% - Accent3 2 3 2 2 3" xfId="4501" xr:uid="{F9EA3320-942D-4391-A89E-2B6C40C75B89}"/>
    <cellStyle name="20% - Accent3 2 3 2 3" xfId="2302" xr:uid="{7AF0586B-4310-44E5-8DEF-47382984C71B}"/>
    <cellStyle name="20% - Accent3 2 3 2 3 2" xfId="4737" xr:uid="{7CFAC01B-ABD2-4E57-B252-37D59050666F}"/>
    <cellStyle name="20% - Accent3 2 3 2 4" xfId="3860" xr:uid="{8C520078-FDCA-460A-BECB-357F9376E0E3}"/>
    <cellStyle name="20% - Accent3 2 3 3" xfId="1814" xr:uid="{839C1B10-9B83-4B60-AB4B-FE08CDA912F4}"/>
    <cellStyle name="20% - Accent3 2 3 3 2" xfId="2652" xr:uid="{A70331FB-B14B-4662-AD51-6735DAE2076D}"/>
    <cellStyle name="20% - Accent3 2 3 3 2 2" xfId="5087" xr:uid="{7BB6B168-2E7F-45C8-88A5-1D206045E45C}"/>
    <cellStyle name="20% - Accent3 2 3 3 3" xfId="4331" xr:uid="{5B06EAE2-F42C-41E5-8FE6-BBD797B512DF}"/>
    <cellStyle name="20% - Accent3 2 3 4" xfId="2301" xr:uid="{E1F9037A-2C5B-4BB8-A074-9C70863CF6D1}"/>
    <cellStyle name="20% - Accent3 2 3 4 2" xfId="4736" xr:uid="{DA803F8E-B2BE-436B-9D01-5CF24C880370}"/>
    <cellStyle name="20% - Accent3 2 3 5" xfId="3859" xr:uid="{F09E5DFA-C2F9-4121-A355-44D66A383CEB}"/>
    <cellStyle name="20% - Accent3 2 4" xfId="2218" xr:uid="{0A7782A0-8859-4E92-BC1B-36C87E98E6D5}"/>
    <cellStyle name="20% - Accent3 2 5" xfId="969" xr:uid="{4C323FB1-E24A-4CDF-9010-EFBBD52AEA7F}"/>
    <cellStyle name="20% - Accent3 3" xfId="151" xr:uid="{00000000-0005-0000-0000-000014000000}"/>
    <cellStyle name="20% - Accent3 3 2" xfId="974" xr:uid="{724ADA64-E435-46B2-97C4-6CDB46B18919}"/>
    <cellStyle name="20% - Accent3 3 2 2" xfId="1985" xr:uid="{EFF75ED3-9A83-41A3-9445-C9BE4DF6531B}"/>
    <cellStyle name="20% - Accent3 3 2 2 2" xfId="2823" xr:uid="{C881D943-3B7D-47FD-B219-74F48A9E7A25}"/>
    <cellStyle name="20% - Accent3 3 2 2 2 2" xfId="5258" xr:uid="{720EC776-DCA4-46A8-BCB7-1D1F46D2FE52}"/>
    <cellStyle name="20% - Accent3 3 2 2 3" xfId="4502" xr:uid="{E4A6BE64-C47C-464D-B6F8-A35A0A20E005}"/>
    <cellStyle name="20% - Accent3 3 2 3" xfId="2304" xr:uid="{F8983E88-6832-4586-BC30-679C8E76A32B}"/>
    <cellStyle name="20% - Accent3 3 2 3 2" xfId="4739" xr:uid="{B170CF8B-57B8-4EF9-B39E-A5EF3FBE4713}"/>
    <cellStyle name="20% - Accent3 3 2 4" xfId="3862" xr:uid="{B3664056-6FCF-4488-9A77-BF74C15BB8A6}"/>
    <cellStyle name="20% - Accent3 3 3" xfId="1815" xr:uid="{592F98F2-B4AD-42AB-A6E2-67FF0950841F}"/>
    <cellStyle name="20% - Accent3 3 3 2" xfId="2653" xr:uid="{0AFD1EF2-0FE0-4765-8734-E1D7A3853E8C}"/>
    <cellStyle name="20% - Accent3 3 3 2 2" xfId="5088" xr:uid="{FD884B17-49AD-4991-91B0-097BD0ED9E6B}"/>
    <cellStyle name="20% - Accent3 3 3 3" xfId="4332" xr:uid="{8F38C60D-E657-4C5A-84AC-2EAAE4FBC0A4}"/>
    <cellStyle name="20% - Accent3 3 4" xfId="2303" xr:uid="{0B87E608-DF69-4BD0-9AE9-4033E259A740}"/>
    <cellStyle name="20% - Accent3 3 4 2" xfId="4738" xr:uid="{78CD18B0-7CC0-4BD3-BBBC-EE18260B30E0}"/>
    <cellStyle name="20% - Accent3 3 5" xfId="973" xr:uid="{AB5D054D-9FD3-4F54-AD65-B7435A73F58A}"/>
    <cellStyle name="20% - Accent3 3 5 2" xfId="3861" xr:uid="{B7EB9F60-62CB-4CC4-B9B0-24947ECA7E53}"/>
    <cellStyle name="20% - Accent3 4" xfId="197" xr:uid="{00000000-0005-0000-0000-000015000000}"/>
    <cellStyle name="20% - Accent3 4 2" xfId="976" xr:uid="{9C0D4E76-07E0-4CFB-ABCB-56B683E5C1BA}"/>
    <cellStyle name="20% - Accent3 4 2 2" xfId="1983" xr:uid="{C5E18A03-061D-460C-9E0D-5E4515F30B08}"/>
    <cellStyle name="20% - Accent3 4 2 2 2" xfId="2821" xr:uid="{1E4E49C2-AAC5-4D0D-BC39-B6BAA92C6531}"/>
    <cellStyle name="20% - Accent3 4 2 2 2 2" xfId="5256" xr:uid="{7D839A4A-A443-4BD2-A20D-619131839913}"/>
    <cellStyle name="20% - Accent3 4 2 2 3" xfId="4500" xr:uid="{18442005-92BC-43B8-B58F-F672C02C660C}"/>
    <cellStyle name="20% - Accent3 4 2 3" xfId="2306" xr:uid="{FAAC5063-06E2-4296-AF98-8664D2AABEC0}"/>
    <cellStyle name="20% - Accent3 4 2 3 2" xfId="4741" xr:uid="{D926774F-B53A-4F71-AC33-4763BBE9E369}"/>
    <cellStyle name="20% - Accent3 4 2 4" xfId="3864" xr:uid="{8FE9A1C0-C18E-424F-B786-244FA637F61B}"/>
    <cellStyle name="20% - Accent3 4 3" xfId="1813" xr:uid="{D0B87D49-0A48-40F1-A7CB-BD29ABBC3EF9}"/>
    <cellStyle name="20% - Accent3 4 3 2" xfId="2651" xr:uid="{10423483-C5BF-42FD-8CB6-7B6538F6630F}"/>
    <cellStyle name="20% - Accent3 4 3 2 2" xfId="5086" xr:uid="{049F7C1C-3EEE-48DF-A776-64D1838F9A03}"/>
    <cellStyle name="20% - Accent3 4 3 3" xfId="4330" xr:uid="{B589C21F-CBB8-4ED2-BFA7-F4D5AEACBFD8}"/>
    <cellStyle name="20% - Accent3 4 4" xfId="2305" xr:uid="{ADF42BCE-45BB-4408-9F27-C0EA8972DA18}"/>
    <cellStyle name="20% - Accent3 4 4 2" xfId="4740" xr:uid="{3CB6FE64-AA87-496C-AB23-19CBB7BD1107}"/>
    <cellStyle name="20% - Accent3 4 5" xfId="975" xr:uid="{543CACB9-489A-41CD-93A0-84EF0D365944}"/>
    <cellStyle name="20% - Accent3 4 5 2" xfId="3863" xr:uid="{06678B94-8370-4B37-925B-45A09E44B5A5}"/>
    <cellStyle name="20% - Accent3 5" xfId="243" xr:uid="{00000000-0005-0000-0000-000016000000}"/>
    <cellStyle name="20% - Accent3 5 2" xfId="1961" xr:uid="{E753CB56-69F4-4C75-ADDD-E0D6EE7BD3A1}"/>
    <cellStyle name="20% - Accent3 5 2 2" xfId="2799" xr:uid="{BD45DB39-6319-4D67-A57B-414913B399B5}"/>
    <cellStyle name="20% - Accent3 5 2 2 2" xfId="5234" xr:uid="{41360DF6-9840-4320-AF18-197831769DF4}"/>
    <cellStyle name="20% - Accent3 5 2 3" xfId="4478" xr:uid="{2E041C25-4467-4A84-9D72-5142A116B276}"/>
    <cellStyle name="20% - Accent3 5 3" xfId="2307" xr:uid="{10772820-7654-4DBC-AC0F-34B83BBBF6F9}"/>
    <cellStyle name="20% - Accent3 5 3 2" xfId="4742" xr:uid="{CCD92B74-99C7-4B59-B84F-B3394561D3FC}"/>
    <cellStyle name="20% - Accent3 5 4" xfId="977" xr:uid="{ADED9F3F-8F59-4E0E-8A8E-94684C4899FC}"/>
    <cellStyle name="20% - Accent3 5 4 2" xfId="3865" xr:uid="{8B77B3E0-E302-4E7A-8D89-6694A47B661A}"/>
    <cellStyle name="20% - Accent3 6" xfId="292" xr:uid="{00000000-0005-0000-0000-000017000000}"/>
    <cellStyle name="20% - Accent3 6 2" xfId="2629" xr:uid="{DE824507-CB77-4F9F-95D5-EE06AC53C063}"/>
    <cellStyle name="20% - Accent3 6 2 2" xfId="5064" xr:uid="{EBF3494C-A8E2-451B-939E-34C3346F49FD}"/>
    <cellStyle name="20% - Accent3 6 3" xfId="1791" xr:uid="{F38B3921-7B0D-48AC-BB6C-454285E7984D}"/>
    <cellStyle name="20% - Accent3 6 3 2" xfId="4308" xr:uid="{462A1C57-B0DD-47F6-B824-5BEADD38136A}"/>
    <cellStyle name="20% - Accent3 7" xfId="356" xr:uid="{00000000-0005-0000-0000-000018000000}"/>
    <cellStyle name="20% - Accent3 7 2" xfId="2973" xr:uid="{EBBCB823-A93A-43C1-927B-87CAA8A2BAAD}"/>
    <cellStyle name="20% - Accent3 7 2 2" xfId="5408" xr:uid="{BB045980-9CAB-4448-AFCA-4DF3D7AAC8AF}"/>
    <cellStyle name="20% - Accent3 7 3" xfId="2135" xr:uid="{725C397B-6B53-4D9C-B684-4026A2DB8815}"/>
    <cellStyle name="20% - Accent3 7 3 2" xfId="4652" xr:uid="{24048B39-92F6-4D3E-A61B-586547AB9DF3}"/>
    <cellStyle name="20% - Accent3 8" xfId="427" xr:uid="{00000000-0005-0000-0000-000019000000}"/>
    <cellStyle name="20% - Accent3 8 2" xfId="2164" xr:uid="{0F0926F3-ECC6-4B25-9A8F-31F3B010F4B7}"/>
    <cellStyle name="20% - Accent3 8 2 2" xfId="4665" xr:uid="{94636EE7-4F49-4AC2-95FC-1FD4FB23234A}"/>
    <cellStyle name="20% - Accent3 9" xfId="531" xr:uid="{00000000-0005-0000-0000-00001A000000}"/>
    <cellStyle name="20% - Accent3 9 2" xfId="2178" xr:uid="{F5635B58-C54B-431A-A9D3-BB0919FD4219}"/>
    <cellStyle name="20% - Accent3 9 2 2" xfId="4679" xr:uid="{4F104492-CE55-4F43-98A3-1B136DBAE4A4}"/>
    <cellStyle name="20% - Accent4" xfId="4" builtinId="42" customBuiltin="1"/>
    <cellStyle name="20% - Accent4 10" xfId="2621" xr:uid="{3B246094-1720-43B5-B680-538F0B9BDA82}"/>
    <cellStyle name="20% - Accent4 10 2" xfId="5056" xr:uid="{040F4E02-EBD6-418C-B81E-B50F042FD4DE}"/>
    <cellStyle name="20% - Accent4 11" xfId="915" xr:uid="{5A6EEF32-3650-4018-B54A-AD33BB006856}"/>
    <cellStyle name="20% - Accent4 11 2" xfId="3827" xr:uid="{CAB20B1B-CB31-4D01-BC92-00672AD3C219}"/>
    <cellStyle name="20% - Accent4 2" xfId="118" xr:uid="{00000000-0005-0000-0000-00001C000000}"/>
    <cellStyle name="20% - Accent4 2 2" xfId="990" xr:uid="{AD11BAD8-EB0E-4C02-B7E0-C8A5C5BC992E}"/>
    <cellStyle name="20% - Accent4 2 3" xfId="991" xr:uid="{F37AA1A0-CC98-40B9-9C98-EFFDE52DE8EB}"/>
    <cellStyle name="20% - Accent4 2 3 2" xfId="992" xr:uid="{8740DF73-40EF-423B-B763-D97D8BCD625F}"/>
    <cellStyle name="20% - Accent4 2 3 2 2" xfId="1987" xr:uid="{50D7960A-5EBA-4D17-B5E4-486906E08A20}"/>
    <cellStyle name="20% - Accent4 2 3 2 2 2" xfId="2825" xr:uid="{EC1AAE1A-91C5-4103-9B27-4D1D0FE91ACC}"/>
    <cellStyle name="20% - Accent4 2 3 2 2 2 2" xfId="5260" xr:uid="{C7C1C9F6-4215-4672-A45C-39350091EDDC}"/>
    <cellStyle name="20% - Accent4 2 3 2 2 3" xfId="4504" xr:uid="{3158E772-1AFA-45FE-9836-C55201ED0407}"/>
    <cellStyle name="20% - Accent4 2 3 2 3" xfId="2309" xr:uid="{8657D0CA-0A0E-48A8-BF17-7661EF597940}"/>
    <cellStyle name="20% - Accent4 2 3 2 3 2" xfId="4744" xr:uid="{B37C1CBC-2D8A-4CED-A95A-33138F7C90EA}"/>
    <cellStyle name="20% - Accent4 2 3 2 4" xfId="3870" xr:uid="{3D42FFD1-33DB-4C91-9240-1CE8121377F8}"/>
    <cellStyle name="20% - Accent4 2 3 3" xfId="1817" xr:uid="{46E3803B-4A29-4307-A8A2-D69AB3EB1929}"/>
    <cellStyle name="20% - Accent4 2 3 3 2" xfId="2655" xr:uid="{4004886A-F3E3-45AE-99E6-D759C004DD92}"/>
    <cellStyle name="20% - Accent4 2 3 3 2 2" xfId="5090" xr:uid="{132EF9A7-DFB3-44B4-BC9B-5B5D57F7F722}"/>
    <cellStyle name="20% - Accent4 2 3 3 3" xfId="4334" xr:uid="{3391F630-E113-4FC9-B5EB-3900D57CD177}"/>
    <cellStyle name="20% - Accent4 2 3 4" xfId="2308" xr:uid="{26963832-3F73-44E1-979B-DB77DCFAC3E8}"/>
    <cellStyle name="20% - Accent4 2 3 4 2" xfId="4743" xr:uid="{89F77D22-A34E-44E7-962D-2D0309141FBA}"/>
    <cellStyle name="20% - Accent4 2 3 5" xfId="3869" xr:uid="{6DB4A763-618E-4E54-A67D-1F8F0564AE45}"/>
    <cellStyle name="20% - Accent4 2 4" xfId="2219" xr:uid="{075B8647-6530-43C4-ADD7-C3E66A097459}"/>
    <cellStyle name="20% - Accent4 2 5" xfId="978" xr:uid="{41407D36-276F-427E-AA59-25CEF9B39271}"/>
    <cellStyle name="20% - Accent4 3" xfId="152" xr:uid="{00000000-0005-0000-0000-00001D000000}"/>
    <cellStyle name="20% - Accent4 3 2" xfId="994" xr:uid="{8EA00686-9AF7-455A-9C75-384CEBBBD61B}"/>
    <cellStyle name="20% - Accent4 3 2 2" xfId="1988" xr:uid="{E2019116-697E-44F4-B067-14D621F451AB}"/>
    <cellStyle name="20% - Accent4 3 2 2 2" xfId="2826" xr:uid="{FDAC9AD9-EE27-49C4-914E-1AA1BEEC14C2}"/>
    <cellStyle name="20% - Accent4 3 2 2 2 2" xfId="5261" xr:uid="{082399F4-96DF-47B5-9C73-2D93A48E8E2F}"/>
    <cellStyle name="20% - Accent4 3 2 2 3" xfId="4505" xr:uid="{46FDB8C5-E9E8-4B3B-A365-76F4024BF87D}"/>
    <cellStyle name="20% - Accent4 3 2 3" xfId="2311" xr:uid="{806C6774-D6C7-4EE8-A7F9-0731C5754DE1}"/>
    <cellStyle name="20% - Accent4 3 2 3 2" xfId="4746" xr:uid="{91330C7A-9AED-41EB-A197-D9907D2DE3A2}"/>
    <cellStyle name="20% - Accent4 3 2 4" xfId="3872" xr:uid="{D12157BB-7337-4314-9EB7-69685E3A7243}"/>
    <cellStyle name="20% - Accent4 3 3" xfId="1818" xr:uid="{083BC5F4-CE7C-44D6-817C-8DE06A951424}"/>
    <cellStyle name="20% - Accent4 3 3 2" xfId="2656" xr:uid="{2EAFABAD-E117-4497-87CC-74CC40D14302}"/>
    <cellStyle name="20% - Accent4 3 3 2 2" xfId="5091" xr:uid="{E5088DFE-EBE5-4FFE-9771-8267B252A125}"/>
    <cellStyle name="20% - Accent4 3 3 3" xfId="4335" xr:uid="{E94C647A-35CB-4AEE-93D3-3993C7983190}"/>
    <cellStyle name="20% - Accent4 3 4" xfId="2310" xr:uid="{C49B6845-9C0F-408F-847E-7BB01040D4FD}"/>
    <cellStyle name="20% - Accent4 3 4 2" xfId="4745" xr:uid="{EA29C7C7-F910-4FBD-A695-5D7DA1E60954}"/>
    <cellStyle name="20% - Accent4 3 5" xfId="993" xr:uid="{DDD2C970-219F-4FC0-9272-5809ACEBDED1}"/>
    <cellStyle name="20% - Accent4 3 5 2" xfId="3871" xr:uid="{E8D4AE52-6686-4481-AC67-A8473C6A7653}"/>
    <cellStyle name="20% - Accent4 4" xfId="198" xr:uid="{00000000-0005-0000-0000-00001E000000}"/>
    <cellStyle name="20% - Accent4 4 2" xfId="996" xr:uid="{BE25CD25-1068-40EC-976D-64B4DB0B9F1A}"/>
    <cellStyle name="20% - Accent4 4 2 2" xfId="1986" xr:uid="{744944CC-AFC2-4AEA-A3B0-9BA055A9C307}"/>
    <cellStyle name="20% - Accent4 4 2 2 2" xfId="2824" xr:uid="{598AA6E2-7C39-4ABB-999E-6F0B383D7539}"/>
    <cellStyle name="20% - Accent4 4 2 2 2 2" xfId="5259" xr:uid="{C49AF3F4-FDA9-4CED-9B31-3B298C5BA507}"/>
    <cellStyle name="20% - Accent4 4 2 2 3" xfId="4503" xr:uid="{2690F89E-5ABD-4643-8F52-18A1140C3F8E}"/>
    <cellStyle name="20% - Accent4 4 2 3" xfId="2313" xr:uid="{78686982-BAEA-4E23-962D-280F43539678}"/>
    <cellStyle name="20% - Accent4 4 2 3 2" xfId="4748" xr:uid="{959BAC1E-37A2-48C7-A365-EF25B10650CE}"/>
    <cellStyle name="20% - Accent4 4 2 4" xfId="3874" xr:uid="{26F6BEEC-EE56-40A7-B134-71BFB518374E}"/>
    <cellStyle name="20% - Accent4 4 3" xfId="1816" xr:uid="{83190624-4E4D-4E40-A1C7-92888BFA02F8}"/>
    <cellStyle name="20% - Accent4 4 3 2" xfId="2654" xr:uid="{49A10E1E-DC85-408D-B63A-6065F56D789C}"/>
    <cellStyle name="20% - Accent4 4 3 2 2" xfId="5089" xr:uid="{9328185E-619E-4C97-8117-68CF351A1EC6}"/>
    <cellStyle name="20% - Accent4 4 3 3" xfId="4333" xr:uid="{9061EA33-24D5-4699-A7EF-B842AB3DC73E}"/>
    <cellStyle name="20% - Accent4 4 4" xfId="2312" xr:uid="{6FCF534A-0EA9-4B7F-9F79-A333B98820D7}"/>
    <cellStyle name="20% - Accent4 4 4 2" xfId="4747" xr:uid="{97989DA6-E5BA-48F5-A60C-E68494987407}"/>
    <cellStyle name="20% - Accent4 4 5" xfId="995" xr:uid="{DFA5EF04-B3E9-4B5D-9F85-2930EA017724}"/>
    <cellStyle name="20% - Accent4 4 5 2" xfId="3873" xr:uid="{646F8E97-E2B7-4E2C-92D1-EF30D47C108D}"/>
    <cellStyle name="20% - Accent4 5" xfId="244" xr:uid="{00000000-0005-0000-0000-00001F000000}"/>
    <cellStyle name="20% - Accent4 5 2" xfId="1962" xr:uid="{ADA161F3-2D41-4676-BD2F-3E7196E94731}"/>
    <cellStyle name="20% - Accent4 5 2 2" xfId="2800" xr:uid="{2F1CB915-6CC7-44FD-951C-00B876F43780}"/>
    <cellStyle name="20% - Accent4 5 2 2 2" xfId="5235" xr:uid="{E0F69F5F-2F51-47C4-8C7D-89BD1DCE69EA}"/>
    <cellStyle name="20% - Accent4 5 2 3" xfId="4479" xr:uid="{56118FF9-B512-4109-84C7-0186EC575E3E}"/>
    <cellStyle name="20% - Accent4 5 3" xfId="2314" xr:uid="{9747D78F-093D-4B47-8A38-96D7F968850B}"/>
    <cellStyle name="20% - Accent4 5 3 2" xfId="4749" xr:uid="{799B96A5-9C99-45F9-9C19-1165C57E06EC}"/>
    <cellStyle name="20% - Accent4 5 4" xfId="997" xr:uid="{3CC0B8DE-554D-4A59-8AE4-77900C732C2A}"/>
    <cellStyle name="20% - Accent4 5 4 2" xfId="3875" xr:uid="{1B5C81B1-65BD-4DD2-AA65-44AE87DD249D}"/>
    <cellStyle name="20% - Accent4 6" xfId="293" xr:uid="{00000000-0005-0000-0000-000020000000}"/>
    <cellStyle name="20% - Accent4 6 2" xfId="2630" xr:uid="{E591D52A-CCE6-4B0B-8597-1A6DBEF752A2}"/>
    <cellStyle name="20% - Accent4 6 2 2" xfId="5065" xr:uid="{6CF8AF5E-3730-4BB7-9B29-603F003BA235}"/>
    <cellStyle name="20% - Accent4 6 3" xfId="1792" xr:uid="{F940F4DD-2457-47CA-97AD-8792B5DBC7C5}"/>
    <cellStyle name="20% - Accent4 6 3 2" xfId="4309" xr:uid="{45AAE682-8192-4845-AFB2-6603CF47FA91}"/>
    <cellStyle name="20% - Accent4 7" xfId="357" xr:uid="{00000000-0005-0000-0000-000021000000}"/>
    <cellStyle name="20% - Accent4 7 2" xfId="2975" xr:uid="{0B41D3AE-EA91-4627-B1BC-B18C40D99F8D}"/>
    <cellStyle name="20% - Accent4 7 2 2" xfId="5410" xr:uid="{FCD70600-CE08-4DC5-8CC0-F38E631FCB7C}"/>
    <cellStyle name="20% - Accent4 7 3" xfId="2137" xr:uid="{AFA90D69-FED5-45B2-BC8B-3ABC622E7564}"/>
    <cellStyle name="20% - Accent4 7 3 2" xfId="4654" xr:uid="{ACA308D2-4F47-4F74-8420-CDB75EB62EBC}"/>
    <cellStyle name="20% - Accent4 8" xfId="428" xr:uid="{00000000-0005-0000-0000-000022000000}"/>
    <cellStyle name="20% - Accent4 8 2" xfId="2166" xr:uid="{279FEF06-27CB-4D4A-8DC7-721ACEEA3476}"/>
    <cellStyle name="20% - Accent4 8 2 2" xfId="4667" xr:uid="{2DD21D8D-B606-46ED-BE8B-1F85A1AEE040}"/>
    <cellStyle name="20% - Accent4 9" xfId="532" xr:uid="{00000000-0005-0000-0000-000023000000}"/>
    <cellStyle name="20% - Accent4 9 2" xfId="2180" xr:uid="{9C5FA449-C34D-49CA-B79F-5874FCBE6CDD}"/>
    <cellStyle name="20% - Accent4 9 2 2" xfId="4681" xr:uid="{25188845-D549-4B21-BC70-DE161D5492FD}"/>
    <cellStyle name="20% - Accent5" xfId="5" builtinId="46" customBuiltin="1"/>
    <cellStyle name="20% - Accent5 10" xfId="2623" xr:uid="{6838C6DB-F91B-405D-9955-F790BD8866AB}"/>
    <cellStyle name="20% - Accent5 10 2" xfId="5058" xr:uid="{62E328D9-A66D-4C93-B645-9E5C3AEC8E58}"/>
    <cellStyle name="20% - Accent5 11" xfId="955" xr:uid="{65D9CE5D-1048-4C74-92E8-52AAD66AFC95}"/>
    <cellStyle name="20% - Accent5 11 2" xfId="3846" xr:uid="{97F1742F-EE5C-4CB9-B4B3-6964688E9D4E}"/>
    <cellStyle name="20% - Accent5 2" xfId="119" xr:uid="{00000000-0005-0000-0000-000025000000}"/>
    <cellStyle name="20% - Accent5 2 2" xfId="999" xr:uid="{7B5C3155-02B1-4EDC-8B6B-5B064CD8FACE}"/>
    <cellStyle name="20% - Accent5 2 3" xfId="1000" xr:uid="{5A35E671-037E-4446-B676-B44A4A44C604}"/>
    <cellStyle name="20% - Accent5 2 3 2" xfId="1001" xr:uid="{7C69208B-6F47-419A-A30F-7D48C2B6C02A}"/>
    <cellStyle name="20% - Accent5 2 3 2 2" xfId="1990" xr:uid="{D7B6362A-66A5-4F7C-860F-221FBE4B7D1F}"/>
    <cellStyle name="20% - Accent5 2 3 2 2 2" xfId="2828" xr:uid="{E40D3A5F-568E-4EDF-A2C6-E1490F686110}"/>
    <cellStyle name="20% - Accent5 2 3 2 2 2 2" xfId="5263" xr:uid="{B6069C67-F9ED-465F-9629-5060AB2F2E03}"/>
    <cellStyle name="20% - Accent5 2 3 2 2 3" xfId="4507" xr:uid="{F13DD214-5A10-4D05-9013-992F07BC0C29}"/>
    <cellStyle name="20% - Accent5 2 3 2 3" xfId="2316" xr:uid="{0A18502E-91A4-4CA9-AA6A-834170908847}"/>
    <cellStyle name="20% - Accent5 2 3 2 3 2" xfId="4751" xr:uid="{D1BAD48E-94C5-4ED8-9866-6295A121C356}"/>
    <cellStyle name="20% - Accent5 2 3 2 4" xfId="3877" xr:uid="{5D95B66C-1796-41CD-81D5-C93FFF8314DD}"/>
    <cellStyle name="20% - Accent5 2 3 3" xfId="1820" xr:uid="{56132001-12FE-43E0-A866-2099ECB6DAA4}"/>
    <cellStyle name="20% - Accent5 2 3 3 2" xfId="2658" xr:uid="{45706CF6-E31B-4035-9572-EB5647294671}"/>
    <cellStyle name="20% - Accent5 2 3 3 2 2" xfId="5093" xr:uid="{C5A61A4F-E37C-4897-AD03-4501467DF222}"/>
    <cellStyle name="20% - Accent5 2 3 3 3" xfId="4337" xr:uid="{4534452B-1EB7-4168-ADF2-40AD63937640}"/>
    <cellStyle name="20% - Accent5 2 3 4" xfId="2315" xr:uid="{EAF24546-C969-44E0-B446-36ACA632C60B}"/>
    <cellStyle name="20% - Accent5 2 3 4 2" xfId="4750" xr:uid="{2CB39F72-F137-4615-8936-FBB7828CE826}"/>
    <cellStyle name="20% - Accent5 2 3 5" xfId="3876" xr:uid="{9CBD559E-7C5C-4807-827B-BB55B0B5455C}"/>
    <cellStyle name="20% - Accent5 2 4" xfId="2220" xr:uid="{F98227FC-5253-4B46-9E09-F249A2650BFA}"/>
    <cellStyle name="20% - Accent5 2 5" xfId="998" xr:uid="{8760A610-AD8B-447D-BBC5-668CB764E525}"/>
    <cellStyle name="20% - Accent5 3" xfId="153" xr:uid="{00000000-0005-0000-0000-000026000000}"/>
    <cellStyle name="20% - Accent5 3 2" xfId="1003" xr:uid="{9EF973E9-CAF4-4B7B-962C-3BF2F8E8CC62}"/>
    <cellStyle name="20% - Accent5 3 2 2" xfId="1991" xr:uid="{928F28D5-455D-42E0-B049-F840D568D4AF}"/>
    <cellStyle name="20% - Accent5 3 2 2 2" xfId="2829" xr:uid="{39F47B1B-CC14-415D-B7B6-A9686C46E583}"/>
    <cellStyle name="20% - Accent5 3 2 2 2 2" xfId="5264" xr:uid="{1F8DE7A4-11DF-43FB-B921-8714407D074D}"/>
    <cellStyle name="20% - Accent5 3 2 2 3" xfId="4508" xr:uid="{73536A38-2E6D-4708-8DE8-DDD214F24609}"/>
    <cellStyle name="20% - Accent5 3 2 3" xfId="2318" xr:uid="{ECEEC8EF-F888-4F3D-A6EF-6D8436AAAEA3}"/>
    <cellStyle name="20% - Accent5 3 2 3 2" xfId="4753" xr:uid="{76DF84AC-63CD-4A0E-93BE-BF5189E4F266}"/>
    <cellStyle name="20% - Accent5 3 2 4" xfId="3879" xr:uid="{6B0713C1-E84D-48F0-81F8-1F00CEA241E9}"/>
    <cellStyle name="20% - Accent5 3 3" xfId="1821" xr:uid="{AD14CF76-C82F-48DF-BF54-C960C90F9C84}"/>
    <cellStyle name="20% - Accent5 3 3 2" xfId="2659" xr:uid="{53B9054F-287D-4ED0-A13F-5533116E6542}"/>
    <cellStyle name="20% - Accent5 3 3 2 2" xfId="5094" xr:uid="{88087135-5B8E-474F-B3D3-195622B3C0A3}"/>
    <cellStyle name="20% - Accent5 3 3 3" xfId="4338" xr:uid="{100EE6FF-A653-4F53-8A11-69F26C67D491}"/>
    <cellStyle name="20% - Accent5 3 4" xfId="2317" xr:uid="{FF60A855-3B8A-4019-9058-ED5FAF5861E8}"/>
    <cellStyle name="20% - Accent5 3 4 2" xfId="4752" xr:uid="{F646AE9F-F323-4EE1-95A0-C02ADD14D9DE}"/>
    <cellStyle name="20% - Accent5 3 5" xfId="1002" xr:uid="{66A87533-90B6-4B1A-B0E5-C9B470CD23B3}"/>
    <cellStyle name="20% - Accent5 3 5 2" xfId="3878" xr:uid="{30D46826-05A9-4DBA-AE28-BCCBF653EBB4}"/>
    <cellStyle name="20% - Accent5 4" xfId="199" xr:uid="{00000000-0005-0000-0000-000027000000}"/>
    <cellStyle name="20% - Accent5 4 2" xfId="1005" xr:uid="{AA644061-9800-4EC0-8A2D-50A8B4859DBA}"/>
    <cellStyle name="20% - Accent5 4 2 2" xfId="1989" xr:uid="{65F84DE7-7582-4CE5-AAE4-089F874701F2}"/>
    <cellStyle name="20% - Accent5 4 2 2 2" xfId="2827" xr:uid="{473D1B3D-8A9C-4F6C-8B8D-DBDD8805BDB1}"/>
    <cellStyle name="20% - Accent5 4 2 2 2 2" xfId="5262" xr:uid="{6CFCA27E-F752-473B-8338-BD93C8B98E57}"/>
    <cellStyle name="20% - Accent5 4 2 2 3" xfId="4506" xr:uid="{FD40DF06-F49F-4971-8B9B-2B1B5BAB5A5D}"/>
    <cellStyle name="20% - Accent5 4 2 3" xfId="2320" xr:uid="{29086845-2772-429E-9818-D7E62C0C192B}"/>
    <cellStyle name="20% - Accent5 4 2 3 2" xfId="4755" xr:uid="{694771FA-D0B7-4281-8B52-6577793C87E0}"/>
    <cellStyle name="20% - Accent5 4 2 4" xfId="3881" xr:uid="{45BA9550-D03D-4673-A73E-4637E9590E8F}"/>
    <cellStyle name="20% - Accent5 4 3" xfId="1819" xr:uid="{6821BDDF-2075-48EF-91B5-8E552E9AE38D}"/>
    <cellStyle name="20% - Accent5 4 3 2" xfId="2657" xr:uid="{13EF4B57-3E05-4E81-ACD7-C490BEC58E3F}"/>
    <cellStyle name="20% - Accent5 4 3 2 2" xfId="5092" xr:uid="{69C9F7B5-6933-48F9-89F4-7E074DA4205E}"/>
    <cellStyle name="20% - Accent5 4 3 3" xfId="4336" xr:uid="{0026E6B3-271A-43B7-8B22-D641E01BF4F9}"/>
    <cellStyle name="20% - Accent5 4 4" xfId="2319" xr:uid="{7879E237-7FC4-4E34-8CEB-AC4398F530CB}"/>
    <cellStyle name="20% - Accent5 4 4 2" xfId="4754" xr:uid="{FC93B88B-26DC-4016-B094-8DE8F251E784}"/>
    <cellStyle name="20% - Accent5 4 5" xfId="1004" xr:uid="{1899A785-A684-45DA-AE71-1FD9C1F733EA}"/>
    <cellStyle name="20% - Accent5 4 5 2" xfId="3880" xr:uid="{7FD88EB2-79BE-4361-9B32-C3AC11868042}"/>
    <cellStyle name="20% - Accent5 5" xfId="245" xr:uid="{00000000-0005-0000-0000-000028000000}"/>
    <cellStyle name="20% - Accent5 5 2" xfId="1963" xr:uid="{D8B730FA-47E5-4692-90C1-F0F8DBD24AA6}"/>
    <cellStyle name="20% - Accent5 5 2 2" xfId="2801" xr:uid="{C9A74226-BC2B-440C-846F-873E586DC660}"/>
    <cellStyle name="20% - Accent5 5 2 2 2" xfId="5236" xr:uid="{77E33AE2-5E04-42E4-B3DC-3258794FFA4B}"/>
    <cellStyle name="20% - Accent5 5 2 3" xfId="4480" xr:uid="{4EE21CBA-9DC2-4F36-9C52-8C5F59C419C9}"/>
    <cellStyle name="20% - Accent5 5 3" xfId="2321" xr:uid="{1AA93757-A072-4EA9-AC5D-F4084391F2BE}"/>
    <cellStyle name="20% - Accent5 5 3 2" xfId="4756" xr:uid="{44AED110-499B-4C71-AAFB-D7A55515B370}"/>
    <cellStyle name="20% - Accent5 5 4" xfId="1006" xr:uid="{371A469F-AC47-4255-A777-DC99FF1E267C}"/>
    <cellStyle name="20% - Accent5 5 4 2" xfId="3882" xr:uid="{EDF4D78E-DD45-4B79-9515-614AE7BC41FF}"/>
    <cellStyle name="20% - Accent5 6" xfId="294" xr:uid="{00000000-0005-0000-0000-000029000000}"/>
    <cellStyle name="20% - Accent5 6 2" xfId="2631" xr:uid="{78177C13-B088-4043-8BE7-9473C983F540}"/>
    <cellStyle name="20% - Accent5 6 2 2" xfId="5066" xr:uid="{ED82CC04-98F8-465F-8A67-20F7DF6648D5}"/>
    <cellStyle name="20% - Accent5 6 3" xfId="1793" xr:uid="{D5581B2D-3A53-4D15-B3E3-5833254AF209}"/>
    <cellStyle name="20% - Accent5 6 3 2" xfId="4310" xr:uid="{B6B175A8-02B6-46F5-A9F3-F6A3E6A02BC9}"/>
    <cellStyle name="20% - Accent5 7" xfId="358" xr:uid="{00000000-0005-0000-0000-00002A000000}"/>
    <cellStyle name="20% - Accent5 7 2" xfId="2977" xr:uid="{7EFC81BD-072A-4105-A587-0039157F90AD}"/>
    <cellStyle name="20% - Accent5 7 2 2" xfId="5412" xr:uid="{66B4D51D-2472-4470-9E74-57C631DCED0F}"/>
    <cellStyle name="20% - Accent5 7 3" xfId="2139" xr:uid="{F83AD71D-90F4-43AB-AF68-AA61A396CEBF}"/>
    <cellStyle name="20% - Accent5 7 3 2" xfId="4656" xr:uid="{501C41A7-D99F-423A-90F5-BEDA4ABA7C25}"/>
    <cellStyle name="20% - Accent5 8" xfId="429" xr:uid="{00000000-0005-0000-0000-00002B000000}"/>
    <cellStyle name="20% - Accent5 8 2" xfId="2168" xr:uid="{79F8541E-4003-4E4A-8FB0-75B183F81C6D}"/>
    <cellStyle name="20% - Accent5 8 2 2" xfId="4669" xr:uid="{84E1334E-66D9-4F18-9BCA-09107C3D2855}"/>
    <cellStyle name="20% - Accent5 9" xfId="533" xr:uid="{00000000-0005-0000-0000-00002C000000}"/>
    <cellStyle name="20% - Accent5 9 2" xfId="2182" xr:uid="{AFC5FC3C-446B-4FFD-BD2F-2CA2F2885C3E}"/>
    <cellStyle name="20% - Accent5 9 2 2" xfId="4683" xr:uid="{EF8226F4-2EB0-40B1-9FA2-B9EDA30793DE}"/>
    <cellStyle name="20% - Accent6" xfId="6" builtinId="50" customBuiltin="1"/>
    <cellStyle name="20% - Accent6 10" xfId="2625" xr:uid="{139A38CA-48A4-420F-A66C-C60413E459E3}"/>
    <cellStyle name="20% - Accent6 10 2" xfId="5060" xr:uid="{75CACBBF-BB25-4D3E-821F-2396AA1ED485}"/>
    <cellStyle name="20% - Accent6 11" xfId="958" xr:uid="{B196BEDD-6B0C-4E1B-87E6-F4BD78EECC60}"/>
    <cellStyle name="20% - Accent6 11 2" xfId="3848" xr:uid="{EC3B6E11-5F16-41CF-BE18-9CA72FBC805F}"/>
    <cellStyle name="20% - Accent6 2" xfId="120" xr:uid="{00000000-0005-0000-0000-00002E000000}"/>
    <cellStyle name="20% - Accent6 2 2" xfId="1008" xr:uid="{32A5127A-3158-42F6-ACB8-F01D7AD7CBAE}"/>
    <cellStyle name="20% - Accent6 2 3" xfId="1009" xr:uid="{15F34193-FEFE-41FB-B285-50FEE25AC214}"/>
    <cellStyle name="20% - Accent6 2 3 2" xfId="1010" xr:uid="{29751FB2-23BC-4A0B-9D2B-386F70DDBD1D}"/>
    <cellStyle name="20% - Accent6 2 3 2 2" xfId="1993" xr:uid="{767E7C03-25F3-4099-A590-8993B88049A2}"/>
    <cellStyle name="20% - Accent6 2 3 2 2 2" xfId="2831" xr:uid="{C8CE4F9D-3B59-4168-9DC4-1F8CFCE3A7DA}"/>
    <cellStyle name="20% - Accent6 2 3 2 2 2 2" xfId="5266" xr:uid="{24A882A1-AF59-4A81-BC52-882B528D277A}"/>
    <cellStyle name="20% - Accent6 2 3 2 2 3" xfId="4510" xr:uid="{571644A2-CEBE-44C0-8461-F2632C02A947}"/>
    <cellStyle name="20% - Accent6 2 3 2 3" xfId="2323" xr:uid="{37B0D38D-241E-4FD5-9913-741F562B68BD}"/>
    <cellStyle name="20% - Accent6 2 3 2 3 2" xfId="4758" xr:uid="{85E6C73D-DD08-44D8-AC93-FD6316C20D7F}"/>
    <cellStyle name="20% - Accent6 2 3 2 4" xfId="3884" xr:uid="{68F4EA79-E96E-4D8B-9FC3-7CD8A1C42971}"/>
    <cellStyle name="20% - Accent6 2 3 3" xfId="1823" xr:uid="{DE964CA4-EFEA-4507-B351-4BC01D0B1A19}"/>
    <cellStyle name="20% - Accent6 2 3 3 2" xfId="2661" xr:uid="{6773F93F-E0A5-46F6-BE89-C126DBA3A359}"/>
    <cellStyle name="20% - Accent6 2 3 3 2 2" xfId="5096" xr:uid="{DFEDCFD8-7ACD-4A6F-BCA7-4964AF3DC8E1}"/>
    <cellStyle name="20% - Accent6 2 3 3 3" xfId="4340" xr:uid="{874A11FF-928C-4B41-99B2-61D756BD7C99}"/>
    <cellStyle name="20% - Accent6 2 3 4" xfId="2322" xr:uid="{8B9AC681-C74B-49D8-B5DF-8951548AEDDF}"/>
    <cellStyle name="20% - Accent6 2 3 4 2" xfId="4757" xr:uid="{15CC0B2B-28DB-4F52-8D11-C0EC7400DDC2}"/>
    <cellStyle name="20% - Accent6 2 3 5" xfId="3883" xr:uid="{2C6D429E-1151-46CC-B445-9C40C7CE9732}"/>
    <cellStyle name="20% - Accent6 2 4" xfId="2221" xr:uid="{1A3DBE4A-C500-4E69-90EF-CF2C4EF38B1E}"/>
    <cellStyle name="20% - Accent6 2 5" xfId="1007" xr:uid="{9B49734C-E797-4017-9F8B-57F174BA59E8}"/>
    <cellStyle name="20% - Accent6 3" xfId="154" xr:uid="{00000000-0005-0000-0000-00002F000000}"/>
    <cellStyle name="20% - Accent6 3 2" xfId="1012" xr:uid="{1FFCAC97-0DD8-4341-AECB-C9037D8A9C54}"/>
    <cellStyle name="20% - Accent6 3 2 2" xfId="1994" xr:uid="{F0964D8A-F982-47DB-9D2A-69AAA5276D6E}"/>
    <cellStyle name="20% - Accent6 3 2 2 2" xfId="2832" xr:uid="{55830FB8-ECCE-463F-980D-00966899FD23}"/>
    <cellStyle name="20% - Accent6 3 2 2 2 2" xfId="5267" xr:uid="{7A504E44-489F-4F50-B101-31926F83F82A}"/>
    <cellStyle name="20% - Accent6 3 2 2 3" xfId="4511" xr:uid="{73B2140E-2551-4CE0-A997-276F549FBC24}"/>
    <cellStyle name="20% - Accent6 3 2 3" xfId="2325" xr:uid="{969F23C2-3B2F-4F92-96BA-B58367C225A6}"/>
    <cellStyle name="20% - Accent6 3 2 3 2" xfId="4760" xr:uid="{F91DC0C4-AB48-49B6-B58C-E24F9FCFCA93}"/>
    <cellStyle name="20% - Accent6 3 2 4" xfId="3886" xr:uid="{997D49AC-28D0-4DC5-9DA3-190BEBA69AB8}"/>
    <cellStyle name="20% - Accent6 3 3" xfId="1824" xr:uid="{EA9F2BF0-7637-430B-A65A-B6B2AB02AE85}"/>
    <cellStyle name="20% - Accent6 3 3 2" xfId="2662" xr:uid="{3A61757D-1082-4B74-8AC7-9DEC567E744A}"/>
    <cellStyle name="20% - Accent6 3 3 2 2" xfId="5097" xr:uid="{48AD3C59-CFCF-4C1F-81FF-9A2051B5E2AC}"/>
    <cellStyle name="20% - Accent6 3 3 3" xfId="4341" xr:uid="{62318227-B596-4F8D-BB38-6B591C923498}"/>
    <cellStyle name="20% - Accent6 3 4" xfId="2324" xr:uid="{FC852339-ADB8-4F5E-A0CD-97DB78B76527}"/>
    <cellStyle name="20% - Accent6 3 4 2" xfId="4759" xr:uid="{7FEE3C9E-50A4-4670-90F4-B1335D60734C}"/>
    <cellStyle name="20% - Accent6 3 5" xfId="1011" xr:uid="{949DA3A4-504F-499F-951E-89B06CD75A3B}"/>
    <cellStyle name="20% - Accent6 3 5 2" xfId="3885" xr:uid="{8A135F68-F411-4549-8486-0BFC84DE2E78}"/>
    <cellStyle name="20% - Accent6 4" xfId="200" xr:uid="{00000000-0005-0000-0000-000030000000}"/>
    <cellStyle name="20% - Accent6 4 2" xfId="1014" xr:uid="{3C103C63-E1FB-49A7-B883-6396EC392837}"/>
    <cellStyle name="20% - Accent6 4 2 2" xfId="1992" xr:uid="{D71DC411-7CA8-48C4-BECA-07D33584524A}"/>
    <cellStyle name="20% - Accent6 4 2 2 2" xfId="2830" xr:uid="{38C70ADE-5196-4C51-BB7B-8725CC6ED438}"/>
    <cellStyle name="20% - Accent6 4 2 2 2 2" xfId="5265" xr:uid="{CF9A8566-14DF-42DC-8F30-A87A025ABCC8}"/>
    <cellStyle name="20% - Accent6 4 2 2 3" xfId="4509" xr:uid="{87E34A21-FA6A-434C-BCE7-EC3FC13BF0CD}"/>
    <cellStyle name="20% - Accent6 4 2 3" xfId="2327" xr:uid="{5028CC10-8F79-42F4-AA4F-14F8812C8659}"/>
    <cellStyle name="20% - Accent6 4 2 3 2" xfId="4762" xr:uid="{3DFA315E-0EE5-427D-A2BA-75D702FB9976}"/>
    <cellStyle name="20% - Accent6 4 2 4" xfId="3888" xr:uid="{5F39E91C-DEE9-4AAE-BBBC-96FD6FEE4350}"/>
    <cellStyle name="20% - Accent6 4 3" xfId="1822" xr:uid="{4E34EB62-5440-42DD-8BB2-B6A5B5AA818A}"/>
    <cellStyle name="20% - Accent6 4 3 2" xfId="2660" xr:uid="{DA677DDD-626D-4ABD-9AD8-40C33D5EA3D7}"/>
    <cellStyle name="20% - Accent6 4 3 2 2" xfId="5095" xr:uid="{15E27458-E25C-4A2C-801C-2FA22CF466A1}"/>
    <cellStyle name="20% - Accent6 4 3 3" xfId="4339" xr:uid="{5A763E22-205A-478C-B99A-E3BA57D5EB60}"/>
    <cellStyle name="20% - Accent6 4 4" xfId="2326" xr:uid="{9F4BA4ED-C76C-40B3-A529-40F93C5044D5}"/>
    <cellStyle name="20% - Accent6 4 4 2" xfId="4761" xr:uid="{AF8BE3ED-A36C-470D-B949-3267192289C3}"/>
    <cellStyle name="20% - Accent6 4 5" xfId="1013" xr:uid="{9835A1A3-582B-4CC5-BEB3-3F9F0E66E2FC}"/>
    <cellStyle name="20% - Accent6 4 5 2" xfId="3887" xr:uid="{E7279F50-AF90-4376-9B6F-4E673E898393}"/>
    <cellStyle name="20% - Accent6 5" xfId="246" xr:uid="{00000000-0005-0000-0000-000031000000}"/>
    <cellStyle name="20% - Accent6 5 2" xfId="1964" xr:uid="{C4A807BD-1441-4A64-B357-61DF14CEDC7F}"/>
    <cellStyle name="20% - Accent6 5 2 2" xfId="2802" xr:uid="{806E15D8-A54D-4A6E-9772-D01A7672815B}"/>
    <cellStyle name="20% - Accent6 5 2 2 2" xfId="5237" xr:uid="{E20E59F7-2901-47B4-90A6-67783099AC5F}"/>
    <cellStyle name="20% - Accent6 5 2 3" xfId="4481" xr:uid="{8E2C9663-AE93-4753-A264-E807C883A62F}"/>
    <cellStyle name="20% - Accent6 5 3" xfId="2328" xr:uid="{0621E947-548F-4EE2-99F6-CCF6F1B65603}"/>
    <cellStyle name="20% - Accent6 5 3 2" xfId="4763" xr:uid="{ACC09F02-37B4-4B09-9DE4-4092C202DCCB}"/>
    <cellStyle name="20% - Accent6 5 4" xfId="1015" xr:uid="{4621D1A5-CB6A-48BB-8500-CA57A2AD7313}"/>
    <cellStyle name="20% - Accent6 5 4 2" xfId="3889" xr:uid="{54486E86-02B7-41AB-9D64-7C4D5340CC03}"/>
    <cellStyle name="20% - Accent6 6" xfId="295" xr:uid="{00000000-0005-0000-0000-000032000000}"/>
    <cellStyle name="20% - Accent6 6 2" xfId="2632" xr:uid="{22D31A18-E558-42D0-8E06-9901EE55CA19}"/>
    <cellStyle name="20% - Accent6 6 2 2" xfId="5067" xr:uid="{5B87FEA5-72D1-4903-B335-65AB4C35EF5C}"/>
    <cellStyle name="20% - Accent6 6 3" xfId="1794" xr:uid="{E6EBB1C7-654C-4277-89B4-491E8CD6B2C3}"/>
    <cellStyle name="20% - Accent6 6 3 2" xfId="4311" xr:uid="{D1063137-A923-4D90-9B61-FCAA318855CE}"/>
    <cellStyle name="20% - Accent6 7" xfId="359" xr:uid="{00000000-0005-0000-0000-000033000000}"/>
    <cellStyle name="20% - Accent6 7 2" xfId="2979" xr:uid="{1D4239AF-0E88-411D-B0C6-31687C78CA14}"/>
    <cellStyle name="20% - Accent6 7 2 2" xfId="5414" xr:uid="{552859F0-BB5A-4E9F-9012-76EF315ED881}"/>
    <cellStyle name="20% - Accent6 7 3" xfId="2141" xr:uid="{451580E6-A980-4075-9D43-10BF72B6A4CC}"/>
    <cellStyle name="20% - Accent6 7 3 2" xfId="4658" xr:uid="{C465DDD3-7035-44CC-A139-BBB3173BAF65}"/>
    <cellStyle name="20% - Accent6 8" xfId="430" xr:uid="{00000000-0005-0000-0000-000034000000}"/>
    <cellStyle name="20% - Accent6 8 2" xfId="2170" xr:uid="{9F0149A4-331C-43E7-A5AD-DBED7B7EDFB2}"/>
    <cellStyle name="20% - Accent6 8 2 2" xfId="4671" xr:uid="{818EC89C-84A0-4752-9EA2-C1985C476E52}"/>
    <cellStyle name="20% - Accent6 9" xfId="534" xr:uid="{00000000-0005-0000-0000-000035000000}"/>
    <cellStyle name="20% - Accent6 9 2" xfId="2184" xr:uid="{B0835F1C-8ADD-4FC2-956F-2355BE589A25}"/>
    <cellStyle name="20% - Accent6 9 2 2" xfId="4685" xr:uid="{81885053-AE07-43EE-8191-1B98F57CEBA0}"/>
    <cellStyle name="40% - Accent1" xfId="7" builtinId="31" customBuiltin="1"/>
    <cellStyle name="40% - Accent1 10" xfId="2616" xr:uid="{8DCF070A-6C11-487D-BFBD-3D35B39B9F92}"/>
    <cellStyle name="40% - Accent1 10 2" xfId="5051" xr:uid="{9832DBC0-357D-4D3B-90CF-9E606EECB899}"/>
    <cellStyle name="40% - Accent1 11" xfId="944" xr:uid="{46097E77-5F1A-4B07-AE71-FAFFE50481D3}"/>
    <cellStyle name="40% - Accent1 11 2" xfId="3840" xr:uid="{3E771EAA-1729-4A37-8AF3-FB219A90044D}"/>
    <cellStyle name="40% - Accent1 2" xfId="121" xr:uid="{00000000-0005-0000-0000-000037000000}"/>
    <cellStyle name="40% - Accent1 2 2" xfId="1017" xr:uid="{EE48B4A9-65FA-4FC8-8680-BDD0BA5C69A3}"/>
    <cellStyle name="40% - Accent1 2 3" xfId="1018" xr:uid="{DC9195C7-F47C-43FD-BA98-0D0C4E98A4A6}"/>
    <cellStyle name="40% - Accent1 2 3 2" xfId="1019" xr:uid="{D6B387A6-9662-44E6-BEFE-7848465CE965}"/>
    <cellStyle name="40% - Accent1 2 3 2 2" xfId="1996" xr:uid="{8EEB65FC-E9BB-4FC4-B673-61FC5029F6AC}"/>
    <cellStyle name="40% - Accent1 2 3 2 2 2" xfId="2834" xr:uid="{5CE6FBD4-4399-4CAD-B4E9-2BA8007C0CC6}"/>
    <cellStyle name="40% - Accent1 2 3 2 2 2 2" xfId="5269" xr:uid="{281C139D-322A-417C-A280-3D7CD37572E6}"/>
    <cellStyle name="40% - Accent1 2 3 2 2 3" xfId="4513" xr:uid="{3E42D775-0DFA-4673-986B-BB5F1C629B1C}"/>
    <cellStyle name="40% - Accent1 2 3 2 3" xfId="2330" xr:uid="{55C66B1D-61A6-42B8-BB57-CB269C402D79}"/>
    <cellStyle name="40% - Accent1 2 3 2 3 2" xfId="4765" xr:uid="{B4D17EA6-795B-4437-BCA2-3588FEC9E177}"/>
    <cellStyle name="40% - Accent1 2 3 2 4" xfId="3891" xr:uid="{97A5CD8D-9080-4400-9C41-E55A5B5D0506}"/>
    <cellStyle name="40% - Accent1 2 3 3" xfId="1826" xr:uid="{B9432942-8463-453B-8802-AA2CDBDB5784}"/>
    <cellStyle name="40% - Accent1 2 3 3 2" xfId="2664" xr:uid="{D7FC95AD-F906-4945-980F-972E3AC29BFF}"/>
    <cellStyle name="40% - Accent1 2 3 3 2 2" xfId="5099" xr:uid="{5D2D9C3C-080E-4E95-895A-2748AB24E3C9}"/>
    <cellStyle name="40% - Accent1 2 3 3 3" xfId="4343" xr:uid="{3FF4E9B2-4529-4BC4-82AC-B0074EADC44D}"/>
    <cellStyle name="40% - Accent1 2 3 4" xfId="2329" xr:uid="{3FBA806A-E593-477C-A3AD-B2E19FDD9E5E}"/>
    <cellStyle name="40% - Accent1 2 3 4 2" xfId="4764" xr:uid="{4E775B0E-BA31-449C-BF97-BCA48D24408D}"/>
    <cellStyle name="40% - Accent1 2 3 5" xfId="3890" xr:uid="{540BAFC4-EF50-4A83-B862-F88A3283CFD6}"/>
    <cellStyle name="40% - Accent1 2 4" xfId="2223" xr:uid="{C5B0BFA0-089B-4BCA-A9E6-F0301307232A}"/>
    <cellStyle name="40% - Accent1 2 5" xfId="1016" xr:uid="{648F07C3-F6A0-4826-8FEB-8532217C7658}"/>
    <cellStyle name="40% - Accent1 3" xfId="155" xr:uid="{00000000-0005-0000-0000-000038000000}"/>
    <cellStyle name="40% - Accent1 3 2" xfId="1021" xr:uid="{FE370C24-3AD6-4B1E-8457-DA0B7F8C3794}"/>
    <cellStyle name="40% - Accent1 3 2 2" xfId="1997" xr:uid="{582F2FE9-89BA-4469-9809-F8BA59B69C97}"/>
    <cellStyle name="40% - Accent1 3 2 2 2" xfId="2835" xr:uid="{3F8EF19E-78A2-4245-A3E0-4C517A27EFC5}"/>
    <cellStyle name="40% - Accent1 3 2 2 2 2" xfId="5270" xr:uid="{6863D2C5-EE8A-4F6F-9DF0-9169BF337B86}"/>
    <cellStyle name="40% - Accent1 3 2 2 3" xfId="4514" xr:uid="{9BAD4EE6-51B6-41F5-91A8-74F8E253EEDE}"/>
    <cellStyle name="40% - Accent1 3 2 3" xfId="2332" xr:uid="{7818673E-111F-4712-8F55-9203627E9E64}"/>
    <cellStyle name="40% - Accent1 3 2 3 2" xfId="4767" xr:uid="{CD0BB43D-DB52-4B2D-A39A-D1099005A44F}"/>
    <cellStyle name="40% - Accent1 3 2 4" xfId="3893" xr:uid="{0F2A771F-21ED-40A7-85E1-887715581B07}"/>
    <cellStyle name="40% - Accent1 3 3" xfId="1827" xr:uid="{12EAA968-45E3-4A12-AAFC-A166182F278F}"/>
    <cellStyle name="40% - Accent1 3 3 2" xfId="2665" xr:uid="{C78DA72A-A91C-423D-A85C-FE7612BFD611}"/>
    <cellStyle name="40% - Accent1 3 3 2 2" xfId="5100" xr:uid="{EC970F49-32CF-487C-8D33-1F83D2847AFB}"/>
    <cellStyle name="40% - Accent1 3 3 3" xfId="4344" xr:uid="{73B316DB-FE24-4E3C-B427-F361C557482E}"/>
    <cellStyle name="40% - Accent1 3 4" xfId="2331" xr:uid="{6E5D48A6-D5C8-43AA-9B31-772799AB031B}"/>
    <cellStyle name="40% - Accent1 3 4 2" xfId="4766" xr:uid="{487E860D-ACAD-4A02-B72E-22E4F81B6116}"/>
    <cellStyle name="40% - Accent1 3 5" xfId="1020" xr:uid="{FF522930-8B14-4E28-8E4A-BB5ED8305E8E}"/>
    <cellStyle name="40% - Accent1 3 5 2" xfId="3892" xr:uid="{BF1C0A06-CE90-4425-B55C-9EB080F185B3}"/>
    <cellStyle name="40% - Accent1 4" xfId="201" xr:uid="{00000000-0005-0000-0000-000039000000}"/>
    <cellStyle name="40% - Accent1 4 2" xfId="1023" xr:uid="{93840538-DAE1-4C0D-9FE3-5F0452C86E85}"/>
    <cellStyle name="40% - Accent1 4 2 2" xfId="1995" xr:uid="{AD96C125-14A3-49C9-9B4D-A0DE30A33181}"/>
    <cellStyle name="40% - Accent1 4 2 2 2" xfId="2833" xr:uid="{DC2E03EB-4AD4-41A0-8838-D2B0574D9909}"/>
    <cellStyle name="40% - Accent1 4 2 2 2 2" xfId="5268" xr:uid="{58278A91-AEC1-4145-8349-F19CE5F8D428}"/>
    <cellStyle name="40% - Accent1 4 2 2 3" xfId="4512" xr:uid="{AEF84FA0-940C-46A2-8747-BB962BD5D022}"/>
    <cellStyle name="40% - Accent1 4 2 3" xfId="2334" xr:uid="{42B24712-EF83-4749-8AB1-3FB5AAC83AA2}"/>
    <cellStyle name="40% - Accent1 4 2 3 2" xfId="4769" xr:uid="{6C11AE4D-356F-4F57-AEFA-C8A925CEC94C}"/>
    <cellStyle name="40% - Accent1 4 2 4" xfId="3895" xr:uid="{EF37CAAA-5790-4E1A-A21A-E5141875935A}"/>
    <cellStyle name="40% - Accent1 4 3" xfId="1825" xr:uid="{4D5FCDA6-F22E-4E53-BAB4-3D2999636ED7}"/>
    <cellStyle name="40% - Accent1 4 3 2" xfId="2663" xr:uid="{6831E5E7-98ED-4212-814C-282CF515E354}"/>
    <cellStyle name="40% - Accent1 4 3 2 2" xfId="5098" xr:uid="{FC8CCE56-6E45-42F1-AE55-D74BEF0FD3E1}"/>
    <cellStyle name="40% - Accent1 4 3 3" xfId="4342" xr:uid="{726245DD-A7AC-4956-9DB1-E14E5A906021}"/>
    <cellStyle name="40% - Accent1 4 4" xfId="2333" xr:uid="{92A1FEFF-F629-41EC-B43C-36C71232A3E0}"/>
    <cellStyle name="40% - Accent1 4 4 2" xfId="4768" xr:uid="{BC28C5CB-5992-4218-9E38-E76E1E37DC58}"/>
    <cellStyle name="40% - Accent1 4 5" xfId="1022" xr:uid="{A22BB37C-CB2B-478D-807B-8FE7BF86C5E7}"/>
    <cellStyle name="40% - Accent1 4 5 2" xfId="3894" xr:uid="{D7D315DD-20EC-44F0-B080-776F27C2EE9D}"/>
    <cellStyle name="40% - Accent1 5" xfId="247" xr:uid="{00000000-0005-0000-0000-00003A000000}"/>
    <cellStyle name="40% - Accent1 5 2" xfId="1965" xr:uid="{58C80BFF-42C7-4126-BAA6-119CEBA75570}"/>
    <cellStyle name="40% - Accent1 5 2 2" xfId="2803" xr:uid="{DF6CD9D2-F7E2-475C-8B4F-015AA8A4DA14}"/>
    <cellStyle name="40% - Accent1 5 2 2 2" xfId="5238" xr:uid="{22325EC8-EB99-41C9-8A1D-684E407B061E}"/>
    <cellStyle name="40% - Accent1 5 2 3" xfId="4482" xr:uid="{CCB9A425-59E6-457A-99FA-47E414E8B555}"/>
    <cellStyle name="40% - Accent1 5 3" xfId="2335" xr:uid="{0C00D2A3-64B5-4CCF-9C89-79857C6CF382}"/>
    <cellStyle name="40% - Accent1 5 3 2" xfId="4770" xr:uid="{41C87991-2D38-48B7-A891-9E2B4C7FB789}"/>
    <cellStyle name="40% - Accent1 5 4" xfId="1024" xr:uid="{1DA25C8A-EFCF-4CD2-A4CB-0EFAB4A69DC5}"/>
    <cellStyle name="40% - Accent1 5 4 2" xfId="3896" xr:uid="{132E7D38-795B-4B28-A2B8-1C3746543887}"/>
    <cellStyle name="40% - Accent1 6" xfId="296" xr:uid="{00000000-0005-0000-0000-00003B000000}"/>
    <cellStyle name="40% - Accent1 6 2" xfId="2633" xr:uid="{D952AC11-1B1F-42FD-975A-1AD990526C1B}"/>
    <cellStyle name="40% - Accent1 6 2 2" xfId="5068" xr:uid="{1F6DCBA6-01AD-4A4A-B500-99156671DD02}"/>
    <cellStyle name="40% - Accent1 6 3" xfId="1795" xr:uid="{56E05594-FA1E-4647-B277-307FDA961CF2}"/>
    <cellStyle name="40% - Accent1 6 3 2" xfId="4312" xr:uid="{A0F900EF-A3FE-4B0D-B4BA-92B8EA46EF61}"/>
    <cellStyle name="40% - Accent1 7" xfId="360" xr:uid="{00000000-0005-0000-0000-00003C000000}"/>
    <cellStyle name="40% - Accent1 7 2" xfId="2970" xr:uid="{336063C9-E1F0-4D0B-8A93-DDEE942B6C77}"/>
    <cellStyle name="40% - Accent1 7 2 2" xfId="5405" xr:uid="{FC0B442D-1059-4EE8-B21C-742C098A17A7}"/>
    <cellStyle name="40% - Accent1 7 3" xfId="2132" xr:uid="{9A52F3B6-521F-40F9-9248-D65415BD5E99}"/>
    <cellStyle name="40% - Accent1 7 3 2" xfId="4649" xr:uid="{9E91A0AC-97EF-4F4F-A0D2-0D5263FA2446}"/>
    <cellStyle name="40% - Accent1 8" xfId="431" xr:uid="{00000000-0005-0000-0000-00003D000000}"/>
    <cellStyle name="40% - Accent1 8 2" xfId="2161" xr:uid="{446425C6-AD67-4B85-92C7-39C2BF478FD3}"/>
    <cellStyle name="40% - Accent1 8 2 2" xfId="4662" xr:uid="{0184520C-7DF5-44F9-8DB7-D8689330376F}"/>
    <cellStyle name="40% - Accent1 9" xfId="535" xr:uid="{00000000-0005-0000-0000-00003E000000}"/>
    <cellStyle name="40% - Accent1 9 2" xfId="2175" xr:uid="{4A54814F-EC79-4125-A046-4E0F4D9EF67B}"/>
    <cellStyle name="40% - Accent1 9 2 2" xfId="4676" xr:uid="{6A15A2DC-10A4-4C59-B516-EFB4DE783A09}"/>
    <cellStyle name="40% - Accent2" xfId="8" builtinId="35" customBuiltin="1"/>
    <cellStyle name="40% - Accent2 10" xfId="2618" xr:uid="{4ED8CBBC-0D55-4F26-B119-846424F4CA95}"/>
    <cellStyle name="40% - Accent2 10 2" xfId="5053" xr:uid="{6B354EB2-ED62-41F3-9F2F-16CC62724C5B}"/>
    <cellStyle name="40% - Accent2 11" xfId="893" xr:uid="{D6CC90F6-0DF7-49B8-A513-9DD4961A0502}"/>
    <cellStyle name="40% - Accent2 11 2" xfId="3824" xr:uid="{06EF7812-1EE3-46B0-AA4E-CEBCC7395DC6}"/>
    <cellStyle name="40% - Accent2 2" xfId="122" xr:uid="{00000000-0005-0000-0000-000040000000}"/>
    <cellStyle name="40% - Accent2 2 2" xfId="1026" xr:uid="{6B5255D9-CB53-4690-9973-FD8E659E02A4}"/>
    <cellStyle name="40% - Accent2 2 3" xfId="1027" xr:uid="{22D0D5E1-605C-46D1-B31F-A850489A6057}"/>
    <cellStyle name="40% - Accent2 2 3 2" xfId="1028" xr:uid="{0D1AE1B7-00C9-4A6B-AD84-23BFF950FA87}"/>
    <cellStyle name="40% - Accent2 2 3 2 2" xfId="1999" xr:uid="{A18D3EB8-3271-4554-9210-65D763B37097}"/>
    <cellStyle name="40% - Accent2 2 3 2 2 2" xfId="2837" xr:uid="{C72ACBCA-2B43-4030-94FD-74F11BE8E98D}"/>
    <cellStyle name="40% - Accent2 2 3 2 2 2 2" xfId="5272" xr:uid="{220B7851-665C-4EAC-A76E-F41A6E1E654A}"/>
    <cellStyle name="40% - Accent2 2 3 2 2 3" xfId="4516" xr:uid="{F6AD9080-D777-4294-9AB0-839F66A77510}"/>
    <cellStyle name="40% - Accent2 2 3 2 3" xfId="2337" xr:uid="{FDDC75C2-50C9-48D5-91C8-FB9B4F8BB5BF}"/>
    <cellStyle name="40% - Accent2 2 3 2 3 2" xfId="4772" xr:uid="{2DFFDAC0-CDB2-4DFB-B0B1-05F175933176}"/>
    <cellStyle name="40% - Accent2 2 3 2 4" xfId="3898" xr:uid="{E5D341C4-C700-4827-B908-C33771C46A39}"/>
    <cellStyle name="40% - Accent2 2 3 3" xfId="1829" xr:uid="{CE441B61-9CA3-42A6-9CF0-09C2530BD27E}"/>
    <cellStyle name="40% - Accent2 2 3 3 2" xfId="2667" xr:uid="{E9789472-8691-4150-B608-79D41C1601FE}"/>
    <cellStyle name="40% - Accent2 2 3 3 2 2" xfId="5102" xr:uid="{74CAE5EE-61D1-4B15-9C66-32845134B057}"/>
    <cellStyle name="40% - Accent2 2 3 3 3" xfId="4346" xr:uid="{31958467-638A-4070-A61C-BC354B628BE5}"/>
    <cellStyle name="40% - Accent2 2 3 4" xfId="2336" xr:uid="{F0DE6004-854A-42D2-8D1E-14BAD10469BC}"/>
    <cellStyle name="40% - Accent2 2 3 4 2" xfId="4771" xr:uid="{E69C30D3-DE74-4DA4-B9CA-DD90AF2D600B}"/>
    <cellStyle name="40% - Accent2 2 3 5" xfId="3897" xr:uid="{25B1009B-FEB4-45D2-9F7E-631C72A6D1CE}"/>
    <cellStyle name="40% - Accent2 2 4" xfId="2224" xr:uid="{9B866BF4-7507-4FBB-AB72-CC085B508EF7}"/>
    <cellStyle name="40% - Accent2 2 5" xfId="1025" xr:uid="{46A41531-F2B5-4F5F-8A35-BAB4B088FFB2}"/>
    <cellStyle name="40% - Accent2 3" xfId="156" xr:uid="{00000000-0005-0000-0000-000041000000}"/>
    <cellStyle name="40% - Accent2 3 2" xfId="1030" xr:uid="{5322D6BD-A374-461D-8A70-1C146D8AF3FA}"/>
    <cellStyle name="40% - Accent2 3 2 2" xfId="2000" xr:uid="{E68FD63E-C94A-456A-B05F-9BC4970E5B73}"/>
    <cellStyle name="40% - Accent2 3 2 2 2" xfId="2838" xr:uid="{868C5B54-0648-4ECE-BF6F-8584BB61DCD7}"/>
    <cellStyle name="40% - Accent2 3 2 2 2 2" xfId="5273" xr:uid="{BE14042F-7F8F-4969-AD34-29DF1EAFB943}"/>
    <cellStyle name="40% - Accent2 3 2 2 3" xfId="4517" xr:uid="{798BD15A-B058-458F-9B97-093747010DB1}"/>
    <cellStyle name="40% - Accent2 3 2 3" xfId="2339" xr:uid="{358ACF96-D8BB-426E-9EF4-7C19C5E69CBB}"/>
    <cellStyle name="40% - Accent2 3 2 3 2" xfId="4774" xr:uid="{AA503A31-3B49-4A17-8010-157F30B2130F}"/>
    <cellStyle name="40% - Accent2 3 2 4" xfId="3900" xr:uid="{9B2868B2-AA86-4909-9E4C-C564A6897B6A}"/>
    <cellStyle name="40% - Accent2 3 3" xfId="1830" xr:uid="{8FAF9D24-EACF-4860-9C7E-45EA276D9B71}"/>
    <cellStyle name="40% - Accent2 3 3 2" xfId="2668" xr:uid="{9B7490B5-40BB-446A-8CB6-D30DBA58E466}"/>
    <cellStyle name="40% - Accent2 3 3 2 2" xfId="5103" xr:uid="{28F23F5C-DFDF-4222-8361-C97684560A1A}"/>
    <cellStyle name="40% - Accent2 3 3 3" xfId="4347" xr:uid="{155847CA-D9B8-4EDC-BD9E-972CBEDE8CB6}"/>
    <cellStyle name="40% - Accent2 3 4" xfId="2338" xr:uid="{3629ABE5-6672-4DFD-8EA0-15587EA23525}"/>
    <cellStyle name="40% - Accent2 3 4 2" xfId="4773" xr:uid="{E26E60E0-0022-4FEF-B027-1B539A90BCDA}"/>
    <cellStyle name="40% - Accent2 3 5" xfId="1029" xr:uid="{3B09D580-820C-49FB-81A3-01EFBA75B48F}"/>
    <cellStyle name="40% - Accent2 3 5 2" xfId="3899" xr:uid="{C2D2ECE5-3CC2-45A4-8C29-19D1FB6E183B}"/>
    <cellStyle name="40% - Accent2 4" xfId="202" xr:uid="{00000000-0005-0000-0000-000042000000}"/>
    <cellStyle name="40% - Accent2 4 2" xfId="1032" xr:uid="{42DC46C4-87E8-4925-A28E-816E5CF076A2}"/>
    <cellStyle name="40% - Accent2 4 2 2" xfId="1998" xr:uid="{6E81AC5C-F2D9-4EE1-ADA9-839D4521C0B1}"/>
    <cellStyle name="40% - Accent2 4 2 2 2" xfId="2836" xr:uid="{DC2E255B-C60C-469C-B104-B54343E1DAA6}"/>
    <cellStyle name="40% - Accent2 4 2 2 2 2" xfId="5271" xr:uid="{CE3EB828-DD84-4F78-873C-28F1F107D3F2}"/>
    <cellStyle name="40% - Accent2 4 2 2 3" xfId="4515" xr:uid="{26C500D4-1C15-4DDF-95BE-E78A189A0E47}"/>
    <cellStyle name="40% - Accent2 4 2 3" xfId="2341" xr:uid="{B39BC855-4F75-40C9-B574-7E5834953957}"/>
    <cellStyle name="40% - Accent2 4 2 3 2" xfId="4776" xr:uid="{D253577F-0005-4962-901F-F036FDF77AA5}"/>
    <cellStyle name="40% - Accent2 4 2 4" xfId="3902" xr:uid="{CB96834B-5B2C-4BA6-82B8-155074D8C052}"/>
    <cellStyle name="40% - Accent2 4 3" xfId="1828" xr:uid="{D2E37A67-86B6-4258-8CF7-3FBD20E638BF}"/>
    <cellStyle name="40% - Accent2 4 3 2" xfId="2666" xr:uid="{253A0C2D-EB5A-47C9-936E-4EAAD8078C74}"/>
    <cellStyle name="40% - Accent2 4 3 2 2" xfId="5101" xr:uid="{5FED8C17-0019-4928-AE60-8810BE3B1FF4}"/>
    <cellStyle name="40% - Accent2 4 3 3" xfId="4345" xr:uid="{727D9186-61AE-4B92-9040-7A60B85EB28A}"/>
    <cellStyle name="40% - Accent2 4 4" xfId="2340" xr:uid="{2B579A92-8853-4B2D-A889-742FAADED4CE}"/>
    <cellStyle name="40% - Accent2 4 4 2" xfId="4775" xr:uid="{1639C33C-E146-4481-AD7F-8280A82916A2}"/>
    <cellStyle name="40% - Accent2 4 5" xfId="1031" xr:uid="{0E944379-D451-43BF-BF64-4870F4FAEEF1}"/>
    <cellStyle name="40% - Accent2 4 5 2" xfId="3901" xr:uid="{3928FD80-0E91-4704-9589-96AD8BB28245}"/>
    <cellStyle name="40% - Accent2 5" xfId="248" xr:uid="{00000000-0005-0000-0000-000043000000}"/>
    <cellStyle name="40% - Accent2 5 2" xfId="1966" xr:uid="{F4E17101-50B3-41ED-BB4D-641C96D86CED}"/>
    <cellStyle name="40% - Accent2 5 2 2" xfId="2804" xr:uid="{57F9DBBA-BECF-48E1-8CC2-5F1149710052}"/>
    <cellStyle name="40% - Accent2 5 2 2 2" xfId="5239" xr:uid="{DB9380B4-8633-4EFB-996B-EAA6042A7DF6}"/>
    <cellStyle name="40% - Accent2 5 2 3" xfId="4483" xr:uid="{DFC0BF43-EE48-4AF0-B402-A4F675E512A0}"/>
    <cellStyle name="40% - Accent2 5 3" xfId="2342" xr:uid="{204C8AEF-F453-46A4-98E9-999A1C6C5EF7}"/>
    <cellStyle name="40% - Accent2 5 3 2" xfId="4777" xr:uid="{17C2A9F3-01AD-4BA0-8D49-BFC7A24740AC}"/>
    <cellStyle name="40% - Accent2 5 4" xfId="1033" xr:uid="{BCC49285-3421-4C7C-80B3-0ED30D6AABD8}"/>
    <cellStyle name="40% - Accent2 5 4 2" xfId="3903" xr:uid="{BFB33BBC-BBDE-403F-B56B-1333CEB4B97C}"/>
    <cellStyle name="40% - Accent2 6" xfId="297" xr:uid="{00000000-0005-0000-0000-000044000000}"/>
    <cellStyle name="40% - Accent2 6 2" xfId="2634" xr:uid="{85F7B6F5-D95E-4D94-82BB-E7D0DA33D648}"/>
    <cellStyle name="40% - Accent2 6 2 2" xfId="5069" xr:uid="{2FE7A053-8174-4F58-9D3D-B6BD049B7ACB}"/>
    <cellStyle name="40% - Accent2 6 3" xfId="1796" xr:uid="{E15BB069-C0DC-4BC4-95EB-E54BF7CD2FBA}"/>
    <cellStyle name="40% - Accent2 6 3 2" xfId="4313" xr:uid="{1C1D7A6E-7F13-40C8-AC22-628F74A89A0F}"/>
    <cellStyle name="40% - Accent2 7" xfId="361" xr:uid="{00000000-0005-0000-0000-000045000000}"/>
    <cellStyle name="40% - Accent2 7 2" xfId="2972" xr:uid="{E6E563E8-0CBF-4BBC-ACC2-A09A31F533A9}"/>
    <cellStyle name="40% - Accent2 7 2 2" xfId="5407" xr:uid="{34D1700C-5B1F-4825-81B6-8147F3EDB03D}"/>
    <cellStyle name="40% - Accent2 7 3" xfId="2134" xr:uid="{C1422F2F-CEE7-4A3C-99AC-C1E5168BBFFF}"/>
    <cellStyle name="40% - Accent2 7 3 2" xfId="4651" xr:uid="{FE95389A-4AA5-494C-9429-342506B46E90}"/>
    <cellStyle name="40% - Accent2 8" xfId="432" xr:uid="{00000000-0005-0000-0000-000046000000}"/>
    <cellStyle name="40% - Accent2 8 2" xfId="2163" xr:uid="{C9041BBB-5899-4B75-83E2-84C6BC5BA982}"/>
    <cellStyle name="40% - Accent2 8 2 2" xfId="4664" xr:uid="{08BEE4BC-2179-40C9-90B5-F3BABDA6695C}"/>
    <cellStyle name="40% - Accent2 9" xfId="536" xr:uid="{00000000-0005-0000-0000-000047000000}"/>
    <cellStyle name="40% - Accent2 9 2" xfId="2177" xr:uid="{21DC29D4-E009-49F0-8C87-AB9B553F1698}"/>
    <cellStyle name="40% - Accent2 9 2 2" xfId="4678" xr:uid="{6A175A0C-E4F2-4BC3-812D-36A3D0039C36}"/>
    <cellStyle name="40% - Accent3" xfId="9" builtinId="39" customBuiltin="1"/>
    <cellStyle name="40% - Accent3 10" xfId="2620" xr:uid="{D03705F1-283D-4103-9DF2-44F8014E5DF1}"/>
    <cellStyle name="40% - Accent3 10 2" xfId="5055" xr:uid="{948B8219-D7AF-4B5F-9641-7848751D194C}"/>
    <cellStyle name="40% - Accent3 11" xfId="894" xr:uid="{BEB4EAE7-F034-4700-B2F3-ED68D2F135C6}"/>
    <cellStyle name="40% - Accent3 11 2" xfId="3825" xr:uid="{4AF76F72-7D4B-4EEF-A5BB-2270C2BFC5C3}"/>
    <cellStyle name="40% - Accent3 2" xfId="123" xr:uid="{00000000-0005-0000-0000-000049000000}"/>
    <cellStyle name="40% - Accent3 2 2" xfId="1035" xr:uid="{027332D9-2EB7-4DD1-A3D9-9987E80C940D}"/>
    <cellStyle name="40% - Accent3 2 3" xfId="1036" xr:uid="{2ECE416E-E605-4573-AD51-7D73BC711556}"/>
    <cellStyle name="40% - Accent3 2 3 2" xfId="1037" xr:uid="{B0B6B9A7-C04F-4799-81F9-AF0B839BADB6}"/>
    <cellStyle name="40% - Accent3 2 3 2 2" xfId="2002" xr:uid="{2919B334-82E2-4AE2-9830-9F8351F96F9A}"/>
    <cellStyle name="40% - Accent3 2 3 2 2 2" xfId="2840" xr:uid="{9D95E25C-60C7-418C-A09A-EA06F8F33610}"/>
    <cellStyle name="40% - Accent3 2 3 2 2 2 2" xfId="5275" xr:uid="{022247CA-CC1C-476E-A328-32253C6D5334}"/>
    <cellStyle name="40% - Accent3 2 3 2 2 3" xfId="4519" xr:uid="{025EA318-10F9-49B4-92C8-540CFD59D7F6}"/>
    <cellStyle name="40% - Accent3 2 3 2 3" xfId="2344" xr:uid="{F8E39E6D-0DBF-45A4-AF43-CDBEE7638C0F}"/>
    <cellStyle name="40% - Accent3 2 3 2 3 2" xfId="4779" xr:uid="{890C54AA-19C6-4CDE-BC24-6A10265CF5D1}"/>
    <cellStyle name="40% - Accent3 2 3 2 4" xfId="3905" xr:uid="{2E744821-A0BD-4686-8BDB-82ECF086AAC8}"/>
    <cellStyle name="40% - Accent3 2 3 3" xfId="1832" xr:uid="{55082156-81C0-4F26-A75D-1E29F3B5C755}"/>
    <cellStyle name="40% - Accent3 2 3 3 2" xfId="2670" xr:uid="{F2C5545B-687B-4D58-AD4F-EF8346D9470F}"/>
    <cellStyle name="40% - Accent3 2 3 3 2 2" xfId="5105" xr:uid="{075E7CAC-6FD8-4C64-844B-B15C0A3C92FD}"/>
    <cellStyle name="40% - Accent3 2 3 3 3" xfId="4349" xr:uid="{7CD86003-E336-4707-9DEC-D04A337E277E}"/>
    <cellStyle name="40% - Accent3 2 3 4" xfId="2343" xr:uid="{3D0B2A48-1D5B-4EB2-A0F8-5D5941A31C71}"/>
    <cellStyle name="40% - Accent3 2 3 4 2" xfId="4778" xr:uid="{8C7CF4CB-5A79-4A22-80AA-CC906882CA9F}"/>
    <cellStyle name="40% - Accent3 2 3 5" xfId="3904" xr:uid="{1EEBCA4B-8F7D-4867-A9DB-58B5A805FFFE}"/>
    <cellStyle name="40% - Accent3 2 4" xfId="2225" xr:uid="{4E1B9DB2-724D-497A-ABA4-5ABF9DF46E1F}"/>
    <cellStyle name="40% - Accent3 2 5" xfId="1034" xr:uid="{80840938-49E6-4C94-90E7-5512EFF48B42}"/>
    <cellStyle name="40% - Accent3 3" xfId="157" xr:uid="{00000000-0005-0000-0000-00004A000000}"/>
    <cellStyle name="40% - Accent3 3 2" xfId="1039" xr:uid="{A4163C39-0254-4651-9A09-F4398787355F}"/>
    <cellStyle name="40% - Accent3 3 2 2" xfId="2003" xr:uid="{5618BC1E-15AF-469C-B516-57BCB349F213}"/>
    <cellStyle name="40% - Accent3 3 2 2 2" xfId="2841" xr:uid="{24D5AEF9-E009-4DC2-8D91-089A825C427B}"/>
    <cellStyle name="40% - Accent3 3 2 2 2 2" xfId="5276" xr:uid="{86A0D762-E7D5-4C66-890A-71689B47E8F4}"/>
    <cellStyle name="40% - Accent3 3 2 2 3" xfId="4520" xr:uid="{B58E5B51-36D8-431D-91FA-B292E021B999}"/>
    <cellStyle name="40% - Accent3 3 2 3" xfId="2346" xr:uid="{48C9B6CC-9987-4A3B-99B7-95E7FBB006DB}"/>
    <cellStyle name="40% - Accent3 3 2 3 2" xfId="4781" xr:uid="{45FC9F42-E41C-4661-993A-EDA5135AF14A}"/>
    <cellStyle name="40% - Accent3 3 2 4" xfId="3907" xr:uid="{9D872CCD-8C4D-42C9-9747-5E4B3CF499ED}"/>
    <cellStyle name="40% - Accent3 3 3" xfId="1833" xr:uid="{BE366B6A-1996-41E1-B78B-72CB0D0BA5E7}"/>
    <cellStyle name="40% - Accent3 3 3 2" xfId="2671" xr:uid="{7415228F-059D-4799-AC19-08EDF39B9B03}"/>
    <cellStyle name="40% - Accent3 3 3 2 2" xfId="5106" xr:uid="{C0C38D83-E71E-4492-A7F6-F5AE5094D4C1}"/>
    <cellStyle name="40% - Accent3 3 3 3" xfId="4350" xr:uid="{455C83FE-E051-47CA-84DB-C834DE858E40}"/>
    <cellStyle name="40% - Accent3 3 4" xfId="2345" xr:uid="{B7D69C59-D338-4C6F-8D7D-127038B27552}"/>
    <cellStyle name="40% - Accent3 3 4 2" xfId="4780" xr:uid="{38AF1530-2432-49A8-AA1A-2C088372EBC5}"/>
    <cellStyle name="40% - Accent3 3 5" xfId="1038" xr:uid="{12D06056-74D5-46A2-A626-D19A80418A6E}"/>
    <cellStyle name="40% - Accent3 3 5 2" xfId="3906" xr:uid="{0EAD8279-85BF-421F-AC7C-CFF4E33CC5D4}"/>
    <cellStyle name="40% - Accent3 4" xfId="203" xr:uid="{00000000-0005-0000-0000-00004B000000}"/>
    <cellStyle name="40% - Accent3 4 2" xfId="1041" xr:uid="{2683EA80-6F60-4C73-9741-C59E6197270F}"/>
    <cellStyle name="40% - Accent3 4 2 2" xfId="2001" xr:uid="{C0042232-4A98-458C-B5EC-9502EE225DB1}"/>
    <cellStyle name="40% - Accent3 4 2 2 2" xfId="2839" xr:uid="{771FC633-B27A-4B70-917B-16D0F70DCD0E}"/>
    <cellStyle name="40% - Accent3 4 2 2 2 2" xfId="5274" xr:uid="{7526066C-146F-4F62-961B-A823554B831B}"/>
    <cellStyle name="40% - Accent3 4 2 2 3" xfId="4518" xr:uid="{7186C668-0A8E-4415-AD08-BAAAECC6FC3E}"/>
    <cellStyle name="40% - Accent3 4 2 3" xfId="2348" xr:uid="{0E927B08-B40B-4E3A-90BD-3749085F3694}"/>
    <cellStyle name="40% - Accent3 4 2 3 2" xfId="4783" xr:uid="{90F7E248-DF7D-4D10-89CA-7767F5CF34B9}"/>
    <cellStyle name="40% - Accent3 4 2 4" xfId="3909" xr:uid="{5708B07D-B056-422B-A1CC-22EE7F50643A}"/>
    <cellStyle name="40% - Accent3 4 3" xfId="1831" xr:uid="{5F5418D4-8788-46D2-92F8-16A37417670A}"/>
    <cellStyle name="40% - Accent3 4 3 2" xfId="2669" xr:uid="{ED4CAA7C-14F0-4B84-B447-0541164181E4}"/>
    <cellStyle name="40% - Accent3 4 3 2 2" xfId="5104" xr:uid="{CA347DE7-F313-40CC-939D-0CC533D8B2BF}"/>
    <cellStyle name="40% - Accent3 4 3 3" xfId="4348" xr:uid="{1DFFCB72-8E6D-4070-83B5-2B899C9B268D}"/>
    <cellStyle name="40% - Accent3 4 4" xfId="2347" xr:uid="{063EFA8E-DEDB-4B3E-B889-C26731A4688C}"/>
    <cellStyle name="40% - Accent3 4 4 2" xfId="4782" xr:uid="{F381EABD-8BB6-4E53-BAF6-9851B3CE65B5}"/>
    <cellStyle name="40% - Accent3 4 5" xfId="1040" xr:uid="{F43464E9-CC0D-4003-93DE-6B26DEEB3C4C}"/>
    <cellStyle name="40% - Accent3 4 5 2" xfId="3908" xr:uid="{9264628C-766E-4567-A64B-CCE186A8A31A}"/>
    <cellStyle name="40% - Accent3 5" xfId="249" xr:uid="{00000000-0005-0000-0000-00004C000000}"/>
    <cellStyle name="40% - Accent3 5 2" xfId="1967" xr:uid="{5717DCE0-A95D-478B-80E6-CDBC54F62C66}"/>
    <cellStyle name="40% - Accent3 5 2 2" xfId="2805" xr:uid="{2D4CE687-B75B-48CA-8FF4-F33E7BAA443B}"/>
    <cellStyle name="40% - Accent3 5 2 2 2" xfId="5240" xr:uid="{50F22E40-1F0D-4F62-AC3B-FED120659208}"/>
    <cellStyle name="40% - Accent3 5 2 3" xfId="4484" xr:uid="{4200D24B-2274-482D-8484-9F22878B0C94}"/>
    <cellStyle name="40% - Accent3 5 3" xfId="2349" xr:uid="{3F121369-597C-4A67-AA71-41EEF23B1591}"/>
    <cellStyle name="40% - Accent3 5 3 2" xfId="4784" xr:uid="{D7730369-F223-4F40-9FA9-DB143AEC5572}"/>
    <cellStyle name="40% - Accent3 5 4" xfId="1042" xr:uid="{30F462C0-1140-4C1D-8578-82CD0FB224D9}"/>
    <cellStyle name="40% - Accent3 5 4 2" xfId="3910" xr:uid="{64112712-1696-4963-971B-11ED0C37E7E9}"/>
    <cellStyle name="40% - Accent3 6" xfId="298" xr:uid="{00000000-0005-0000-0000-00004D000000}"/>
    <cellStyle name="40% - Accent3 6 2" xfId="2635" xr:uid="{85BC891B-CA1C-44DE-AA8C-D00C12FB90A8}"/>
    <cellStyle name="40% - Accent3 6 2 2" xfId="5070" xr:uid="{2635973E-6DB0-419D-B760-2E8DE7A91AE8}"/>
    <cellStyle name="40% - Accent3 6 3" xfId="1797" xr:uid="{900D2738-B04F-407A-9F79-151B4674F5DC}"/>
    <cellStyle name="40% - Accent3 6 3 2" xfId="4314" xr:uid="{1B5D8845-A8A9-4BC9-9596-0A9C10C428A4}"/>
    <cellStyle name="40% - Accent3 7" xfId="362" xr:uid="{00000000-0005-0000-0000-00004E000000}"/>
    <cellStyle name="40% - Accent3 7 2" xfId="2974" xr:uid="{745B1B20-FEF6-4C5E-B17F-61AC42180B1A}"/>
    <cellStyle name="40% - Accent3 7 2 2" xfId="5409" xr:uid="{C005027C-1088-4AAA-8507-F611546F6B28}"/>
    <cellStyle name="40% - Accent3 7 3" xfId="2136" xr:uid="{4677B899-388B-4AD1-98BB-6ABB7E834ACA}"/>
    <cellStyle name="40% - Accent3 7 3 2" xfId="4653" xr:uid="{64C71B14-D5E8-42C4-9F8E-5C97490630DE}"/>
    <cellStyle name="40% - Accent3 8" xfId="433" xr:uid="{00000000-0005-0000-0000-00004F000000}"/>
    <cellStyle name="40% - Accent3 8 2" xfId="2165" xr:uid="{2B3A52B2-2B2F-4EBE-AF86-C04A005C7AC3}"/>
    <cellStyle name="40% - Accent3 8 2 2" xfId="4666" xr:uid="{FB50FEB6-9BCC-4330-90E3-63C96CF31F7A}"/>
    <cellStyle name="40% - Accent3 9" xfId="537" xr:uid="{00000000-0005-0000-0000-000050000000}"/>
    <cellStyle name="40% - Accent3 9 2" xfId="2179" xr:uid="{73225AB0-2279-47EC-A712-98904FB9D3EF}"/>
    <cellStyle name="40% - Accent3 9 2 2" xfId="4680" xr:uid="{A1B89623-A572-4C1B-89F9-95DE440FEEF6}"/>
    <cellStyle name="40% - Accent4" xfId="10" builtinId="43" customBuiltin="1"/>
    <cellStyle name="40% - Accent4 10" xfId="2622" xr:uid="{0E144FDE-7340-4A8F-BA04-96915B70C42A}"/>
    <cellStyle name="40% - Accent4 10 2" xfId="5057" xr:uid="{6DDDD463-32E6-4E32-9BFD-B2CFFAE216DE}"/>
    <cellStyle name="40% - Accent4 11" xfId="914" xr:uid="{44800666-2691-4C94-8A77-A6BFD5C031CE}"/>
    <cellStyle name="40% - Accent4 11 2" xfId="3826" xr:uid="{8AF8C8D4-0D48-417A-8D55-538E6277A251}"/>
    <cellStyle name="40% - Accent4 2" xfId="124" xr:uid="{00000000-0005-0000-0000-000052000000}"/>
    <cellStyle name="40% - Accent4 2 2" xfId="1044" xr:uid="{A0B0F8D9-488B-4370-8D3E-57AD03BECD33}"/>
    <cellStyle name="40% - Accent4 2 3" xfId="1045" xr:uid="{0539CD71-78BC-41FE-BB52-497B096ABEDA}"/>
    <cellStyle name="40% - Accent4 2 3 2" xfId="1046" xr:uid="{4C8D461D-706D-45E8-9905-E348C5ABAAEF}"/>
    <cellStyle name="40% - Accent4 2 3 2 2" xfId="2005" xr:uid="{10CF92E6-41F5-492F-AAD8-72CAFD31DB80}"/>
    <cellStyle name="40% - Accent4 2 3 2 2 2" xfId="2843" xr:uid="{17AF8F52-CCFC-42D5-AD05-D02B55E8BA90}"/>
    <cellStyle name="40% - Accent4 2 3 2 2 2 2" xfId="5278" xr:uid="{D9269FC0-2AAF-4245-8802-374E8C5DD7D7}"/>
    <cellStyle name="40% - Accent4 2 3 2 2 3" xfId="4522" xr:uid="{B49AD349-F1D1-4613-91F3-87E6F7975FEB}"/>
    <cellStyle name="40% - Accent4 2 3 2 3" xfId="2351" xr:uid="{20B42E8B-45BF-4C32-93D4-D47AC122F1B6}"/>
    <cellStyle name="40% - Accent4 2 3 2 3 2" xfId="4786" xr:uid="{44A27F71-B69B-4D2A-9F48-2003096D0B74}"/>
    <cellStyle name="40% - Accent4 2 3 2 4" xfId="3912" xr:uid="{CB06680E-5224-4C13-81B8-44E25BEBA332}"/>
    <cellStyle name="40% - Accent4 2 3 3" xfId="1835" xr:uid="{33BF445D-21AB-40A7-A8FE-277878DFD9D4}"/>
    <cellStyle name="40% - Accent4 2 3 3 2" xfId="2673" xr:uid="{9BD9C329-EC2A-4711-BFDB-91D5FA9DFCA6}"/>
    <cellStyle name="40% - Accent4 2 3 3 2 2" xfId="5108" xr:uid="{49CC667D-2F81-4203-A8B9-D85CE6BEBE26}"/>
    <cellStyle name="40% - Accent4 2 3 3 3" xfId="4352" xr:uid="{C7609109-2899-45CA-9116-5E3263EBE3CD}"/>
    <cellStyle name="40% - Accent4 2 3 4" xfId="2350" xr:uid="{AB21A8CC-0921-440E-B973-E650883CC1A5}"/>
    <cellStyle name="40% - Accent4 2 3 4 2" xfId="4785" xr:uid="{15BAC67F-4195-4993-B106-75328B9CC698}"/>
    <cellStyle name="40% - Accent4 2 3 5" xfId="3911" xr:uid="{2D610C7C-9946-4740-AC79-5D277C0F6777}"/>
    <cellStyle name="40% - Accent4 2 4" xfId="2226" xr:uid="{6D20DC19-6A6C-407F-A2D1-513EC97EB6D6}"/>
    <cellStyle name="40% - Accent4 2 5" xfId="1043" xr:uid="{0ACFD449-F23E-4FE3-B0AB-FF4D6DA60800}"/>
    <cellStyle name="40% - Accent4 3" xfId="158" xr:uid="{00000000-0005-0000-0000-000053000000}"/>
    <cellStyle name="40% - Accent4 3 2" xfId="1048" xr:uid="{7233C134-A469-4246-BEBD-26A3E9C04C46}"/>
    <cellStyle name="40% - Accent4 3 2 2" xfId="2006" xr:uid="{AE15EBFF-7036-49C8-B2EA-23C1BC78C16D}"/>
    <cellStyle name="40% - Accent4 3 2 2 2" xfId="2844" xr:uid="{FF7B8F9B-2293-4512-9D6B-4C4ADA982AAA}"/>
    <cellStyle name="40% - Accent4 3 2 2 2 2" xfId="5279" xr:uid="{96E1F437-EC4B-49D3-9702-8DEA9929BA19}"/>
    <cellStyle name="40% - Accent4 3 2 2 3" xfId="4523" xr:uid="{A4DC51B5-C43B-4142-BEB4-42BFC3A2BA0A}"/>
    <cellStyle name="40% - Accent4 3 2 3" xfId="2353" xr:uid="{1C6B5577-30F2-40D3-8E64-0E872E02C582}"/>
    <cellStyle name="40% - Accent4 3 2 3 2" xfId="4788" xr:uid="{F69F67D2-781B-47D6-933F-CBBE2CF480B0}"/>
    <cellStyle name="40% - Accent4 3 2 4" xfId="3914" xr:uid="{1BC76346-13EF-4EF2-AB16-96346BA518C2}"/>
    <cellStyle name="40% - Accent4 3 3" xfId="1836" xr:uid="{F761AF9A-854B-4358-9DFC-1DE5E15504EE}"/>
    <cellStyle name="40% - Accent4 3 3 2" xfId="2674" xr:uid="{ACFCFE2A-51F8-4F24-A300-C64969F78A3D}"/>
    <cellStyle name="40% - Accent4 3 3 2 2" xfId="5109" xr:uid="{D0142FA3-8568-4986-B246-14BA19FB4662}"/>
    <cellStyle name="40% - Accent4 3 3 3" xfId="4353" xr:uid="{E2F12815-6CB5-4FD3-9F76-2DE5A911FEDF}"/>
    <cellStyle name="40% - Accent4 3 4" xfId="2352" xr:uid="{13B731E0-8F58-4D7A-B48D-7068F8F65D09}"/>
    <cellStyle name="40% - Accent4 3 4 2" xfId="4787" xr:uid="{36519A12-EB8E-45E2-8C12-12B959173EF8}"/>
    <cellStyle name="40% - Accent4 3 5" xfId="1047" xr:uid="{CFBCF4D9-47BA-4733-B24B-762F3DBA7406}"/>
    <cellStyle name="40% - Accent4 3 5 2" xfId="3913" xr:uid="{D97CD6C7-F85B-454F-B283-511DFEBCB062}"/>
    <cellStyle name="40% - Accent4 4" xfId="204" xr:uid="{00000000-0005-0000-0000-000054000000}"/>
    <cellStyle name="40% - Accent4 4 2" xfId="1050" xr:uid="{DE17A839-9135-4056-917B-EAB151047E7F}"/>
    <cellStyle name="40% - Accent4 4 2 2" xfId="2004" xr:uid="{A084BD64-9512-47B0-A37C-685B1B06F2A6}"/>
    <cellStyle name="40% - Accent4 4 2 2 2" xfId="2842" xr:uid="{8E884660-6ECB-47FF-BA97-08E49D7B643F}"/>
    <cellStyle name="40% - Accent4 4 2 2 2 2" xfId="5277" xr:uid="{8F8BE2F4-5333-4977-B391-C67050FC7896}"/>
    <cellStyle name="40% - Accent4 4 2 2 3" xfId="4521" xr:uid="{1FCEF1FD-B241-44B0-9FBF-8966737C9E8E}"/>
    <cellStyle name="40% - Accent4 4 2 3" xfId="2355" xr:uid="{BA3A3A70-DCAF-4905-9790-DFDA4C4BB1C8}"/>
    <cellStyle name="40% - Accent4 4 2 3 2" xfId="4790" xr:uid="{9C7737D1-4ED0-4BE8-8C84-4257C86EC559}"/>
    <cellStyle name="40% - Accent4 4 2 4" xfId="3916" xr:uid="{9017BD89-8ADC-496B-9869-392129FBF6BE}"/>
    <cellStyle name="40% - Accent4 4 3" xfId="1834" xr:uid="{2FB7EF63-94F1-4365-AFA6-65FC2EA7D67A}"/>
    <cellStyle name="40% - Accent4 4 3 2" xfId="2672" xr:uid="{C127E980-437A-4299-BCDE-DD27759CF322}"/>
    <cellStyle name="40% - Accent4 4 3 2 2" xfId="5107" xr:uid="{AEEA28E9-24EE-4DD8-95C8-EC7CDD19DBE0}"/>
    <cellStyle name="40% - Accent4 4 3 3" xfId="4351" xr:uid="{E1E4DBF4-CF91-43AE-B087-19AED4934A9E}"/>
    <cellStyle name="40% - Accent4 4 4" xfId="2354" xr:uid="{082FCE4E-07D6-46D5-9DDA-EE48BC21EB7A}"/>
    <cellStyle name="40% - Accent4 4 4 2" xfId="4789" xr:uid="{D8CA8ABC-90C8-47F3-A990-5917219D4315}"/>
    <cellStyle name="40% - Accent4 4 5" xfId="1049" xr:uid="{5B05DD0E-D171-4716-8953-DEF3389EFDFB}"/>
    <cellStyle name="40% - Accent4 4 5 2" xfId="3915" xr:uid="{38271523-C291-408E-BC60-52A98533AA32}"/>
    <cellStyle name="40% - Accent4 5" xfId="250" xr:uid="{00000000-0005-0000-0000-000055000000}"/>
    <cellStyle name="40% - Accent4 5 2" xfId="1968" xr:uid="{BD4237AB-1704-44EF-97FE-47480B509987}"/>
    <cellStyle name="40% - Accent4 5 2 2" xfId="2806" xr:uid="{14417774-31F1-42C2-8495-AFA881A73460}"/>
    <cellStyle name="40% - Accent4 5 2 2 2" xfId="5241" xr:uid="{9D68EC30-8199-4F67-AE38-848CCC0E3737}"/>
    <cellStyle name="40% - Accent4 5 2 3" xfId="4485" xr:uid="{BDEBDAC1-017D-4116-86C3-99ED929758E1}"/>
    <cellStyle name="40% - Accent4 5 3" xfId="2356" xr:uid="{3D97A6D3-BE80-46DC-ABA3-805650CA40B1}"/>
    <cellStyle name="40% - Accent4 5 3 2" xfId="4791" xr:uid="{4BC833BB-F107-4396-8DB3-B1BCC4CF26EF}"/>
    <cellStyle name="40% - Accent4 5 4" xfId="1051" xr:uid="{7FED6131-7C86-4745-B80B-08B5E0095669}"/>
    <cellStyle name="40% - Accent4 5 4 2" xfId="3917" xr:uid="{780D1E36-F19F-4D58-BFA7-4B955D39D1D0}"/>
    <cellStyle name="40% - Accent4 6" xfId="299" xr:uid="{00000000-0005-0000-0000-000056000000}"/>
    <cellStyle name="40% - Accent4 6 2" xfId="2636" xr:uid="{5D8D53BD-BB9C-43CC-971F-19E983D06462}"/>
    <cellStyle name="40% - Accent4 6 2 2" xfId="5071" xr:uid="{74CF94B2-F891-4215-BA8B-1C1C9F83D3B1}"/>
    <cellStyle name="40% - Accent4 6 3" xfId="1798" xr:uid="{05F174E9-B5C4-4ED8-80AB-6B711C1713E4}"/>
    <cellStyle name="40% - Accent4 6 3 2" xfId="4315" xr:uid="{E15CC6A0-D88E-4BB8-A72E-E3EBDBB585A7}"/>
    <cellStyle name="40% - Accent4 7" xfId="363" xr:uid="{00000000-0005-0000-0000-000057000000}"/>
    <cellStyle name="40% - Accent4 7 2" xfId="2976" xr:uid="{40FFA76D-0188-4CAC-AA54-D03A58C9BD8D}"/>
    <cellStyle name="40% - Accent4 7 2 2" xfId="5411" xr:uid="{BF72BB01-9015-4838-B3DB-D6F1F6E6691D}"/>
    <cellStyle name="40% - Accent4 7 3" xfId="2138" xr:uid="{6E0875B5-5060-44A8-83FF-53F8EA965182}"/>
    <cellStyle name="40% - Accent4 7 3 2" xfId="4655" xr:uid="{FCB57EDD-ECF8-439A-820C-A1576E667909}"/>
    <cellStyle name="40% - Accent4 8" xfId="434" xr:uid="{00000000-0005-0000-0000-000058000000}"/>
    <cellStyle name="40% - Accent4 8 2" xfId="2167" xr:uid="{C07DF2F1-D637-4040-88B1-44F9BF5A4813}"/>
    <cellStyle name="40% - Accent4 8 2 2" xfId="4668" xr:uid="{65338133-8849-4FE6-B160-C2A17770FA8E}"/>
    <cellStyle name="40% - Accent4 9" xfId="538" xr:uid="{00000000-0005-0000-0000-000059000000}"/>
    <cellStyle name="40% - Accent4 9 2" xfId="2181" xr:uid="{272F4A23-11DA-482D-B721-81F1FE611EE5}"/>
    <cellStyle name="40% - Accent4 9 2 2" xfId="4682" xr:uid="{1D0315DB-449E-47BC-BF05-E1CF3B8CBEAB}"/>
    <cellStyle name="40% - Accent5" xfId="11" builtinId="47" customBuiltin="1"/>
    <cellStyle name="40% - Accent5 10" xfId="2624" xr:uid="{BEA96B51-3F59-4ACC-959B-EFCE2376E587}"/>
    <cellStyle name="40% - Accent5 10 2" xfId="5059" xr:uid="{591A4C8F-60B8-49DB-BE7F-A541E80B4DC3}"/>
    <cellStyle name="40% - Accent5 11" xfId="956" xr:uid="{F7B0C202-3EB2-4AAD-BCAF-EEF1A4C74832}"/>
    <cellStyle name="40% - Accent5 11 2" xfId="3847" xr:uid="{16695F4D-7DBA-4FF3-B6F2-E1F8C3983214}"/>
    <cellStyle name="40% - Accent5 2" xfId="125" xr:uid="{00000000-0005-0000-0000-00005B000000}"/>
    <cellStyle name="40% - Accent5 2 2" xfId="1053" xr:uid="{F68A143B-4FD0-4EE1-99E3-59C7F7E532DC}"/>
    <cellStyle name="40% - Accent5 2 3" xfId="1054" xr:uid="{60FC2C4B-B656-4700-AEEB-EB77C3E61E5F}"/>
    <cellStyle name="40% - Accent5 2 3 2" xfId="1055" xr:uid="{EDA48642-5E87-4F6F-AEEB-0260E746E635}"/>
    <cellStyle name="40% - Accent5 2 3 2 2" xfId="2008" xr:uid="{092753AD-3BF4-466F-99D8-2513227C0328}"/>
    <cellStyle name="40% - Accent5 2 3 2 2 2" xfId="2846" xr:uid="{4E256D91-99DE-41A1-8B66-A80DBBA3EDD4}"/>
    <cellStyle name="40% - Accent5 2 3 2 2 2 2" xfId="5281" xr:uid="{F3EE5566-7C19-4ADA-A033-F8943A00C09E}"/>
    <cellStyle name="40% - Accent5 2 3 2 2 3" xfId="4525" xr:uid="{D9277B07-3D54-4D6D-9C78-449B6A8979B8}"/>
    <cellStyle name="40% - Accent5 2 3 2 3" xfId="2358" xr:uid="{54A7B384-C74A-4E57-BE1A-4061D975B71D}"/>
    <cellStyle name="40% - Accent5 2 3 2 3 2" xfId="4793" xr:uid="{EB81FF91-EF86-406F-836B-46A370E21552}"/>
    <cellStyle name="40% - Accent5 2 3 2 4" xfId="3919" xr:uid="{38FB6272-9BE4-49CE-9411-71E829AB268C}"/>
    <cellStyle name="40% - Accent5 2 3 3" xfId="1838" xr:uid="{FB789F49-DAA1-4471-A7F3-E3E51C96C97F}"/>
    <cellStyle name="40% - Accent5 2 3 3 2" xfId="2676" xr:uid="{C647C14E-1FDC-4FF2-ACFA-073B54DA9319}"/>
    <cellStyle name="40% - Accent5 2 3 3 2 2" xfId="5111" xr:uid="{0FD44ADF-4D7B-40F9-BD60-8729CA0B84EF}"/>
    <cellStyle name="40% - Accent5 2 3 3 3" xfId="4355" xr:uid="{E3D03835-1C9A-4EE6-8DCB-6DBC89656C53}"/>
    <cellStyle name="40% - Accent5 2 3 4" xfId="2357" xr:uid="{777EEF74-297F-47F9-985C-E3D294AE7332}"/>
    <cellStyle name="40% - Accent5 2 3 4 2" xfId="4792" xr:uid="{2A45B322-4474-4F00-AB57-1448B5B36F6E}"/>
    <cellStyle name="40% - Accent5 2 3 5" xfId="3918" xr:uid="{52DCBF71-CF00-4EC1-B50E-2940EF8AADCA}"/>
    <cellStyle name="40% - Accent5 2 4" xfId="2227" xr:uid="{A970BE78-FF47-498A-BC70-576076D8970D}"/>
    <cellStyle name="40% - Accent5 2 5" xfId="1052" xr:uid="{2AE2FF2D-53DE-4FA1-9131-5539E505D5EB}"/>
    <cellStyle name="40% - Accent5 3" xfId="159" xr:uid="{00000000-0005-0000-0000-00005C000000}"/>
    <cellStyle name="40% - Accent5 3 2" xfId="1057" xr:uid="{FF0B5EF2-35EB-459E-80D9-3F6A3358A4BD}"/>
    <cellStyle name="40% - Accent5 3 2 2" xfId="2009" xr:uid="{14636DA1-F6D7-4DDD-8A9F-BD2942B4E9C3}"/>
    <cellStyle name="40% - Accent5 3 2 2 2" xfId="2847" xr:uid="{4073D374-99C4-4462-BC7D-819077C5C83F}"/>
    <cellStyle name="40% - Accent5 3 2 2 2 2" xfId="5282" xr:uid="{A36D9199-2E47-4A4A-83DC-4030F0FA8188}"/>
    <cellStyle name="40% - Accent5 3 2 2 3" xfId="4526" xr:uid="{E82E4418-6E43-4EAF-9280-0E417BA1CBE9}"/>
    <cellStyle name="40% - Accent5 3 2 3" xfId="2360" xr:uid="{6142FD7C-5281-4458-AE22-B29F1DAC8298}"/>
    <cellStyle name="40% - Accent5 3 2 3 2" xfId="4795" xr:uid="{6DA916C0-2DBC-4961-8B65-1FD1483EECBA}"/>
    <cellStyle name="40% - Accent5 3 2 4" xfId="3921" xr:uid="{6646D104-CE81-446F-B87B-661B7FBA4B4C}"/>
    <cellStyle name="40% - Accent5 3 3" xfId="1839" xr:uid="{64D0CD8D-6ACD-437A-A73B-3C52C1717C15}"/>
    <cellStyle name="40% - Accent5 3 3 2" xfId="2677" xr:uid="{7E1A2875-F160-4407-81A0-383408601322}"/>
    <cellStyle name="40% - Accent5 3 3 2 2" xfId="5112" xr:uid="{72BED644-E998-44C6-AE16-C0F8D7018403}"/>
    <cellStyle name="40% - Accent5 3 3 3" xfId="4356" xr:uid="{300F9ECD-F3F6-4868-BCCE-6C709AFC1915}"/>
    <cellStyle name="40% - Accent5 3 4" xfId="2359" xr:uid="{1560B020-90C1-44AB-BD98-6A4B0498711C}"/>
    <cellStyle name="40% - Accent5 3 4 2" xfId="4794" xr:uid="{20506587-1C4A-484D-8BC1-5B17E33FD3E7}"/>
    <cellStyle name="40% - Accent5 3 5" xfId="1056" xr:uid="{9D8EABC5-349B-49FA-A42B-26EFBC12E179}"/>
    <cellStyle name="40% - Accent5 3 5 2" xfId="3920" xr:uid="{2475AFA4-E363-4D74-85DE-70C4C5E3D156}"/>
    <cellStyle name="40% - Accent5 4" xfId="205" xr:uid="{00000000-0005-0000-0000-00005D000000}"/>
    <cellStyle name="40% - Accent5 4 2" xfId="1059" xr:uid="{BFFD4667-8B9F-47D9-8F72-FED5C06867EE}"/>
    <cellStyle name="40% - Accent5 4 2 2" xfId="2007" xr:uid="{75EE0A65-17DC-465D-8B1C-58AB94C4A784}"/>
    <cellStyle name="40% - Accent5 4 2 2 2" xfId="2845" xr:uid="{89E353C9-DA67-4A85-8EBE-04E1AE939A7C}"/>
    <cellStyle name="40% - Accent5 4 2 2 2 2" xfId="5280" xr:uid="{AD7CFB95-6166-4A61-8115-050E8884142E}"/>
    <cellStyle name="40% - Accent5 4 2 2 3" xfId="4524" xr:uid="{14A4D0BD-A657-45E0-A0BB-27AF9785AB8A}"/>
    <cellStyle name="40% - Accent5 4 2 3" xfId="2362" xr:uid="{68C43C60-7370-40F5-81B3-6E417044ED6F}"/>
    <cellStyle name="40% - Accent5 4 2 3 2" xfId="4797" xr:uid="{058D9E1E-028E-4004-9E9C-93F7C80090FC}"/>
    <cellStyle name="40% - Accent5 4 2 4" xfId="3923" xr:uid="{49891433-B69B-4998-AB1D-CA7A6AE49B1F}"/>
    <cellStyle name="40% - Accent5 4 3" xfId="1837" xr:uid="{A78D0F56-CFE0-43B9-BA42-C23FA85EB63C}"/>
    <cellStyle name="40% - Accent5 4 3 2" xfId="2675" xr:uid="{55A9E2BD-7ADC-43D7-904F-FF2821E26A53}"/>
    <cellStyle name="40% - Accent5 4 3 2 2" xfId="5110" xr:uid="{08DDBAAF-D726-438C-9300-6A42542985BD}"/>
    <cellStyle name="40% - Accent5 4 3 3" xfId="4354" xr:uid="{DF5B0E45-42FD-4831-9CB8-6CEE921B7FB9}"/>
    <cellStyle name="40% - Accent5 4 4" xfId="2361" xr:uid="{8677EBAD-EAA3-4494-8AFC-03E0F2E7B1E0}"/>
    <cellStyle name="40% - Accent5 4 4 2" xfId="4796" xr:uid="{537D74C5-0C95-48DB-B7C4-DB14C6729B11}"/>
    <cellStyle name="40% - Accent5 4 5" xfId="1058" xr:uid="{8430CDCE-E50B-483D-A8C7-7C7A4F032391}"/>
    <cellStyle name="40% - Accent5 4 5 2" xfId="3922" xr:uid="{5FC73EF2-F469-4252-BC42-DC6846469019}"/>
    <cellStyle name="40% - Accent5 5" xfId="251" xr:uid="{00000000-0005-0000-0000-00005E000000}"/>
    <cellStyle name="40% - Accent5 5 2" xfId="1969" xr:uid="{1F93E9D8-DD19-4BA6-BF40-41F52D9B54B4}"/>
    <cellStyle name="40% - Accent5 5 2 2" xfId="2807" xr:uid="{62CC4DAC-8412-4A8E-AC09-D2D593B3EAB2}"/>
    <cellStyle name="40% - Accent5 5 2 2 2" xfId="5242" xr:uid="{8EE43EB3-A7F9-4EFE-8B43-9C8C2AA14FAE}"/>
    <cellStyle name="40% - Accent5 5 2 3" xfId="4486" xr:uid="{0A59B1B5-853E-4C11-A323-34F7DCFB49C4}"/>
    <cellStyle name="40% - Accent5 5 3" xfId="2363" xr:uid="{C4D318D2-1E9A-402C-88ED-94D42B4AB7B6}"/>
    <cellStyle name="40% - Accent5 5 3 2" xfId="4798" xr:uid="{2FD3F569-D0C6-47F9-A4BB-BE49D733B41C}"/>
    <cellStyle name="40% - Accent5 5 4" xfId="1060" xr:uid="{348B5C0E-3CCA-496E-8DA9-B08D08888DD9}"/>
    <cellStyle name="40% - Accent5 5 4 2" xfId="3924" xr:uid="{953F043D-CAC0-49AE-8A81-88D00E6E962C}"/>
    <cellStyle name="40% - Accent5 6" xfId="300" xr:uid="{00000000-0005-0000-0000-00005F000000}"/>
    <cellStyle name="40% - Accent5 6 2" xfId="2637" xr:uid="{7C03BFD5-7850-43FE-A022-49BE0D2012BC}"/>
    <cellStyle name="40% - Accent5 6 2 2" xfId="5072" xr:uid="{296BB2CC-4629-49E8-A1FF-2A6D8FB02406}"/>
    <cellStyle name="40% - Accent5 6 3" xfId="1799" xr:uid="{F0680BF5-692E-4BC7-B24A-8A365AB75533}"/>
    <cellStyle name="40% - Accent5 6 3 2" xfId="4316" xr:uid="{55338790-8FF0-4FB0-8354-1BDFA4593352}"/>
    <cellStyle name="40% - Accent5 7" xfId="364" xr:uid="{00000000-0005-0000-0000-000060000000}"/>
    <cellStyle name="40% - Accent5 7 2" xfId="2978" xr:uid="{B82E5AC5-3CA2-4207-AB30-C4E3375643A7}"/>
    <cellStyle name="40% - Accent5 7 2 2" xfId="5413" xr:uid="{C0CB2207-CC79-4B39-A8C2-063BD6509C6A}"/>
    <cellStyle name="40% - Accent5 7 3" xfId="2140" xr:uid="{36E357C2-0B9D-4C09-8A6C-85794ED33B2C}"/>
    <cellStyle name="40% - Accent5 7 3 2" xfId="4657" xr:uid="{57709832-28F2-4D95-AFC3-7DB7755FE513}"/>
    <cellStyle name="40% - Accent5 8" xfId="435" xr:uid="{00000000-0005-0000-0000-000061000000}"/>
    <cellStyle name="40% - Accent5 8 2" xfId="2169" xr:uid="{2A822548-C23F-4116-88BB-FC8458188FB6}"/>
    <cellStyle name="40% - Accent5 8 2 2" xfId="4670" xr:uid="{697571D3-CBC7-4031-A7A5-EC3F4946E89E}"/>
    <cellStyle name="40% - Accent5 9" xfId="539" xr:uid="{00000000-0005-0000-0000-000062000000}"/>
    <cellStyle name="40% - Accent5 9 2" xfId="2183" xr:uid="{645737B1-ACB4-4801-9970-DE5D4002227B}"/>
    <cellStyle name="40% - Accent5 9 2 2" xfId="4684" xr:uid="{6AE2F8E2-1893-49CA-9651-9A14E8CFAEC6}"/>
    <cellStyle name="40% - Accent6" xfId="12" builtinId="51" customBuiltin="1"/>
    <cellStyle name="40% - Accent6 10" xfId="2626" xr:uid="{C21A98BD-1103-471F-9430-20648CE90C44}"/>
    <cellStyle name="40% - Accent6 10 2" xfId="5061" xr:uid="{A2CA3F10-3C8D-486E-BBD5-B08F213A7E81}"/>
    <cellStyle name="40% - Accent6 11" xfId="980" xr:uid="{D230E761-E665-4AB1-860D-06F98F9B84BA}"/>
    <cellStyle name="40% - Accent6 11 2" xfId="3867" xr:uid="{F13A34CE-0978-4EFB-835F-65A09300E1FD}"/>
    <cellStyle name="40% - Accent6 2" xfId="126" xr:uid="{00000000-0005-0000-0000-000064000000}"/>
    <cellStyle name="40% - Accent6 2 2" xfId="1062" xr:uid="{B86146FC-54B9-4A87-9241-9F84ECBCAD0F}"/>
    <cellStyle name="40% - Accent6 2 3" xfId="1063" xr:uid="{FF05A4C6-E2A6-4AFD-A716-7EDE0495435D}"/>
    <cellStyle name="40% - Accent6 2 3 2" xfId="1064" xr:uid="{93F0226F-1468-4673-90A2-66D39A984B23}"/>
    <cellStyle name="40% - Accent6 2 3 2 2" xfId="2011" xr:uid="{04FEE035-D0C6-43DE-AD4D-7C291A4BC41F}"/>
    <cellStyle name="40% - Accent6 2 3 2 2 2" xfId="2849" xr:uid="{C63635AB-20AB-4005-BF68-23745F1F8055}"/>
    <cellStyle name="40% - Accent6 2 3 2 2 2 2" xfId="5284" xr:uid="{BDC94FAE-C294-46FE-AB30-92EE9DE7739C}"/>
    <cellStyle name="40% - Accent6 2 3 2 2 3" xfId="4528" xr:uid="{67B18485-22F2-4A75-86FF-1A6FD490B8C6}"/>
    <cellStyle name="40% - Accent6 2 3 2 3" xfId="2365" xr:uid="{5A72E1EC-A89C-47A7-B5AB-21CBDE13B2F3}"/>
    <cellStyle name="40% - Accent6 2 3 2 3 2" xfId="4800" xr:uid="{CC2453F9-FBCC-401A-814D-755A70819D84}"/>
    <cellStyle name="40% - Accent6 2 3 2 4" xfId="3926" xr:uid="{B7138063-A151-4A91-97E2-77B63A8FF529}"/>
    <cellStyle name="40% - Accent6 2 3 3" xfId="1841" xr:uid="{0CECA3A3-4CA0-4015-8841-3394A6D58BC0}"/>
    <cellStyle name="40% - Accent6 2 3 3 2" xfId="2679" xr:uid="{99C30B72-3379-41CD-B03F-1298368562A1}"/>
    <cellStyle name="40% - Accent6 2 3 3 2 2" xfId="5114" xr:uid="{B9A72ACF-5692-485D-AE9C-D72B535C15B4}"/>
    <cellStyle name="40% - Accent6 2 3 3 3" xfId="4358" xr:uid="{A5111472-774C-417A-AD5B-49F621F6692C}"/>
    <cellStyle name="40% - Accent6 2 3 4" xfId="2364" xr:uid="{A03762CE-09A9-453B-AD40-F25C46C6258C}"/>
    <cellStyle name="40% - Accent6 2 3 4 2" xfId="4799" xr:uid="{9EDB8269-321D-4791-9982-0B762EC92B5C}"/>
    <cellStyle name="40% - Accent6 2 3 5" xfId="3925" xr:uid="{8248DE47-19CC-4844-BA65-22E3225B652D}"/>
    <cellStyle name="40% - Accent6 2 4" xfId="2228" xr:uid="{65A1543B-59F0-4039-A8FD-07E07E86BB34}"/>
    <cellStyle name="40% - Accent6 2 5" xfId="1061" xr:uid="{0C76B08B-C604-4D2E-B4AC-BD6FA052E290}"/>
    <cellStyle name="40% - Accent6 3" xfId="160" xr:uid="{00000000-0005-0000-0000-000065000000}"/>
    <cellStyle name="40% - Accent6 3 2" xfId="1066" xr:uid="{9E85FC9F-D8B3-44CB-9B8F-C593328F3F25}"/>
    <cellStyle name="40% - Accent6 3 2 2" xfId="2012" xr:uid="{DDF3C799-273C-4E67-B3D7-62459976B65B}"/>
    <cellStyle name="40% - Accent6 3 2 2 2" xfId="2850" xr:uid="{C8C73791-85DD-4AC1-AE19-3C8BDAA94870}"/>
    <cellStyle name="40% - Accent6 3 2 2 2 2" xfId="5285" xr:uid="{DFB02C79-EF39-41B0-B68D-FE7F0E7C0510}"/>
    <cellStyle name="40% - Accent6 3 2 2 3" xfId="4529" xr:uid="{B71B5CF9-8B36-40B4-966A-B34412E5C495}"/>
    <cellStyle name="40% - Accent6 3 2 3" xfId="2367" xr:uid="{43768B4C-6BBC-4F12-AFCD-0D5825128366}"/>
    <cellStyle name="40% - Accent6 3 2 3 2" xfId="4802" xr:uid="{11EDD627-A6A5-4D51-84BB-163C61E12C2C}"/>
    <cellStyle name="40% - Accent6 3 2 4" xfId="3928" xr:uid="{F218D3BA-C057-4D4A-B825-219DCA829BC6}"/>
    <cellStyle name="40% - Accent6 3 3" xfId="1842" xr:uid="{F92505F3-4309-4D1B-A5B9-936236423FAB}"/>
    <cellStyle name="40% - Accent6 3 3 2" xfId="2680" xr:uid="{4F2BD282-906B-444E-A3DF-E0BBA83A93D9}"/>
    <cellStyle name="40% - Accent6 3 3 2 2" xfId="5115" xr:uid="{92821CD0-C2AC-4AB5-8C1B-B77AF8334F78}"/>
    <cellStyle name="40% - Accent6 3 3 3" xfId="4359" xr:uid="{152F8A42-933F-496A-86A3-93920010E7CC}"/>
    <cellStyle name="40% - Accent6 3 4" xfId="2366" xr:uid="{FC24BB0B-C46F-489F-B9FF-BBDC9976A213}"/>
    <cellStyle name="40% - Accent6 3 4 2" xfId="4801" xr:uid="{E187E3BB-46AA-400C-B95B-E53C70A75138}"/>
    <cellStyle name="40% - Accent6 3 5" xfId="1065" xr:uid="{72C004D4-F533-453E-92A8-064553DEEF7D}"/>
    <cellStyle name="40% - Accent6 3 5 2" xfId="3927" xr:uid="{234F1C37-438E-43DF-9421-E1FBC9760C44}"/>
    <cellStyle name="40% - Accent6 4" xfId="206" xr:uid="{00000000-0005-0000-0000-000066000000}"/>
    <cellStyle name="40% - Accent6 4 2" xfId="1068" xr:uid="{DAE9BA26-DF31-4A0C-9DE4-76DD9FE5CBF1}"/>
    <cellStyle name="40% - Accent6 4 2 2" xfId="2010" xr:uid="{AEF4B1F5-379D-4017-BF4C-7EE557DCE7B8}"/>
    <cellStyle name="40% - Accent6 4 2 2 2" xfId="2848" xr:uid="{52D5DA1F-1104-48A4-B3CB-196D46C54A3E}"/>
    <cellStyle name="40% - Accent6 4 2 2 2 2" xfId="5283" xr:uid="{30AE53C2-C01C-47E3-99F3-88B577778306}"/>
    <cellStyle name="40% - Accent6 4 2 2 3" xfId="4527" xr:uid="{52C54EE7-35FF-4B7C-8667-0D25C3B31973}"/>
    <cellStyle name="40% - Accent6 4 2 3" xfId="2369" xr:uid="{17B98110-C695-4C47-8B88-F6C94E285DCA}"/>
    <cellStyle name="40% - Accent6 4 2 3 2" xfId="4804" xr:uid="{6A903863-5215-459A-9033-1D3F9ECC7B8E}"/>
    <cellStyle name="40% - Accent6 4 2 4" xfId="3930" xr:uid="{DECE60E3-CB74-45FC-A2D6-761A000E6C46}"/>
    <cellStyle name="40% - Accent6 4 3" xfId="1840" xr:uid="{C065FD5D-40AD-43F0-A448-10EC331687CB}"/>
    <cellStyle name="40% - Accent6 4 3 2" xfId="2678" xr:uid="{40921068-5F1E-416F-9B84-2BAFE9851948}"/>
    <cellStyle name="40% - Accent6 4 3 2 2" xfId="5113" xr:uid="{047DDEBE-FCCF-4E32-88C4-D8FF1E438FF0}"/>
    <cellStyle name="40% - Accent6 4 3 3" xfId="4357" xr:uid="{0A24E264-2243-4F2A-A712-B2169814241C}"/>
    <cellStyle name="40% - Accent6 4 4" xfId="2368" xr:uid="{F482FFD0-88C6-4E87-8165-D1C894D588B8}"/>
    <cellStyle name="40% - Accent6 4 4 2" xfId="4803" xr:uid="{7DBD6B80-6881-41AB-BAAD-ADFE2C9F8CB1}"/>
    <cellStyle name="40% - Accent6 4 5" xfId="1067" xr:uid="{6A5E99AF-4B74-46B7-81A9-1CE55B37A1BA}"/>
    <cellStyle name="40% - Accent6 4 5 2" xfId="3929" xr:uid="{B10D69FE-2FD1-4D86-AC7B-E62E00958FEF}"/>
    <cellStyle name="40% - Accent6 5" xfId="252" xr:uid="{00000000-0005-0000-0000-000067000000}"/>
    <cellStyle name="40% - Accent6 5 2" xfId="1970" xr:uid="{6DB890FB-0E61-4307-B183-2B16FEDF29DA}"/>
    <cellStyle name="40% - Accent6 5 2 2" xfId="2808" xr:uid="{FD7C7E97-8200-41B8-83ED-88790EDC0B32}"/>
    <cellStyle name="40% - Accent6 5 2 2 2" xfId="5243" xr:uid="{3962319C-0B9E-48CF-8D36-609BB1A4DB55}"/>
    <cellStyle name="40% - Accent6 5 2 3" xfId="4487" xr:uid="{84663BA4-FAEE-45F4-B4E3-21CEBC90E337}"/>
    <cellStyle name="40% - Accent6 5 3" xfId="2370" xr:uid="{513DC4F4-8205-4022-B47F-78A8636EDDEF}"/>
    <cellStyle name="40% - Accent6 5 3 2" xfId="4805" xr:uid="{34253FEA-ED60-4DE9-9B47-F92C9A1D7F34}"/>
    <cellStyle name="40% - Accent6 5 4" xfId="1069" xr:uid="{74B0F5AD-BFB2-4197-A6B4-BFE473A85D0B}"/>
    <cellStyle name="40% - Accent6 5 4 2" xfId="3931" xr:uid="{D7A49735-0888-41D3-B8B9-B7AD01AF8BF0}"/>
    <cellStyle name="40% - Accent6 6" xfId="301" xr:uid="{00000000-0005-0000-0000-000068000000}"/>
    <cellStyle name="40% - Accent6 6 2" xfId="2638" xr:uid="{05CC4D4F-565F-4911-A520-1097A66A7B0F}"/>
    <cellStyle name="40% - Accent6 6 2 2" xfId="5073" xr:uid="{83D041CC-9572-4B1D-B033-10E0A4E18094}"/>
    <cellStyle name="40% - Accent6 6 3" xfId="1800" xr:uid="{9F77B020-F03A-494A-BF77-5BA0AB3FBEF1}"/>
    <cellStyle name="40% - Accent6 6 3 2" xfId="4317" xr:uid="{3FE887F2-A909-4795-A41D-C0D257B18CB7}"/>
    <cellStyle name="40% - Accent6 7" xfId="365" xr:uid="{00000000-0005-0000-0000-000069000000}"/>
    <cellStyle name="40% - Accent6 7 2" xfId="2980" xr:uid="{CEFBAA50-B1DC-4787-AADA-BA301D75093C}"/>
    <cellStyle name="40% - Accent6 7 2 2" xfId="5415" xr:uid="{065F94EA-1F19-4198-9558-A4B43A5487A3}"/>
    <cellStyle name="40% - Accent6 7 3" xfId="2142" xr:uid="{C17B9AC1-103A-4DE1-A527-F4B906BDF9FB}"/>
    <cellStyle name="40% - Accent6 7 3 2" xfId="4659" xr:uid="{C0BA5D82-7939-4FD6-BE10-F975B16DEC91}"/>
    <cellStyle name="40% - Accent6 8" xfId="436" xr:uid="{00000000-0005-0000-0000-00006A000000}"/>
    <cellStyle name="40% - Accent6 8 2" xfId="2171" xr:uid="{14E1C59F-A3F4-4EEB-9C7A-BCC606A57B70}"/>
    <cellStyle name="40% - Accent6 8 2 2" xfId="4672" xr:uid="{7C34B83E-DF65-4B8D-8C24-9FE3F0332B1A}"/>
    <cellStyle name="40% - Accent6 9" xfId="540" xr:uid="{00000000-0005-0000-0000-00006B000000}"/>
    <cellStyle name="40% - Accent6 9 2" xfId="2185" xr:uid="{5E2EF2E5-F833-4108-8384-8DCC5EEB89F6}"/>
    <cellStyle name="40% - Accent6 9 2 2" xfId="4686" xr:uid="{744AC416-5387-4E18-87B2-011F11E64D78}"/>
    <cellStyle name="60% - Accent1" xfId="13" builtinId="32" customBuiltin="1"/>
    <cellStyle name="60% - Accent1 2" xfId="161" xr:uid="{00000000-0005-0000-0000-00006D000000}"/>
    <cellStyle name="60% - Accent1 2 2" xfId="1070" xr:uid="{F619F85F-EF0B-4773-9321-837336812262}"/>
    <cellStyle name="60% - Accent1 3" xfId="207" xr:uid="{00000000-0005-0000-0000-00006E000000}"/>
    <cellStyle name="60% - Accent1 3 2" xfId="1783" xr:uid="{F1A5227D-A071-47A6-834F-187B9306FD5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2 2" xfId="1071" xr:uid="{72AFCAA7-7264-4780-86D2-6FDDD127CA49}"/>
    <cellStyle name="60% - Accent2 3" xfId="208" xr:uid="{00000000-0005-0000-0000-000076000000}"/>
    <cellStyle name="60% - Accent2 3 2" xfId="1784" xr:uid="{9DCE2D12-9B17-4979-A261-A6DAB5D33E53}"/>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2 2" xfId="1072" xr:uid="{71C7DE70-2CA6-40B0-9021-46D5B544D7F1}"/>
    <cellStyle name="60% - Accent3 3" xfId="209" xr:uid="{00000000-0005-0000-0000-00007E000000}"/>
    <cellStyle name="60% - Accent3 3 2" xfId="1785" xr:uid="{96C7BFFF-0AAF-4470-8EFD-F78D78D47B4F}"/>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2 2" xfId="1073" xr:uid="{92624BDC-9309-4C34-B9B1-C834C49C682B}"/>
    <cellStyle name="60% - Accent4 3" xfId="210" xr:uid="{00000000-0005-0000-0000-000086000000}"/>
    <cellStyle name="60% - Accent4 3 2" xfId="1786" xr:uid="{BEECFAC8-A866-4ABE-B1DE-083EDDC2D164}"/>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2 2" xfId="1074" xr:uid="{79915B16-F3F0-402C-8D8B-332BA6107D95}"/>
    <cellStyle name="60% - Accent5 3" xfId="211" xr:uid="{00000000-0005-0000-0000-00008E000000}"/>
    <cellStyle name="60% - Accent5 3 2" xfId="1787" xr:uid="{1B435A57-E048-4E1B-822A-75C84CB1A8EF}"/>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2 2" xfId="1075" xr:uid="{03AB1D74-0877-4774-94EE-BF003912416F}"/>
    <cellStyle name="60% - Accent6 3" xfId="212" xr:uid="{00000000-0005-0000-0000-000096000000}"/>
    <cellStyle name="60% - Accent6 3 2" xfId="1788" xr:uid="{C5E35DEF-8A0D-4063-9F53-6EBDC7B83EAC}"/>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20% 2" xfId="895" xr:uid="{2341EBAC-9038-489B-89E0-D771DE82EA42}"/>
    <cellStyle name="Accent1 - 20% 2 2" xfId="1077" xr:uid="{414B7D17-031D-4725-BDCB-068DB20E3195}"/>
    <cellStyle name="Accent1 - 20% 3" xfId="1076" xr:uid="{6D182D04-6AC5-4395-84D6-5BBA711DB76C}"/>
    <cellStyle name="Accent1 - 40%" xfId="21" xr:uid="{00000000-0005-0000-0000-00009E000000}"/>
    <cellStyle name="Accent1 - 40% 2" xfId="896" xr:uid="{2BF20286-8C14-4DD0-BC48-F86BC03F1EA6}"/>
    <cellStyle name="Accent1 - 40% 2 2" xfId="1079" xr:uid="{5703260F-9F55-472D-B852-0745440CAE20}"/>
    <cellStyle name="Accent1 - 40% 3" xfId="1078" xr:uid="{37310F85-B540-47B0-A930-846AA20AAEE6}"/>
    <cellStyle name="Accent1 - 60%" xfId="22" xr:uid="{00000000-0005-0000-0000-00009F000000}"/>
    <cellStyle name="Accent1 - 60% 2" xfId="897" xr:uid="{408C100A-9179-46C4-8CFF-78775259CF40}"/>
    <cellStyle name="Accent1 - 60% 3" xfId="1080" xr:uid="{BD64EBD7-8CF6-4504-880D-533D1EB14A1C}"/>
    <cellStyle name="Accent1 10" xfId="1213" xr:uid="{1C990109-106A-4596-B574-DCB65713A036}"/>
    <cellStyle name="Accent1 2" xfId="167" xr:uid="{00000000-0005-0000-0000-0000A0000000}"/>
    <cellStyle name="Accent1 2 2" xfId="1082" xr:uid="{A2AEDD95-125F-4D35-8FEF-1CE9A7E7967C}"/>
    <cellStyle name="Accent1 2 3" xfId="1081" xr:uid="{D5BA26EA-C2B8-488C-A3D5-C7B9F5B8FBAE}"/>
    <cellStyle name="Accent1 3" xfId="213" xr:uid="{00000000-0005-0000-0000-0000A1000000}"/>
    <cellStyle name="Accent1 3 2" xfId="1083" xr:uid="{39773C2A-FEDF-4019-A333-EEE368665DA0}"/>
    <cellStyle name="Accent1 4" xfId="259" xr:uid="{00000000-0005-0000-0000-0000A2000000}"/>
    <cellStyle name="Accent1 4 2" xfId="1084" xr:uid="{F325E876-4B8E-453E-A8D7-B4D6CE075DB8}"/>
    <cellStyle name="Accent1 5" xfId="308" xr:uid="{00000000-0005-0000-0000-0000A3000000}"/>
    <cellStyle name="Accent1 5 2" xfId="1085" xr:uid="{B0F8ABE1-00B6-4D40-93F9-613FDA5B7CEC}"/>
    <cellStyle name="Accent1 6" xfId="372" xr:uid="{00000000-0005-0000-0000-0000A4000000}"/>
    <cellStyle name="Accent1 6 2" xfId="1086" xr:uid="{3A40E004-7839-4117-930D-994452E88160}"/>
    <cellStyle name="Accent1 7" xfId="443" xr:uid="{00000000-0005-0000-0000-0000A5000000}"/>
    <cellStyle name="Accent1 8" xfId="547" xr:uid="{00000000-0005-0000-0000-0000A6000000}"/>
    <cellStyle name="Accent1 9" xfId="951" xr:uid="{6347ABA3-020E-427A-ACD0-91D282C3A9A0}"/>
    <cellStyle name="Accent2" xfId="23" builtinId="33" customBuiltin="1"/>
    <cellStyle name="Accent2 - 20%" xfId="24" xr:uid="{00000000-0005-0000-0000-0000A8000000}"/>
    <cellStyle name="Accent2 - 20% 2" xfId="898" xr:uid="{CE2FEAEC-91C4-47A9-B758-BE9651C717BF}"/>
    <cellStyle name="Accent2 - 20% 2 2" xfId="1088" xr:uid="{F68C5F47-8087-4EF5-A86D-EF36AF207E58}"/>
    <cellStyle name="Accent2 - 20% 3" xfId="1087" xr:uid="{740E2974-99A3-4C6A-9A3C-9D35A45C4D44}"/>
    <cellStyle name="Accent2 - 40%" xfId="25" xr:uid="{00000000-0005-0000-0000-0000A9000000}"/>
    <cellStyle name="Accent2 - 40% 2" xfId="899" xr:uid="{C8AB0773-203C-4C6E-B565-01F33238BC7F}"/>
    <cellStyle name="Accent2 - 40% 2 2" xfId="1090" xr:uid="{B23C6FBB-CEEF-4E12-82D4-A41405795F2D}"/>
    <cellStyle name="Accent2 - 40% 3" xfId="1089" xr:uid="{36FB6292-0688-4100-A52D-BB0036457F47}"/>
    <cellStyle name="Accent2 - 60%" xfId="26" xr:uid="{00000000-0005-0000-0000-0000AA000000}"/>
    <cellStyle name="Accent2 - 60% 2" xfId="900" xr:uid="{AF53FF1C-518F-4939-AF19-B56F4C363B7D}"/>
    <cellStyle name="Accent2 - 60% 3" xfId="1091" xr:uid="{3EE8043A-A8D8-4095-A13B-E2F8DCAF4F83}"/>
    <cellStyle name="Accent2 10" xfId="931" xr:uid="{B71FC80D-923E-42FE-B25A-620E92B92CAA}"/>
    <cellStyle name="Accent2 2" xfId="168" xr:uid="{00000000-0005-0000-0000-0000AB000000}"/>
    <cellStyle name="Accent2 2 2" xfId="1093" xr:uid="{E2AFFB22-8D6D-4174-B386-E06D33B4B0D0}"/>
    <cellStyle name="Accent2 2 3" xfId="1092" xr:uid="{DEA24C2F-BD40-4FBE-A814-9D5A35169FA2}"/>
    <cellStyle name="Accent2 3" xfId="214" xr:uid="{00000000-0005-0000-0000-0000AC000000}"/>
    <cellStyle name="Accent2 3 2" xfId="1094" xr:uid="{91095101-B597-45A2-AAF7-4E16DFA94DC2}"/>
    <cellStyle name="Accent2 4" xfId="260" xr:uid="{00000000-0005-0000-0000-0000AD000000}"/>
    <cellStyle name="Accent2 4 2" xfId="1095" xr:uid="{B6825291-8684-430A-87A0-B6892FDCB861}"/>
    <cellStyle name="Accent2 5" xfId="309" xr:uid="{00000000-0005-0000-0000-0000AE000000}"/>
    <cellStyle name="Accent2 5 2" xfId="1096" xr:uid="{2BC4EB0C-C3D5-49F4-9B6D-0621473FBAC3}"/>
    <cellStyle name="Accent2 6" xfId="373" xr:uid="{00000000-0005-0000-0000-0000AF000000}"/>
    <cellStyle name="Accent2 6 2" xfId="1097" xr:uid="{E79C3EF2-7899-45CB-8E55-2409DE3D6262}"/>
    <cellStyle name="Accent2 7" xfId="444" xr:uid="{00000000-0005-0000-0000-0000B0000000}"/>
    <cellStyle name="Accent2 8" xfId="548" xr:uid="{00000000-0005-0000-0000-0000B1000000}"/>
    <cellStyle name="Accent2 9" xfId="950" xr:uid="{BC8A2DEE-4CB2-4376-80A9-E5B9DE57E410}"/>
    <cellStyle name="Accent3" xfId="27" builtinId="37" customBuiltin="1"/>
    <cellStyle name="Accent3 - 20%" xfId="28" xr:uid="{00000000-0005-0000-0000-0000B3000000}"/>
    <cellStyle name="Accent3 - 20% 2" xfId="901" xr:uid="{799D8D2C-063B-414A-9931-887EFCFC4E67}"/>
    <cellStyle name="Accent3 - 20% 2 2" xfId="1099" xr:uid="{B7CB49EF-AB66-4FED-8A0F-0665B8C333E2}"/>
    <cellStyle name="Accent3 - 20% 3" xfId="1098" xr:uid="{BEDE6608-4E97-48F3-A85A-04882925D571}"/>
    <cellStyle name="Accent3 - 40%" xfId="29" xr:uid="{00000000-0005-0000-0000-0000B4000000}"/>
    <cellStyle name="Accent3 - 40% 2" xfId="902" xr:uid="{9EE4BE1D-CF1C-4742-8B41-85BFD5FD0E44}"/>
    <cellStyle name="Accent3 - 40% 2 2" xfId="1101" xr:uid="{637AE64C-46E6-4E54-A754-5BCB4710A002}"/>
    <cellStyle name="Accent3 - 40% 3" xfId="1100" xr:uid="{1191125C-292B-4EAC-9AC9-5CDD313F9E61}"/>
    <cellStyle name="Accent3 - 60%" xfId="30" xr:uid="{00000000-0005-0000-0000-0000B5000000}"/>
    <cellStyle name="Accent3 - 60% 2" xfId="903" xr:uid="{D0DE66A8-CA6C-4224-8DB9-E474B7B1280B}"/>
    <cellStyle name="Accent3 - 60% 3" xfId="1102" xr:uid="{33A92544-35BE-42FD-8800-0B328CCE314B}"/>
    <cellStyle name="Accent3 10" xfId="1122" xr:uid="{062B3298-900C-4715-8273-EB8D67633230}"/>
    <cellStyle name="Accent3 2" xfId="169" xr:uid="{00000000-0005-0000-0000-0000B6000000}"/>
    <cellStyle name="Accent3 2 2" xfId="1104" xr:uid="{AD0EAA13-596C-48C8-B2B0-2BCCAB62471A}"/>
    <cellStyle name="Accent3 2 3" xfId="1103" xr:uid="{7BE6615A-2710-42B7-8924-11B35425E74D}"/>
    <cellStyle name="Accent3 3" xfId="215" xr:uid="{00000000-0005-0000-0000-0000B7000000}"/>
    <cellStyle name="Accent3 3 2" xfId="1105" xr:uid="{31C22731-24A1-4C30-86D2-212C22845DA9}"/>
    <cellStyle name="Accent3 4" xfId="261" xr:uid="{00000000-0005-0000-0000-0000B8000000}"/>
    <cellStyle name="Accent3 4 2" xfId="1106" xr:uid="{117C03F0-794F-4772-BC2D-AAD9A70B091E}"/>
    <cellStyle name="Accent3 5" xfId="310" xr:uid="{00000000-0005-0000-0000-0000B9000000}"/>
    <cellStyle name="Accent3 5 2" xfId="1107" xr:uid="{C67BA2AB-1CE0-4AE5-A4A8-F8513869DF9F}"/>
    <cellStyle name="Accent3 6" xfId="374" xr:uid="{00000000-0005-0000-0000-0000BA000000}"/>
    <cellStyle name="Accent3 6 2" xfId="1108" xr:uid="{4517FCAE-1CEA-4BDD-A2F2-D08942B3B088}"/>
    <cellStyle name="Accent3 7" xfId="445" xr:uid="{00000000-0005-0000-0000-0000BB000000}"/>
    <cellStyle name="Accent3 8" xfId="549" xr:uid="{00000000-0005-0000-0000-0000BC000000}"/>
    <cellStyle name="Accent3 9" xfId="953" xr:uid="{B22748A5-3A25-43AC-B351-99C87BEC613D}"/>
    <cellStyle name="Accent4" xfId="31" builtinId="41" customBuiltin="1"/>
    <cellStyle name="Accent4 - 20%" xfId="32" xr:uid="{00000000-0005-0000-0000-0000BE000000}"/>
    <cellStyle name="Accent4 - 20% 2" xfId="904" xr:uid="{2A244947-8719-466C-882F-76D767C039CB}"/>
    <cellStyle name="Accent4 - 20% 2 2" xfId="1110" xr:uid="{3E9F496F-5B39-4E62-9083-99C9008F1185}"/>
    <cellStyle name="Accent4 - 20% 3" xfId="1109" xr:uid="{219BD5D1-FA2D-40CD-B912-1C479533EAA8}"/>
    <cellStyle name="Accent4 - 40%" xfId="33" xr:uid="{00000000-0005-0000-0000-0000BF000000}"/>
    <cellStyle name="Accent4 - 40% 2" xfId="905" xr:uid="{AFDFCFCB-B00A-4EF8-A068-4DB2E94E6F65}"/>
    <cellStyle name="Accent4 - 40% 2 2" xfId="1112" xr:uid="{05CE971B-A2FB-4C38-B08B-32BBB09DFA33}"/>
    <cellStyle name="Accent4 - 40% 3" xfId="1111" xr:uid="{0D0C1A3F-A9AB-47C1-971A-0DFAED12DEEC}"/>
    <cellStyle name="Accent4 - 60%" xfId="34" xr:uid="{00000000-0005-0000-0000-0000C0000000}"/>
    <cellStyle name="Accent4 - 60% 2" xfId="906" xr:uid="{D5544E1B-0053-4E69-AFF5-74AC05D47F77}"/>
    <cellStyle name="Accent4 - 60% 3" xfId="1113" xr:uid="{0D4BC98E-799C-4B75-BBC6-02DCBD9BF55A}"/>
    <cellStyle name="Accent4 10" xfId="3311" xr:uid="{F46DF3C4-5610-4E61-AADA-B24876832B7A}"/>
    <cellStyle name="Accent4 2" xfId="170" xr:uid="{00000000-0005-0000-0000-0000C1000000}"/>
    <cellStyle name="Accent4 2 2" xfId="1115" xr:uid="{569278D7-7112-4B2E-BF1C-45E6D3F2735C}"/>
    <cellStyle name="Accent4 2 3" xfId="1114" xr:uid="{310310A8-778A-4026-8B1A-CB89A40C9F6C}"/>
    <cellStyle name="Accent4 3" xfId="216" xr:uid="{00000000-0005-0000-0000-0000C2000000}"/>
    <cellStyle name="Accent4 3 2" xfId="1116" xr:uid="{9AF0226D-D497-45B5-850A-BE9C180674DB}"/>
    <cellStyle name="Accent4 4" xfId="262" xr:uid="{00000000-0005-0000-0000-0000C3000000}"/>
    <cellStyle name="Accent4 4 2" xfId="1117" xr:uid="{D9496B3F-F057-431F-AEE1-0E4A33B46FAD}"/>
    <cellStyle name="Accent4 5" xfId="311" xr:uid="{00000000-0005-0000-0000-0000C4000000}"/>
    <cellStyle name="Accent4 5 2" xfId="1118" xr:uid="{4BD48876-9CB3-4458-9052-1C3ACB358A5F}"/>
    <cellStyle name="Accent4 6" xfId="375" xr:uid="{00000000-0005-0000-0000-0000C5000000}"/>
    <cellStyle name="Accent4 6 2" xfId="1119" xr:uid="{CEE9625D-A294-4910-81B6-B564BBDE42AC}"/>
    <cellStyle name="Accent4 7" xfId="446" xr:uid="{00000000-0005-0000-0000-0000C6000000}"/>
    <cellStyle name="Accent4 8" xfId="550" xr:uid="{00000000-0005-0000-0000-0000C7000000}"/>
    <cellStyle name="Accent4 9" xfId="916" xr:uid="{1E49948A-8419-4CDD-A029-BF6BCAB8415F}"/>
    <cellStyle name="Accent5" xfId="35" builtinId="45" customBuiltin="1"/>
    <cellStyle name="Accent5 - 20%" xfId="36" xr:uid="{00000000-0005-0000-0000-0000C9000000}"/>
    <cellStyle name="Accent5 - 20% 2" xfId="907" xr:uid="{89E935E9-9950-44BE-8448-0BB5624B551C}"/>
    <cellStyle name="Accent5 - 20% 2 2" xfId="1121" xr:uid="{986DEAA9-7DBF-4AD8-8A23-4567D6191E7F}"/>
    <cellStyle name="Accent5 - 20% 3" xfId="1120" xr:uid="{D94450C6-6787-4B9C-99B4-554826CF9990}"/>
    <cellStyle name="Accent5 - 40%" xfId="37" xr:uid="{00000000-0005-0000-0000-0000CA000000}"/>
    <cellStyle name="Accent5 - 40% 2" xfId="908" xr:uid="{8B81908A-60A3-4F36-BAE6-ECDF676E0561}"/>
    <cellStyle name="Accent5 - 60%" xfId="38" xr:uid="{00000000-0005-0000-0000-0000CB000000}"/>
    <cellStyle name="Accent5 - 60% 2" xfId="909" xr:uid="{BB129ECB-848D-4823-AB4C-1E2B0321DA1D}"/>
    <cellStyle name="Accent5 - 60% 3" xfId="1123" xr:uid="{5F4A6472-2E59-47F0-A928-C7A58380DDD5}"/>
    <cellStyle name="Accent5 10" xfId="3312" xr:uid="{F883AEA5-15AC-45E8-9072-1A76639067DF}"/>
    <cellStyle name="Accent5 2" xfId="171" xr:uid="{00000000-0005-0000-0000-0000CC000000}"/>
    <cellStyle name="Accent5 2 2" xfId="1125" xr:uid="{C3F6D20C-3BCD-4395-9E2D-BBB30836745E}"/>
    <cellStyle name="Accent5 2 3" xfId="1124" xr:uid="{DA6573BB-58A8-431B-ABA5-20DA17E05D8A}"/>
    <cellStyle name="Accent5 3" xfId="217" xr:uid="{00000000-0005-0000-0000-0000CD000000}"/>
    <cellStyle name="Accent5 3 2" xfId="1126" xr:uid="{63A1CBF7-EFF7-4700-935D-CA9EED1D58E1}"/>
    <cellStyle name="Accent5 4" xfId="263" xr:uid="{00000000-0005-0000-0000-0000CE000000}"/>
    <cellStyle name="Accent5 4 2" xfId="1127" xr:uid="{6CF94C34-7D46-4F8E-A1CE-C74E0AE3E331}"/>
    <cellStyle name="Accent5 5" xfId="312" xr:uid="{00000000-0005-0000-0000-0000CF000000}"/>
    <cellStyle name="Accent5 5 2" xfId="1128" xr:uid="{BF38DBF9-72C2-4737-972D-F53EF5BEAAAC}"/>
    <cellStyle name="Accent5 6" xfId="376" xr:uid="{00000000-0005-0000-0000-0000D0000000}"/>
    <cellStyle name="Accent5 6 2" xfId="1129" xr:uid="{7EDB78D8-448B-4B55-8FC4-F278B54F561B}"/>
    <cellStyle name="Accent5 7" xfId="447" xr:uid="{00000000-0005-0000-0000-0000D1000000}"/>
    <cellStyle name="Accent5 8" xfId="551" xr:uid="{00000000-0005-0000-0000-0000D2000000}"/>
    <cellStyle name="Accent5 9" xfId="913" xr:uid="{AF81FAD9-2403-4A11-AE4B-921643EBA684}"/>
    <cellStyle name="Accent6" xfId="39" builtinId="49" customBuiltin="1"/>
    <cellStyle name="Accent6 - 20%" xfId="40" xr:uid="{00000000-0005-0000-0000-0000D4000000}"/>
    <cellStyle name="Accent6 - 20% 2" xfId="910" xr:uid="{C54B27D8-100A-4EEC-83B0-62C23B5A7799}"/>
    <cellStyle name="Accent6 - 40%" xfId="41" xr:uid="{00000000-0005-0000-0000-0000D5000000}"/>
    <cellStyle name="Accent6 - 40% 2" xfId="911" xr:uid="{96A5857A-2028-47BB-AC92-FA568BFD5666}"/>
    <cellStyle name="Accent6 - 40% 2 2" xfId="1131" xr:uid="{C8A2569D-AA9B-4492-BFF6-38CF712B4884}"/>
    <cellStyle name="Accent6 - 40% 3" xfId="1130" xr:uid="{AD139F09-9DD1-4E0C-974D-F21ACFCC3369}"/>
    <cellStyle name="Accent6 - 60%" xfId="42" xr:uid="{00000000-0005-0000-0000-0000D6000000}"/>
    <cellStyle name="Accent6 - 60% 2" xfId="912" xr:uid="{1C6C4C6A-45F8-403C-BCA4-A7F3FB2FE4F9}"/>
    <cellStyle name="Accent6 - 60% 3" xfId="1132" xr:uid="{A0483F0A-D5D9-4BDC-8EF2-E9E671226253}"/>
    <cellStyle name="Accent6 10" xfId="3313" xr:uid="{5194ABC5-93A1-4C48-AE07-3D7F164B9ED5}"/>
    <cellStyle name="Accent6 2" xfId="172" xr:uid="{00000000-0005-0000-0000-0000D7000000}"/>
    <cellStyle name="Accent6 2 2" xfId="1134" xr:uid="{2A48EB7B-8F04-4D09-B815-DC461C6621AD}"/>
    <cellStyle name="Accent6 2 3" xfId="1133" xr:uid="{82050C57-1704-4782-8CFF-BA7B80AE3907}"/>
    <cellStyle name="Accent6 3" xfId="218" xr:uid="{00000000-0005-0000-0000-0000D8000000}"/>
    <cellStyle name="Accent6 3 2" xfId="1135" xr:uid="{393E79D3-6A93-4FC5-BC58-0C6D208767CA}"/>
    <cellStyle name="Accent6 4" xfId="264" xr:uid="{00000000-0005-0000-0000-0000D9000000}"/>
    <cellStyle name="Accent6 4 2" xfId="1136" xr:uid="{2400D7D5-448F-41EC-B144-F0773A2D67EE}"/>
    <cellStyle name="Accent6 5" xfId="313" xr:uid="{00000000-0005-0000-0000-0000DA000000}"/>
    <cellStyle name="Accent6 5 2" xfId="1137" xr:uid="{88D9331B-44B9-48EB-BCC5-47A36A59A06D}"/>
    <cellStyle name="Accent6 6" xfId="377" xr:uid="{00000000-0005-0000-0000-0000DB000000}"/>
    <cellStyle name="Accent6 6 2" xfId="1138" xr:uid="{B260B284-DD10-4822-9325-369AAC0302B0}"/>
    <cellStyle name="Accent6 7" xfId="448" xr:uid="{00000000-0005-0000-0000-0000DC000000}"/>
    <cellStyle name="Accent6 8" xfId="552" xr:uid="{00000000-0005-0000-0000-0000DD000000}"/>
    <cellStyle name="Accent6 9" xfId="957" xr:uid="{31DE2352-7871-47D4-AA82-7E747C110FA2}"/>
    <cellStyle name="Bad" xfId="43" builtinId="27" customBuiltin="1"/>
    <cellStyle name="Bad 2" xfId="173" xr:uid="{00000000-0005-0000-0000-0000DF000000}"/>
    <cellStyle name="Bad 2 2" xfId="1140" xr:uid="{EF3CDA51-3D50-43AD-AC08-88B3B52AEF02}"/>
    <cellStyle name="Bad 2 3" xfId="1139" xr:uid="{A73B6750-E885-4C74-82E2-F4EB09B85EE4}"/>
    <cellStyle name="Bad 3" xfId="219" xr:uid="{00000000-0005-0000-0000-0000E0000000}"/>
    <cellStyle name="Bad 3 2" xfId="1141" xr:uid="{1AEEBF8D-BD6A-4B40-8BF9-8431F8FAC5B5}"/>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Bad 9" xfId="948" xr:uid="{75FF57D6-7168-4E47-B741-7396B407EB1B}"/>
    <cellStyle name="Calculation" xfId="44" builtinId="22" customBuiltin="1"/>
    <cellStyle name="Calculation 10" xfId="3314" xr:uid="{3DBE477C-096C-49F3-AFA3-5272A78340AA}"/>
    <cellStyle name="Calculation 2" xfId="174" xr:uid="{00000000-0005-0000-0000-0000E7000000}"/>
    <cellStyle name="Calculation 2 2" xfId="1143" xr:uid="{469FD491-EEDC-44CD-84EC-E8450110DEA4}"/>
    <cellStyle name="Calculation 2 2 2" xfId="3290" xr:uid="{8BDD3A74-61AF-4953-A27F-5B32B532D884}"/>
    <cellStyle name="Calculation 2 2 2 2" xfId="5664" xr:uid="{95F50B25-0F60-465E-8B3C-20F8945AD9E9}"/>
    <cellStyle name="Calculation 2 2 3" xfId="3141" xr:uid="{7896FD04-59FB-4E13-87C9-01D48FFC6D3E}"/>
    <cellStyle name="Calculation 2 2 3 2" xfId="5515" xr:uid="{8F06241D-FDD1-4689-A365-6DCE38ACD629}"/>
    <cellStyle name="Calculation 2 2 4" xfId="3933" xr:uid="{B01127C6-8106-449C-9DF1-6217D8C32293}"/>
    <cellStyle name="Calculation 2 3" xfId="3107" xr:uid="{B26FC16B-DE57-4E49-BE54-CD8B90EF129B}"/>
    <cellStyle name="Calculation 2 3 2" xfId="5481" xr:uid="{8CD9686D-35EC-4569-AFA6-5A525730C02E}"/>
    <cellStyle name="Calculation 2 4" xfId="3294" xr:uid="{87E32EE9-651C-4737-A334-2CA799505CC5}"/>
    <cellStyle name="Calculation 2 4 2" xfId="5668" xr:uid="{7ECF1AD5-86BB-48E4-86D8-215DEE2AF208}"/>
    <cellStyle name="Calculation 2 5" xfId="1142" xr:uid="{CF9B27F6-9FE3-42F8-BE7F-2E8BF783A282}"/>
    <cellStyle name="Calculation 2 5 2" xfId="3932" xr:uid="{6DCB1F24-2A1B-4330-9F63-903BE59538C0}"/>
    <cellStyle name="Calculation 2 6" xfId="3367" xr:uid="{16F673C4-1D84-4EAD-9570-E44D0CA379B2}"/>
    <cellStyle name="Calculation 3" xfId="220" xr:uid="{00000000-0005-0000-0000-0000E8000000}"/>
    <cellStyle name="Calculation 3 2" xfId="3373" xr:uid="{528D89DE-220D-41EB-8267-D42D165B7600}"/>
    <cellStyle name="Calculation 4" xfId="266" xr:uid="{00000000-0005-0000-0000-0000E9000000}"/>
    <cellStyle name="Calculation 4 2" xfId="3380" xr:uid="{F2F4F0E5-BE94-421B-85F9-AD0CAA076DD4}"/>
    <cellStyle name="Calculation 5" xfId="315" xr:uid="{00000000-0005-0000-0000-0000EA000000}"/>
    <cellStyle name="Calculation 5 2" xfId="3389" xr:uid="{9F8B0560-A0CE-472A-9776-91442BDC2121}"/>
    <cellStyle name="Calculation 6" xfId="379" xr:uid="{00000000-0005-0000-0000-0000EB000000}"/>
    <cellStyle name="Calculation 6 2" xfId="3412" xr:uid="{6235C727-A9B8-4133-8959-D4500D9FAD47}"/>
    <cellStyle name="Calculation 7" xfId="450" xr:uid="{00000000-0005-0000-0000-0000EC000000}"/>
    <cellStyle name="Calculation 7 2" xfId="3443" xr:uid="{DC59FC78-C2FD-472C-B318-90F122F82608}"/>
    <cellStyle name="Calculation 8" xfId="554" xr:uid="{00000000-0005-0000-0000-0000ED000000}"/>
    <cellStyle name="Calculation 8 2" xfId="3501" xr:uid="{59C5F892-F21E-4F74-8636-2E99F5EF84E9}"/>
    <cellStyle name="Calculation 9" xfId="923" xr:uid="{CA2DF9D3-1031-47BE-883C-D830DE199877}"/>
    <cellStyle name="Check Cell" xfId="45" builtinId="23" customBuiltin="1"/>
    <cellStyle name="Check Cell 2" xfId="175" xr:uid="{00000000-0005-0000-0000-0000EF000000}"/>
    <cellStyle name="Check Cell 2 2" xfId="1145" xr:uid="{C922E485-1A5F-45CC-B93E-1A4081F3FCA5}"/>
    <cellStyle name="Check Cell 2 3" xfId="1144" xr:uid="{0554EDF0-82FD-4B9E-A7F8-C7B58CF5BD7A}"/>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heck Cell 9" xfId="983" xr:uid="{0FF80B56-0D70-42B8-BE8E-1DF3256F2D0E}"/>
    <cellStyle name="Comma" xfId="46" builtinId="3"/>
    <cellStyle name="Comma [0] 2" xfId="1146" xr:uid="{97CD7DFC-5A8D-4176-8E2B-5A4503614C4A}"/>
    <cellStyle name="Comma 10" xfId="891" xr:uid="{AA021DD0-4C03-4450-8885-A7D916097526}"/>
    <cellStyle name="Comma 10 2" xfId="1147" xr:uid="{68C2C8C2-F50C-4CA4-8525-580A914BFDDD}"/>
    <cellStyle name="Comma 10 2 2" xfId="1148" xr:uid="{8A34BE01-CC6D-4019-B06B-80E98CD16CCD}"/>
    <cellStyle name="Comma 10 3" xfId="1149" xr:uid="{7714276C-F20F-4672-AEE6-342684EA79E7}"/>
    <cellStyle name="Comma 10 4" xfId="930" xr:uid="{157ACD8A-9174-4A67-A274-730A03942E07}"/>
    <cellStyle name="Comma 10 5" xfId="3822" xr:uid="{20BBA402-4576-48F9-88A1-D548B45B31C2}"/>
    <cellStyle name="Comma 11" xfId="1150" xr:uid="{92D650FF-2BFA-4F28-8EC1-AC8C89BE6482}"/>
    <cellStyle name="Comma 12" xfId="1151" xr:uid="{72BBCD3A-31C0-45FE-8FA1-4EBD73EECAEB}"/>
    <cellStyle name="Comma 12 2" xfId="1152" xr:uid="{137FCBCD-6564-4448-AB0F-E36E93CEFD9E}"/>
    <cellStyle name="Comma 12 2 2" xfId="1153" xr:uid="{7AC5401D-36D7-4203-9B8D-4CF1F03EC974}"/>
    <cellStyle name="Comma 12 3" xfId="1154" xr:uid="{493EE55F-C202-4205-921E-5B6677569D98}"/>
    <cellStyle name="Comma 13" xfId="1155" xr:uid="{1822ABD2-8AD4-45C4-8D75-A2A485677059}"/>
    <cellStyle name="Comma 13 2" xfId="1156" xr:uid="{F097B4DC-856B-4053-A682-03DBC7EE424F}"/>
    <cellStyle name="Comma 14" xfId="1157" xr:uid="{139F5FC7-44AF-4817-8AE2-91D8023161A1}"/>
    <cellStyle name="Comma 14 2" xfId="1158" xr:uid="{57AD8D7A-DA25-40DF-9097-69C463B20E92}"/>
    <cellStyle name="Comma 15" xfId="1159" xr:uid="{40654EEE-2F20-4689-8A8D-AF8C760112B5}"/>
    <cellStyle name="Comma 15 2" xfId="1160" xr:uid="{A2EADB3B-952E-48D6-AA9F-D9ACE873B5C5}"/>
    <cellStyle name="Comma 16" xfId="1161" xr:uid="{BD6B89C2-E096-4704-8A7A-73F5E7EF646D}"/>
    <cellStyle name="Comma 16 2" xfId="1162" xr:uid="{BEE6BBC5-CB30-4B56-A14B-FA48A25A3A22}"/>
    <cellStyle name="Comma 17" xfId="1163" xr:uid="{8DF524E8-ADCC-47D1-AE24-AA58F5460431}"/>
    <cellStyle name="Comma 17 2" xfId="1164" xr:uid="{476647E9-0129-4967-B81A-E8266010BA9F}"/>
    <cellStyle name="Comma 17 2 2" xfId="1165" xr:uid="{B5DFC4CD-0DA0-4B4E-98CF-6EFDFA2A90F1}"/>
    <cellStyle name="Comma 17 2 3" xfId="1166" xr:uid="{03F909B2-892B-4318-A85D-5CB9DDCD1715}"/>
    <cellStyle name="Comma 17 3" xfId="1167" xr:uid="{2ACF6974-7B36-44CD-AC98-8759C9F26967}"/>
    <cellStyle name="Comma 17 4" xfId="1168" xr:uid="{70044D7A-504C-479F-809A-063CB9AB900E}"/>
    <cellStyle name="Comma 18" xfId="1169" xr:uid="{D1A79776-9786-4614-8B6E-86C504440B9E}"/>
    <cellStyle name="Comma 19" xfId="1170" xr:uid="{39500E38-EA51-42AD-B9AD-103AC2D59EF8}"/>
    <cellStyle name="Comma 2" xfId="47" xr:uid="{00000000-0005-0000-0000-0000F7000000}"/>
    <cellStyle name="Comma 2 2" xfId="48" xr:uid="{00000000-0005-0000-0000-0000F8000000}"/>
    <cellStyle name="Comma 2 2 2" xfId="1171" xr:uid="{E7E86A3B-B0DB-49BD-8BE7-416BB3C1416C}"/>
    <cellStyle name="Comma 2 2 3" xfId="1172" xr:uid="{8FE40F42-BF90-460D-BAAF-9E9DA3B545D5}"/>
    <cellStyle name="Comma 2 3" xfId="1173" xr:uid="{62701446-57CC-4F1F-89AF-529BC20415E6}"/>
    <cellStyle name="Comma 2 3 2" xfId="1174" xr:uid="{DE213E23-BC48-4316-AA6E-9F355EFB0855}"/>
    <cellStyle name="Comma 2 3 3" xfId="1175" xr:uid="{A7168289-8C1F-43AA-B140-C90E3D974B62}"/>
    <cellStyle name="Comma 2 3 3 2" xfId="1176" xr:uid="{3EBAE58E-A84C-46E6-90C3-F55179533DC8}"/>
    <cellStyle name="Comma 2 3 4" xfId="1177" xr:uid="{B7E54ECD-869E-4AF4-97E6-989985171106}"/>
    <cellStyle name="Comma 2 3 5" xfId="1178" xr:uid="{E1BB7F7B-C27C-4218-A733-A37ACB7DA8E8}"/>
    <cellStyle name="Comma 2 4" xfId="1179" xr:uid="{58C1FB42-84CE-44F4-A4CA-639C0273AFA2}"/>
    <cellStyle name="Comma 2 5" xfId="1180" xr:uid="{FB7B5BF3-4914-4C3D-864D-CFDDF3C2EA77}"/>
    <cellStyle name="Comma 20" xfId="1181" xr:uid="{CEC18F73-988A-43CE-96A5-CDA4E4612E04}"/>
    <cellStyle name="Comma 21" xfId="1182" xr:uid="{10E16244-70EC-4EA2-82F1-2D41D7A7952D}"/>
    <cellStyle name="Comma 22" xfId="1183" xr:uid="{7ADD6C31-2A24-43D5-B699-BAE3AA6AB17F}"/>
    <cellStyle name="Comma 23" xfId="1184" xr:uid="{7D2F663A-F6FF-4CF9-8BD1-36A237A49003}"/>
    <cellStyle name="Comma 24" xfId="1185" xr:uid="{ABD29478-2E19-4543-A887-D38C2CDF771F}"/>
    <cellStyle name="Comma 25" xfId="1186" xr:uid="{E15E5154-245B-46F9-84ED-1CA25F283741}"/>
    <cellStyle name="Comma 26" xfId="1187" xr:uid="{5D12D41C-CA14-4EA5-9FAB-00BA2B28A68E}"/>
    <cellStyle name="Comma 27" xfId="1188" xr:uid="{BA4A031E-9EBB-428A-B601-83E4425E7F3C}"/>
    <cellStyle name="Comma 28" xfId="1189" xr:uid="{C2548BF5-C6D0-4ADB-AC4E-CD7D1464B82B}"/>
    <cellStyle name="Comma 29" xfId="1190" xr:uid="{EC4BB99F-63A8-4899-AC39-6C4407FF112D}"/>
    <cellStyle name="Comma 3" xfId="176" xr:uid="{00000000-0005-0000-0000-0000F9000000}"/>
    <cellStyle name="Comma 3 2" xfId="1192" xr:uid="{A49EE661-BEE4-473B-9700-1D5499DEF105}"/>
    <cellStyle name="Comma 3 3" xfId="1193" xr:uid="{0DF9808A-4D6A-4634-9CEB-E065FEBE2405}"/>
    <cellStyle name="Comma 3 3 2" xfId="1194" xr:uid="{9B77B6C1-2117-4293-A3DF-16F3066D92B1}"/>
    <cellStyle name="Comma 3 4" xfId="1191" xr:uid="{02B6AFB5-5B83-4BB2-A85C-CF1007851E99}"/>
    <cellStyle name="Comma 30" xfId="1195" xr:uid="{2A6BFE5F-BDED-4FD2-8035-8245BFFE8A96}"/>
    <cellStyle name="Comma 31" xfId="1196" xr:uid="{971650DA-6F40-4FC1-B69A-E366926FA0DA}"/>
    <cellStyle name="Comma 32" xfId="1197" xr:uid="{3BFB74EA-39D1-406E-B207-7B225344EA6B}"/>
    <cellStyle name="Comma 33" xfId="1198" xr:uid="{A74FDD34-F598-4CF8-841E-23EC884C5AB6}"/>
    <cellStyle name="Comma 34" xfId="1199" xr:uid="{7A781A14-63C9-4E75-97D8-4CA2FEE54963}"/>
    <cellStyle name="Comma 35" xfId="1200" xr:uid="{CD32AD17-24FA-497F-A40D-7B1CA5CA471B}"/>
    <cellStyle name="Comma 36" xfId="1201" xr:uid="{00C4D41D-E246-4DEB-9A51-DA3DE1C10D13}"/>
    <cellStyle name="Comma 37" xfId="1202" xr:uid="{678B7820-A76E-472B-8563-971C56E216A1}"/>
    <cellStyle name="Comma 38" xfId="1203" xr:uid="{B01FB710-8A90-45ED-89E3-969A501C4AE1}"/>
    <cellStyle name="Comma 39" xfId="1204" xr:uid="{8300141D-EB03-456B-8011-A20BB1324E2C}"/>
    <cellStyle name="Comma 4" xfId="222" xr:uid="{00000000-0005-0000-0000-0000FA000000}"/>
    <cellStyle name="Comma 4 2" xfId="1206" xr:uid="{E735E1D8-4A15-4B91-AFDD-0B77617E5195}"/>
    <cellStyle name="Comma 4 3" xfId="1207" xr:uid="{635FDFCB-1E3C-4059-8280-2D8AC616335B}"/>
    <cellStyle name="Comma 4 4" xfId="1208" xr:uid="{9A46E82D-B4BD-456C-9F8E-5051ECC36D73}"/>
    <cellStyle name="Comma 4 4 2" xfId="1209" xr:uid="{14E2004A-08A3-4724-838B-1E917FDB251D}"/>
    <cellStyle name="Comma 4 5" xfId="1210" xr:uid="{41B8D035-0E01-47A9-B205-BE23AD54A9D6}"/>
    <cellStyle name="Comma 4 6" xfId="1205" xr:uid="{8742A3C9-B8D8-4959-AEB3-6E985796953A}"/>
    <cellStyle name="Comma 40" xfId="1211" xr:uid="{FE8ED40D-34F2-4B08-A341-F21BC3F7F119}"/>
    <cellStyle name="Comma 41" xfId="1212" xr:uid="{DBCE1388-0DE0-4781-BCA1-01C820CE25AB}"/>
    <cellStyle name="Comma 42" xfId="3043" xr:uid="{912B3E8F-8527-4AB6-B24F-47DB6C340F0D}"/>
    <cellStyle name="Comma 42 2" xfId="5417" xr:uid="{6FC48A84-97D1-4661-8167-9C2E1CF2BB88}"/>
    <cellStyle name="Comma 43" xfId="3309" xr:uid="{BD579F3F-AC46-431D-A6F2-A60D0274FFB9}"/>
    <cellStyle name="Comma 43 2" xfId="5683" xr:uid="{273BDF79-C595-46BC-A5EF-4E24AA1F70D9}"/>
    <cellStyle name="Comma 44" xfId="3308" xr:uid="{C7760472-264E-4679-9986-A0C746B344D6}"/>
    <cellStyle name="Comma 44 2" xfId="5682" xr:uid="{67A9A973-1A4B-4602-8E03-A1EA77FE9180}"/>
    <cellStyle name="Comma 45" xfId="3307" xr:uid="{EB6308FD-6A76-4D2E-A403-3AFC5D6DE18C}"/>
    <cellStyle name="Comma 45 2" xfId="5681" xr:uid="{6F29F66D-887F-47F1-8704-955136A6A147}"/>
    <cellStyle name="Comma 46" xfId="3310" xr:uid="{1580F03D-FECF-4C76-B543-A70F1EFF9C40}"/>
    <cellStyle name="Comma 46 2" xfId="5684" xr:uid="{EC6614A7-A679-4C51-B811-C3ADCA51F859}"/>
    <cellStyle name="Comma 5" xfId="268" xr:uid="{00000000-0005-0000-0000-0000FB000000}"/>
    <cellStyle name="Comma 6" xfId="317" xr:uid="{00000000-0005-0000-0000-0000FC000000}"/>
    <cellStyle name="Comma 6 2" xfId="1214" xr:uid="{3D8586F0-E870-4E6E-953E-4D6B771DA682}"/>
    <cellStyle name="Comma 7" xfId="381" xr:uid="{00000000-0005-0000-0000-0000FD000000}"/>
    <cellStyle name="Comma 8" xfId="452" xr:uid="{00000000-0005-0000-0000-0000FE000000}"/>
    <cellStyle name="Comma 8 2" xfId="1215" xr:uid="{6ECA102A-4C95-4B9C-AAD1-42B9CBF72A02}"/>
    <cellStyle name="Comma 9" xfId="556" xr:uid="{00000000-0005-0000-0000-0000FF000000}"/>
    <cellStyle name="Comma 9 2" xfId="1216" xr:uid="{2F6FD71D-38D7-4472-9224-6B345E7C210C}"/>
    <cellStyle name="Currency" xfId="5685" builtinId="4"/>
    <cellStyle name="Currency 10" xfId="1217" xr:uid="{DAA7AE13-90DF-44D0-B12F-E79020C62AD4}"/>
    <cellStyle name="Currency 10 2" xfId="1218" xr:uid="{8E982539-AEF9-414F-9C7F-C0F7B9118325}"/>
    <cellStyle name="Currency 11" xfId="1219" xr:uid="{9CEFFF05-F7F9-404E-8AA8-ED0A3020E9F7}"/>
    <cellStyle name="Currency 12" xfId="1220" xr:uid="{9D3F97B5-C1EC-445C-8ACF-B67F693FA35E}"/>
    <cellStyle name="Currency 12 2" xfId="1221" xr:uid="{D810A0AA-BE08-42E9-845B-292D0CEDEB10}"/>
    <cellStyle name="Currency 12 2 2" xfId="1222" xr:uid="{B71F33A8-CC80-42BD-9F33-C977A155F1CA}"/>
    <cellStyle name="Currency 12 3" xfId="1223" xr:uid="{8912D54A-A4E4-46A0-943E-92AB09722F3B}"/>
    <cellStyle name="Currency 13" xfId="1224" xr:uid="{BF7EA303-8146-4F5E-98A5-9B72CFD30F9D}"/>
    <cellStyle name="Currency 13 2" xfId="1225" xr:uid="{B7A5358C-D27A-4A8A-8051-82D4A2123E28}"/>
    <cellStyle name="Currency 14" xfId="1226" xr:uid="{D7DE8B73-3920-4922-92A8-F69549D707B9}"/>
    <cellStyle name="Currency 14 2" xfId="1227" xr:uid="{6FC6FDE5-3C6F-4276-9FD6-F9160E9F259E}"/>
    <cellStyle name="Currency 15" xfId="1228" xr:uid="{E4F97831-B02A-478C-9958-3D7D4D92E931}"/>
    <cellStyle name="Currency 15 2" xfId="1229" xr:uid="{B5AD3F47-E18E-4AD7-8FFD-650D03CB1CDA}"/>
    <cellStyle name="Currency 16" xfId="1230" xr:uid="{34C5363A-0478-440A-914E-7634B0BF0311}"/>
    <cellStyle name="Currency 16 2" xfId="1231" xr:uid="{52EC6057-4F3A-4565-895D-1AA17F7E82B4}"/>
    <cellStyle name="Currency 17" xfId="1232" xr:uid="{C4948B3C-6E3C-4232-A36A-8EFD2689DDA6}"/>
    <cellStyle name="Currency 17 2" xfId="1233" xr:uid="{27427482-0F17-4F6A-9F68-38A3ECEFDBAC}"/>
    <cellStyle name="Currency 18" xfId="1234" xr:uid="{C89E21F9-A1BC-4756-BF1F-A01203A87CEA}"/>
    <cellStyle name="Currency 18 2" xfId="1235" xr:uid="{A8000D24-AF90-46B2-A088-48EAA7CD2CA1}"/>
    <cellStyle name="Currency 18 2 2" xfId="1236" xr:uid="{B7C81EC8-5649-450A-9DA5-461497DEBF56}"/>
    <cellStyle name="Currency 18 2 3" xfId="1237" xr:uid="{3D510FBD-DFC6-4188-BB2B-1A60C69FD0C8}"/>
    <cellStyle name="Currency 18 3" xfId="1238" xr:uid="{B53FEBF3-5B8F-4AC0-A95A-A703E245119D}"/>
    <cellStyle name="Currency 18 4" xfId="1239" xr:uid="{394EF61E-0669-4EAF-89B9-A7EAE830A0DE}"/>
    <cellStyle name="Currency 18 5" xfId="1240" xr:uid="{2406DB68-BA10-4404-AA40-34A45ACA25BC}"/>
    <cellStyle name="Currency 19" xfId="2268" xr:uid="{ABE63D88-05B9-4341-BF7F-1CE44D24387E}"/>
    <cellStyle name="Currency 19 2" xfId="4716" xr:uid="{90FED96D-88CC-4667-AE35-CA5B6729470E}"/>
    <cellStyle name="Currency 2" xfId="49" xr:uid="{00000000-0005-0000-0000-000000010000}"/>
    <cellStyle name="Currency 2 2" xfId="50" xr:uid="{00000000-0005-0000-0000-000001010000}"/>
    <cellStyle name="Currency 2 2 2" xfId="1243" xr:uid="{E201012F-DE9A-4F2F-B13C-C0342E802014}"/>
    <cellStyle name="Currency 2 2 3" xfId="1242" xr:uid="{61010E2F-D2E7-4415-9717-2684358FC8A8}"/>
    <cellStyle name="Currency 2 3" xfId="1244" xr:uid="{41FC98B7-8DD9-4D98-8108-FD1500525169}"/>
    <cellStyle name="Currency 2 4" xfId="1245" xr:uid="{279044D2-7595-43D7-AD3E-95E5EB466ACB}"/>
    <cellStyle name="Currency 2 5" xfId="1241" xr:uid="{1D662784-D386-486B-ADD7-6BE09A3A13A2}"/>
    <cellStyle name="Currency 3" xfId="51" xr:uid="{00000000-0005-0000-0000-000002010000}"/>
    <cellStyle name="Currency 3 2" xfId="52" xr:uid="{00000000-0005-0000-0000-000003010000}"/>
    <cellStyle name="Currency 3 2 2" xfId="1246" xr:uid="{FD5F7968-4EB3-4004-902F-960F1B3DA825}"/>
    <cellStyle name="Currency 3 2 3" xfId="1247" xr:uid="{BE4A63EE-C1FF-4478-9392-B7E9D11A766A}"/>
    <cellStyle name="Currency 3 2 4" xfId="1248" xr:uid="{C3357B12-7269-471A-9CCA-0BAA693FD628}"/>
    <cellStyle name="Currency 3 3" xfId="1249" xr:uid="{3088D22E-097A-438C-8945-BDC153FE649D}"/>
    <cellStyle name="Currency 3 3 2" xfId="1250" xr:uid="{79D8C32D-4775-47A7-8DAA-7AB257B26260}"/>
    <cellStyle name="Currency 3 3 3" xfId="1251" xr:uid="{98B17E30-5E64-46E2-B83B-731EA5B463ED}"/>
    <cellStyle name="Currency 3 3 3 2" xfId="1252" xr:uid="{7D28ABCF-1C3F-42C1-BB13-BA194D7F9E34}"/>
    <cellStyle name="Currency 3 3 4" xfId="1253" xr:uid="{90EFB2FC-6EA9-4327-A845-4C23ACF35325}"/>
    <cellStyle name="Currency 3 4" xfId="1254" xr:uid="{F6294732-912E-4394-8D3D-2175E3498189}"/>
    <cellStyle name="Currency 3 5" xfId="1255" xr:uid="{C8814D9A-7522-4DE7-9501-57C086FC2A9D}"/>
    <cellStyle name="Currency 3 6" xfId="1256" xr:uid="{93B0155A-FD22-4EAC-B4FE-5325557393A8}"/>
    <cellStyle name="Currency 3 7" xfId="1257" xr:uid="{0660CDC1-723B-4A56-A7C0-0B2F3780FAB0}"/>
    <cellStyle name="Currency 3 8" xfId="1258" xr:uid="{0C193B52-817F-4DA8-824C-C6EBD67B8C87}"/>
    <cellStyle name="Currency 4" xfId="53" xr:uid="{00000000-0005-0000-0000-000004010000}"/>
    <cellStyle name="Currency 4 10" xfId="1805" xr:uid="{EFAC7B31-BA33-4C73-8FC4-6E2F25534A51}"/>
    <cellStyle name="Currency 4 10 2" xfId="2643" xr:uid="{40008FDA-B230-4A5A-9919-DF3F087DE3A1}"/>
    <cellStyle name="Currency 4 10 2 2" xfId="5078" xr:uid="{EAE17EE6-371A-4E90-B79D-734C5E80B434}"/>
    <cellStyle name="Currency 4 10 3" xfId="4322" xr:uid="{A681359D-A260-4950-91B3-CB08F5CBBEE5}"/>
    <cellStyle name="Currency 4 11" xfId="2371" xr:uid="{1E4B7249-AF69-45B6-BFDF-71F9118B83E7}"/>
    <cellStyle name="Currency 4 11 2" xfId="4806" xr:uid="{1396AF91-7A7D-4C4C-9205-E06B0BB17125}"/>
    <cellStyle name="Currency 4 12" xfId="1259" xr:uid="{E7DAEBC2-444C-4ECF-A8D9-C6A2487CC9FE}"/>
    <cellStyle name="Currency 4 12 2" xfId="3934" xr:uid="{E6AB433B-AC8E-4659-A443-814442C44636}"/>
    <cellStyle name="Currency 4 2" xfId="127" xr:uid="{00000000-0005-0000-0000-000005010000}"/>
    <cellStyle name="Currency 4 3" xfId="1260" xr:uid="{F14B565A-AF7A-4132-858B-D46891E7FECE}"/>
    <cellStyle name="Currency 4 4" xfId="1261" xr:uid="{1215AFDC-EF92-4ECD-9F23-105BB59802C4}"/>
    <cellStyle name="Currency 4 4 2" xfId="1262" xr:uid="{FB3ED144-2B78-49B6-BE58-E8FE9E6E2C85}"/>
    <cellStyle name="Currency 4 5" xfId="1263" xr:uid="{87AE4AD2-7D37-434A-8ED7-C3BD0C4F0819}"/>
    <cellStyle name="Currency 4 6" xfId="1264" xr:uid="{101F1732-1CBC-41B6-BB1B-62CC7AFAB105}"/>
    <cellStyle name="Currency 4 7" xfId="1265" xr:uid="{6F1C5B3E-5D2C-4E86-AC39-2B575E05E043}"/>
    <cellStyle name="Currency 4 8" xfId="1266" xr:uid="{4C0EB38E-9942-4FF6-B106-30C41CBB584C}"/>
    <cellStyle name="Currency 4 9" xfId="1267" xr:uid="{F060286D-DAEE-4B73-81C1-C3A2159FCC7D}"/>
    <cellStyle name="Currency 4 9 2" xfId="1975" xr:uid="{65A926D2-AE05-465C-9EB7-04D01620B564}"/>
    <cellStyle name="Currency 4 9 2 2" xfId="2813" xr:uid="{6F09FFD0-C0AD-418E-AB72-EF170FF94FF7}"/>
    <cellStyle name="Currency 4 9 2 2 2" xfId="5248" xr:uid="{32D83D4E-2A24-42D8-ADE0-AF34EB0B9171}"/>
    <cellStyle name="Currency 4 9 2 3" xfId="4492" xr:uid="{CE9D2E07-C449-43B5-A0F0-BC68907BABED}"/>
    <cellStyle name="Currency 4 9 3" xfId="2372" xr:uid="{08F4D02B-4292-473D-ADC0-56ABAC607A79}"/>
    <cellStyle name="Currency 4 9 3 2" xfId="4807" xr:uid="{F3A74430-4BAA-4149-82BD-EC49BDB06A1C}"/>
    <cellStyle name="Currency 4 9 4" xfId="3935" xr:uid="{CB864C65-BC8F-4C61-86CF-A5F6EF5709F1}"/>
    <cellStyle name="Currency 5" xfId="1268" xr:uid="{900E3995-2E18-4599-9BBE-6A07BB2A64BA}"/>
    <cellStyle name="Currency 5 2" xfId="1269" xr:uid="{70B909D3-B9F5-4ACC-8172-1B8C02222110}"/>
    <cellStyle name="Currency 6" xfId="1270" xr:uid="{3F346143-F901-4DF5-AEBD-3C6F74774E30}"/>
    <cellStyle name="Currency 6 2" xfId="1271" xr:uid="{3EF08993-B2A1-4E2B-82E9-CBB25FF36B29}"/>
    <cellStyle name="Currency 7" xfId="1272" xr:uid="{1043828E-45E4-4D96-85B7-09A15AF790F3}"/>
    <cellStyle name="Currency 7 2" xfId="1273" xr:uid="{4B5EBE0C-DF62-4828-ABDC-75E3A402E8D7}"/>
    <cellStyle name="Currency 7 3" xfId="1274" xr:uid="{9A32415E-325B-4E9B-BB8B-2BA34A6EFC2B}"/>
    <cellStyle name="Currency 8" xfId="1275" xr:uid="{991D6C1F-BC65-403F-859D-AA6A4A33BE17}"/>
    <cellStyle name="Currency 8 2" xfId="1276" xr:uid="{78526ABE-6E10-41BE-A51B-06C646A28CDC}"/>
    <cellStyle name="Currency 9" xfId="1277" xr:uid="{B7EB932E-5D2A-4502-A9EC-7E4985415933}"/>
    <cellStyle name="Currency 9 2" xfId="1278" xr:uid="{04B29BBA-569C-43B6-9B15-23B6E36323C3}"/>
    <cellStyle name="Emphasis 1" xfId="54" xr:uid="{00000000-0005-0000-0000-000006010000}"/>
    <cellStyle name="Emphasis 1 2" xfId="917" xr:uid="{74CCC5F6-5282-4A82-B4C7-6996BEAA31E3}"/>
    <cellStyle name="Emphasis 1 3" xfId="1279" xr:uid="{FAB9CDBF-38DC-4B39-BEA3-4C6946A1EA52}"/>
    <cellStyle name="Emphasis 2" xfId="55" xr:uid="{00000000-0005-0000-0000-000007010000}"/>
    <cellStyle name="Emphasis 2 2" xfId="918" xr:uid="{7DF847CC-DDD8-4E36-B62A-9D6AB0C4F0F3}"/>
    <cellStyle name="Emphasis 2 3" xfId="1280" xr:uid="{216350D6-20C0-4331-87E5-99F54F3A4EE8}"/>
    <cellStyle name="Emphasis 3" xfId="56" xr:uid="{00000000-0005-0000-0000-000008010000}"/>
    <cellStyle name="Emphasis 3 2" xfId="919" xr:uid="{1D85A897-D5F1-4CF0-A272-1A8272AC77B8}"/>
    <cellStyle name="Explanatory Text" xfId="57" builtinId="53" customBuiltin="1"/>
    <cellStyle name="Explanatory Text 2" xfId="177" xr:uid="{00000000-0005-0000-0000-00000A010000}"/>
    <cellStyle name="Explanatory Text 2 2" xfId="1281" xr:uid="{6B223D25-EBF2-48C0-9D0E-7AB8CF431BC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Explanatory Text 9" xfId="922" xr:uid="{D73C82E4-7EB2-44C8-8269-71A823648203}"/>
    <cellStyle name="Good" xfId="58" builtinId="26" customBuiltin="1"/>
    <cellStyle name="Good 2" xfId="178" xr:uid="{00000000-0005-0000-0000-000012010000}"/>
    <cellStyle name="Good 2 2" xfId="1283" xr:uid="{4A8C39FC-9655-4713-BCF7-A2D2E3E47EBE}"/>
    <cellStyle name="Good 2 3" xfId="1284" xr:uid="{0873EB1A-3C28-45F8-94F6-89BF6598174D}"/>
    <cellStyle name="Good 2 4" xfId="1282" xr:uid="{2795725B-B5E4-48E4-B781-9603FE581344}"/>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Good 9" xfId="924" xr:uid="{B9964E3A-2E01-42E4-BFF4-480EDA461974}"/>
    <cellStyle name="Heading 1" xfId="59" builtinId="16" customBuiltin="1"/>
    <cellStyle name="Heading 1 2" xfId="179" xr:uid="{00000000-0005-0000-0000-00001A010000}"/>
    <cellStyle name="Heading 1 2 2" xfId="1286" xr:uid="{80CA7419-8821-4512-9534-636CD0DFD148}"/>
    <cellStyle name="Heading 1 2 3" xfId="1285" xr:uid="{24AC5080-E21D-47DE-A0FE-B0C982CA2A4E}"/>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1 9" xfId="929" xr:uid="{9F610093-5186-443C-8749-A509FA11AA3B}"/>
    <cellStyle name="Heading 2" xfId="60" builtinId="17" customBuiltin="1"/>
    <cellStyle name="Heading 2 2" xfId="180" xr:uid="{00000000-0005-0000-0000-000022010000}"/>
    <cellStyle name="Heading 2 2 2" xfId="1288" xr:uid="{55E8AC3F-397B-4AD3-8D6F-A01C23E89ACB}"/>
    <cellStyle name="Heading 2 2 3" xfId="1287" xr:uid="{77BF7205-C67F-4C68-8797-44E4BE037886}"/>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2 9" xfId="928" xr:uid="{CAD5B6B2-30B5-42C3-9D8E-F695196BD282}"/>
    <cellStyle name="Heading 3" xfId="61" builtinId="18" customBuiltin="1"/>
    <cellStyle name="Heading 3 2" xfId="181" xr:uid="{00000000-0005-0000-0000-00002A010000}"/>
    <cellStyle name="Heading 3 2 2" xfId="1290" xr:uid="{7B3B58F5-89E5-4E55-B3E1-BC9F1B58EE84}"/>
    <cellStyle name="Heading 3 2 3" xfId="1289" xr:uid="{9D1C87DF-4008-419A-A053-3A0B71535B19}"/>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3 9" xfId="927" xr:uid="{D7B7C194-7642-468E-BF05-DD94E5FFFD86}"/>
    <cellStyle name="Heading 4" xfId="62" builtinId="19" customBuiltin="1"/>
    <cellStyle name="Heading 4 2" xfId="182" xr:uid="{00000000-0005-0000-0000-000032010000}"/>
    <cellStyle name="Heading 4 2 2" xfId="1292" xr:uid="{F97BD222-B504-4DBF-A7EB-EE30EB52A590}"/>
    <cellStyle name="Heading 4 2 3" xfId="1291" xr:uid="{51208659-6264-4C45-82E3-CBF262B42127}"/>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Heading 4 9" xfId="926" xr:uid="{3C9A4483-BEDF-4D26-9C6C-EAFDA0191319}"/>
    <cellStyle name="Input" xfId="63" builtinId="20" customBuiltin="1"/>
    <cellStyle name="Input 10" xfId="3315" xr:uid="{E6465447-25A1-4A2C-A61F-A73B5226D70E}"/>
    <cellStyle name="Input 2" xfId="183" xr:uid="{00000000-0005-0000-0000-00003A010000}"/>
    <cellStyle name="Input 2 2" xfId="1294" xr:uid="{8899C54C-7999-4683-9767-B5290C6E019C}"/>
    <cellStyle name="Input 2 2 2" xfId="3227" xr:uid="{BDB2C478-9B34-4C8A-ADFC-B1E5A5D55AC0}"/>
    <cellStyle name="Input 2 2 2 2" xfId="5601" xr:uid="{F48A6FFA-F040-46D5-A69C-958F3E4BCF39}"/>
    <cellStyle name="Input 2 2 3" xfId="3261" xr:uid="{258DE233-A65E-4866-95C8-4B39CE3CE6E0}"/>
    <cellStyle name="Input 2 2 3 2" xfId="5635" xr:uid="{49247DEC-81A0-4AFF-8604-25BA076DF1B1}"/>
    <cellStyle name="Input 2 2 4" xfId="3937" xr:uid="{B7CF7B30-9854-4E9E-B13D-474859DFA9BC}"/>
    <cellStyle name="Input 2 3" xfId="3116" xr:uid="{FD47FBA9-CE1D-41D2-A32C-BE8B9CA5CDEA}"/>
    <cellStyle name="Input 2 3 2" xfId="5490" xr:uid="{AFF8A07A-5A44-43E2-B55E-0EC4FFF02B1E}"/>
    <cellStyle name="Input 2 4" xfId="3247" xr:uid="{A2FF7547-0326-44DF-B804-2B22B6369143}"/>
    <cellStyle name="Input 2 4 2" xfId="5621" xr:uid="{6650B97F-2BA4-40D8-BBA7-66F1BDA05F0E}"/>
    <cellStyle name="Input 2 5" xfId="1293" xr:uid="{4A06307E-D690-4EAE-AFEF-D1040613786B}"/>
    <cellStyle name="Input 2 5 2" xfId="3936" xr:uid="{232E22A7-24CF-40E0-8FA7-31E623DB4513}"/>
    <cellStyle name="Input 2 6" xfId="3368" xr:uid="{EC716131-382A-4935-87AA-A6F25579B005}"/>
    <cellStyle name="Input 3" xfId="229" xr:uid="{00000000-0005-0000-0000-00003B010000}"/>
    <cellStyle name="Input 3 2" xfId="3374" xr:uid="{AE7F97B4-BD48-4809-8314-83793A4FC142}"/>
    <cellStyle name="Input 4" xfId="275" xr:uid="{00000000-0005-0000-0000-00003C010000}"/>
    <cellStyle name="Input 4 2" xfId="3381" xr:uid="{C871E969-AC23-499F-8C50-BC12C872095E}"/>
    <cellStyle name="Input 5" xfId="324" xr:uid="{00000000-0005-0000-0000-00003D010000}"/>
    <cellStyle name="Input 5 2" xfId="3390" xr:uid="{FD3297FA-F033-4D2B-A1B3-5F09BA893EE0}"/>
    <cellStyle name="Input 6" xfId="388" xr:uid="{00000000-0005-0000-0000-00003E010000}"/>
    <cellStyle name="Input 6 2" xfId="3413" xr:uid="{D531B6C6-E5CD-44DE-863D-34B1ED688526}"/>
    <cellStyle name="Input 7" xfId="459" xr:uid="{00000000-0005-0000-0000-00003F010000}"/>
    <cellStyle name="Input 7 2" xfId="3444" xr:uid="{76CDDAD9-3852-4AE9-A575-4C8431ED09DB}"/>
    <cellStyle name="Input 8" xfId="563" xr:uid="{00000000-0005-0000-0000-000040010000}"/>
    <cellStyle name="Input 8 2" xfId="3502" xr:uid="{86D8372E-8718-4AD1-947A-C217E48F9F2B}"/>
    <cellStyle name="Input 9" xfId="988" xr:uid="{7979286E-28E5-4DB1-ABF0-6FC70E9297BC}"/>
    <cellStyle name="Linked Cell" xfId="64" builtinId="24" customBuiltin="1"/>
    <cellStyle name="Linked Cell 2" xfId="184" xr:uid="{00000000-0005-0000-0000-000042010000}"/>
    <cellStyle name="Linked Cell 2 2" xfId="1296" xr:uid="{4BA08E7A-2977-4113-9957-DE06136457C5}"/>
    <cellStyle name="Linked Cell 2 3" xfId="1295" xr:uid="{6A6B1FDA-6976-4637-918B-7F881145FE14}"/>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Linked Cell 9" xfId="943" xr:uid="{383AA543-5FEB-4173-896E-27759E55D80C}"/>
    <cellStyle name="Neutral" xfId="65" builtinId="28" customBuiltin="1"/>
    <cellStyle name="Neutral 2" xfId="185" xr:uid="{00000000-0005-0000-0000-00004A010000}"/>
    <cellStyle name="Neutral 2 2" xfId="1298" xr:uid="{041E7A13-BE7D-4252-B8C7-7D878CF6CF55}"/>
    <cellStyle name="Neutral 2 3" xfId="1297" xr:uid="{0EBF437E-E014-4157-8CF0-AED8B99A2C3E}"/>
    <cellStyle name="Neutral 3" xfId="231" xr:uid="{00000000-0005-0000-0000-00004B010000}"/>
    <cellStyle name="Neutral 3 2" xfId="1299" xr:uid="{1A1E86A7-E928-4DDC-913D-AD9FA5604064}"/>
    <cellStyle name="Neutral 4" xfId="277" xr:uid="{00000000-0005-0000-0000-00004C010000}"/>
    <cellStyle name="Neutral 4 2" xfId="1782" xr:uid="{34CD3D16-B5E8-4A29-97B3-B49F6B1F7736}"/>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2 2" xfId="2230" xr:uid="{896B54DE-50A3-41E4-B4A9-A30A5FB376D4}"/>
    <cellStyle name="Normal 10 2 3" xfId="522" xr:uid="{00000000-0005-0000-0000-000055010000}"/>
    <cellStyle name="Normal 10 2 3 2" xfId="2206" xr:uid="{E09CD5EF-0DF6-4392-9655-B3F949A96223}"/>
    <cellStyle name="Normal 10 2 3 2 2" xfId="4696" xr:uid="{F9B49122-6B4A-49D4-B5A4-7F463CB81620}"/>
    <cellStyle name="Normal 10 3" xfId="521" xr:uid="{00000000-0005-0000-0000-000056010000}"/>
    <cellStyle name="Normal 10 3 2" xfId="2013" xr:uid="{7745E213-0E61-4785-870B-41F75C1D3115}"/>
    <cellStyle name="Normal 10 3 2 2" xfId="2851" xr:uid="{CDBC5013-947E-4494-8351-B2197DDEE8AC}"/>
    <cellStyle name="Normal 10 3 2 2 2" xfId="5286" xr:uid="{75B0DEFB-4516-4D49-BF52-10B777CDC4AD}"/>
    <cellStyle name="Normal 10 3 2 3" xfId="4530" xr:uid="{A9FF4842-AC76-487D-AEEB-3E2BB80AC6A0}"/>
    <cellStyle name="Normal 10 3 3" xfId="2374" xr:uid="{01E57F75-D9F3-4147-879B-2E2814D110F7}"/>
    <cellStyle name="Normal 10 3 3 2" xfId="4809" xr:uid="{5A2D8414-B7CE-4F9F-B3B7-804207C82906}"/>
    <cellStyle name="Normal 10 3 4" xfId="1301" xr:uid="{9A94F352-8BBC-488B-A76F-CF622501CF8A}"/>
    <cellStyle name="Normal 10 3 4 2" xfId="3939" xr:uid="{1CE9DD88-CFFF-40F0-B863-A6DE55819839}"/>
    <cellStyle name="Normal 10 4" xfId="1843" xr:uid="{29780475-1C47-48AC-A136-AFA6477CFBAE}"/>
    <cellStyle name="Normal 10 4 2" xfId="2681" xr:uid="{14409364-0323-41CD-8558-2125D0EA9CD0}"/>
    <cellStyle name="Normal 10 4 2 2" xfId="5116" xr:uid="{1A8352C3-0C3E-4287-B7A7-5F48FD6AC87F}"/>
    <cellStyle name="Normal 10 4 3" xfId="4360" xr:uid="{FB6B6C91-28C9-4C6B-88A8-14D45CFC03B8}"/>
    <cellStyle name="Normal 10 5" xfId="2229" xr:uid="{5AF3DE03-B4A8-43C7-BA7B-F058EF16009E}"/>
    <cellStyle name="Normal 10 5 2" xfId="4706" xr:uid="{D27E4892-E433-44EC-A39D-B830423510E8}"/>
    <cellStyle name="Normal 10 6" xfId="2373" xr:uid="{3A732DCF-C5B0-4F24-8E54-3873CBFF7EB4}"/>
    <cellStyle name="Normal 10 6 2" xfId="4808" xr:uid="{D4BAF86C-2A50-4EA2-B319-30EC2C3ACEA8}"/>
    <cellStyle name="Normal 10 7" xfId="1300" xr:uid="{11FFE916-F797-4BA2-8E61-AD503BC8B58D}"/>
    <cellStyle name="Normal 10 7 2" xfId="3938" xr:uid="{328D4A4B-958B-43B7-AA99-25289E3EC55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2 2 2" xfId="3800" xr:uid="{75D7499F-3A75-4544-B0AF-E8B2B4940C2E}"/>
    <cellStyle name="Normal 11 2 2 2 3" xfId="3591" xr:uid="{B36C3378-A6C2-418A-B69B-D6174FF14175}"/>
    <cellStyle name="Normal 11 2 2 3" xfId="762" xr:uid="{00000000-0005-0000-0000-00005C010000}"/>
    <cellStyle name="Normal 11 2 2 3 2" xfId="3695" xr:uid="{190049E9-F49B-435F-8A56-244C9AC2F64F}"/>
    <cellStyle name="Normal 11 2 2 4" xfId="2232" xr:uid="{B1237019-C641-42A9-AED3-1445FAECAC3F}"/>
    <cellStyle name="Normal 11 2 2 5" xfId="3481" xr:uid="{62D3EC59-F6B7-45CC-A97D-615615C34763}"/>
    <cellStyle name="Normal 11 2 3" xfId="605" xr:uid="{00000000-0005-0000-0000-00005D010000}"/>
    <cellStyle name="Normal 11 2 3 2" xfId="816" xr:uid="{00000000-0005-0000-0000-00005E010000}"/>
    <cellStyle name="Normal 11 2 3 2 2" xfId="3748" xr:uid="{6D1B7CC6-B275-467A-9D82-1D127A9A71BB}"/>
    <cellStyle name="Normal 11 2 3 3" xfId="2207" xr:uid="{BB019278-5D42-465A-A2EC-B9C667EA61E1}"/>
    <cellStyle name="Normal 11 2 3 3 2" xfId="4697" xr:uid="{9DB5D335-934D-43F7-A8A8-A60728AE17AA}"/>
    <cellStyle name="Normal 11 2 3 4" xfId="3539" xr:uid="{96489F8E-EBC9-48C1-A2D8-FF0AA30D0254}"/>
    <cellStyle name="Normal 11 2 4" xfId="710" xr:uid="{00000000-0005-0000-0000-00005F010000}"/>
    <cellStyle name="Normal 11 2 4 2" xfId="3643" xr:uid="{D36F6DEA-B9C9-4EF7-B3F8-5566CB451E6F}"/>
    <cellStyle name="Normal 11 2 5" xfId="1303" xr:uid="{536546D5-378C-4DD6-BE7F-78F86762F9EB}"/>
    <cellStyle name="Normal 11 2 6" xfId="3424" xr:uid="{CC6095AA-B25C-4BA1-A3A5-51BF8CE0736C}"/>
    <cellStyle name="Normal 11 3" xfId="475" xr:uid="{00000000-0005-0000-0000-000060010000}"/>
    <cellStyle name="Normal 11 3 2" xfId="631" xr:uid="{00000000-0005-0000-0000-000061010000}"/>
    <cellStyle name="Normal 11 3 2 2" xfId="842" xr:uid="{00000000-0005-0000-0000-000062010000}"/>
    <cellStyle name="Normal 11 3 2 2 2" xfId="3774" xr:uid="{3603CFDB-733E-41BB-BDE2-715ED9CC2039}"/>
    <cellStyle name="Normal 11 3 2 3" xfId="3565" xr:uid="{39F41154-1EF5-4247-83FA-F05BD4FB1975}"/>
    <cellStyle name="Normal 11 3 3" xfId="736" xr:uid="{00000000-0005-0000-0000-000063010000}"/>
    <cellStyle name="Normal 11 3 3 2" xfId="3669" xr:uid="{1AE8DAED-F6D0-490D-936A-2F2B666330B8}"/>
    <cellStyle name="Normal 11 3 4" xfId="1304" xr:uid="{359B6297-B3DD-403F-BDFF-8288E8BDBB3B}"/>
    <cellStyle name="Normal 11 3 5" xfId="3455" xr:uid="{8429BA1A-DA79-4D6F-8AA8-2240F89C5E99}"/>
    <cellStyle name="Normal 11 4" xfId="579" xr:uid="{00000000-0005-0000-0000-000064010000}"/>
    <cellStyle name="Normal 11 4 2" xfId="790" xr:uid="{00000000-0005-0000-0000-000065010000}"/>
    <cellStyle name="Normal 11 4 2 2" xfId="3722" xr:uid="{DD81BAD9-BC81-40E7-93E0-9A172635B669}"/>
    <cellStyle name="Normal 11 4 3" xfId="2231" xr:uid="{6BC8C81C-09D2-4FAC-BF98-12A324E869A3}"/>
    <cellStyle name="Normal 11 4 4" xfId="3513" xr:uid="{0CFF853E-6BE6-4B76-9370-16FE3EAF31E2}"/>
    <cellStyle name="Normal 11 5" xfId="684" xr:uid="{00000000-0005-0000-0000-000066010000}"/>
    <cellStyle name="Normal 11 5 2" xfId="2198" xr:uid="{C253D32C-3448-4783-ACE3-D463ADA6E348}"/>
    <cellStyle name="Normal 11 5 2 2" xfId="4689" xr:uid="{FBA028B7-207B-420E-AAB0-0A4644A299EE}"/>
    <cellStyle name="Normal 11 5 3" xfId="3617" xr:uid="{4EBC33AF-30E5-4AAD-83AD-3E20A4BF56CE}"/>
    <cellStyle name="Normal 11 6" xfId="1302" xr:uid="{75FD1AD2-165D-4662-9D50-EC185D54BE1E}"/>
    <cellStyle name="Normal 11 7" xfId="3388" xr:uid="{21F32BC0-5C99-47B7-BAFA-581DFE5B4C9A}"/>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2 2 2" xfId="3808" xr:uid="{F7ACE8FD-7B8F-4543-92A1-12499C4C3945}"/>
    <cellStyle name="Normal 12 2 2 2 3" xfId="3599" xr:uid="{BC2DA3EA-783D-4928-8F56-B1BBC87B71F0}"/>
    <cellStyle name="Normal 12 2 2 3" xfId="770" xr:uid="{00000000-0005-0000-0000-00006C010000}"/>
    <cellStyle name="Normal 12 2 2 3 2" xfId="3703" xr:uid="{8FE9E8AC-84B3-4801-B4E7-FCC76E21CB7B}"/>
    <cellStyle name="Normal 12 2 2 4" xfId="2234" xr:uid="{F3DA8E82-5C98-471A-B96F-B58C3C8E1248}"/>
    <cellStyle name="Normal 12 2 2 5" xfId="3489" xr:uid="{7836C0DF-32C4-4576-BBA7-DA10FD9D8725}"/>
    <cellStyle name="Normal 12 2 3" xfId="613" xr:uid="{00000000-0005-0000-0000-00006D010000}"/>
    <cellStyle name="Normal 12 2 3 2" xfId="824" xr:uid="{00000000-0005-0000-0000-00006E010000}"/>
    <cellStyle name="Normal 12 2 3 2 2" xfId="3756" xr:uid="{9360D084-DB5E-461E-A13E-B94846422529}"/>
    <cellStyle name="Normal 12 2 3 3" xfId="2208" xr:uid="{E23C1F4A-746B-4B1A-A788-66B8069A8956}"/>
    <cellStyle name="Normal 12 2 3 3 2" xfId="4698" xr:uid="{6A7EB0F5-A26F-47A8-8159-F35A1AF07441}"/>
    <cellStyle name="Normal 12 2 3 4" xfId="3547" xr:uid="{52397E20-CC62-498A-B6A0-0826383FD46D}"/>
    <cellStyle name="Normal 12 2 4" xfId="718" xr:uid="{00000000-0005-0000-0000-00006F010000}"/>
    <cellStyle name="Normal 12 2 4 2" xfId="3651" xr:uid="{4377522F-EF4E-4F7C-A2DB-C1DE3A3981D7}"/>
    <cellStyle name="Normal 12 2 5" xfId="1306" xr:uid="{1831F7C4-12E4-497E-BF82-A1659D30E57F}"/>
    <cellStyle name="Normal 12 2 6" xfId="3432" xr:uid="{5A5B4FC4-902A-42B2-BE09-986297FC41CB}"/>
    <cellStyle name="Normal 12 3" xfId="483" xr:uid="{00000000-0005-0000-0000-000070010000}"/>
    <cellStyle name="Normal 12 3 2" xfId="639" xr:uid="{00000000-0005-0000-0000-000071010000}"/>
    <cellStyle name="Normal 12 3 2 2" xfId="850" xr:uid="{00000000-0005-0000-0000-000072010000}"/>
    <cellStyle name="Normal 12 3 2 2 2" xfId="3782" xr:uid="{9AB9E4FD-B9EE-4121-97FB-A06DB2CE4D90}"/>
    <cellStyle name="Normal 12 3 2 3" xfId="3573" xr:uid="{052AC7BC-F5F0-41CF-A08F-674687894C4A}"/>
    <cellStyle name="Normal 12 3 3" xfId="744" xr:uid="{00000000-0005-0000-0000-000073010000}"/>
    <cellStyle name="Normal 12 3 3 2" xfId="3677" xr:uid="{039E7C73-ED79-4353-9FA4-D6553ECEE392}"/>
    <cellStyle name="Normal 12 3 4" xfId="2233" xr:uid="{FAB73BD6-5809-47BF-965B-F055B397A81A}"/>
    <cellStyle name="Normal 12 3 5" xfId="3463" xr:uid="{6DFEF45A-C88E-4864-A14C-1707B09394F8}"/>
    <cellStyle name="Normal 12 4" xfId="587" xr:uid="{00000000-0005-0000-0000-000074010000}"/>
    <cellStyle name="Normal 12 4 2" xfId="798" xr:uid="{00000000-0005-0000-0000-000075010000}"/>
    <cellStyle name="Normal 12 4 2 2" xfId="3730" xr:uid="{14B719D6-31CA-4AC0-BE84-98A62209700E}"/>
    <cellStyle name="Normal 12 4 3" xfId="2199" xr:uid="{D9B9E22E-5861-4F8B-BB01-B2659081A43F}"/>
    <cellStyle name="Normal 12 4 3 2" xfId="4690" xr:uid="{79EC065E-A40D-4ADF-BC32-E2A6CA5F3279}"/>
    <cellStyle name="Normal 12 4 4" xfId="3521" xr:uid="{E6DCE664-7B81-4BB0-96D8-E556F808F949}"/>
    <cellStyle name="Normal 12 5" xfId="692" xr:uid="{00000000-0005-0000-0000-000076010000}"/>
    <cellStyle name="Normal 12 5 2" xfId="3625" xr:uid="{042D9BA5-74C5-4D1B-A502-B75DD3DF655C}"/>
    <cellStyle name="Normal 12 6" xfId="1305" xr:uid="{C4A3F2F2-7C80-4D10-83C5-3EFEE42D01C3}"/>
    <cellStyle name="Normal 12 7" xfId="3401" xr:uid="{FD615071-B053-4D27-9D79-AE7C5E91031B}"/>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2 2 2" xfId="3809" xr:uid="{08671A7A-2614-4FE3-815C-6DB86F62AA90}"/>
    <cellStyle name="Normal 13 2 2 2 3" xfId="3600" xr:uid="{6B027815-F29D-4528-9D00-591E6DAB225F}"/>
    <cellStyle name="Normal 13 2 2 3" xfId="771" xr:uid="{00000000-0005-0000-0000-00007C010000}"/>
    <cellStyle name="Normal 13 2 2 3 2" xfId="3704" xr:uid="{480900A6-6E11-42DA-8995-42D40AC80A6F}"/>
    <cellStyle name="Normal 13 2 2 4" xfId="2236" xr:uid="{EBBC7A27-84C2-4C2F-9425-435EFD7E8B81}"/>
    <cellStyle name="Normal 13 2 2 5" xfId="3490" xr:uid="{054363DD-9AEE-4A48-B458-EE27B1AA6F9E}"/>
    <cellStyle name="Normal 13 2 3" xfId="614" xr:uid="{00000000-0005-0000-0000-00007D010000}"/>
    <cellStyle name="Normal 13 2 3 2" xfId="825" xr:uid="{00000000-0005-0000-0000-00007E010000}"/>
    <cellStyle name="Normal 13 2 3 2 2" xfId="3757" xr:uid="{212A62C1-91BC-4C8F-8CEF-B13677232AA8}"/>
    <cellStyle name="Normal 13 2 3 3" xfId="2209" xr:uid="{665B9D62-F24E-472E-A18C-0F64BA4CB6D0}"/>
    <cellStyle name="Normal 13 2 3 3 2" xfId="4699" xr:uid="{897C62F0-1C6D-4C62-A9B3-13F24DDCC9AC}"/>
    <cellStyle name="Normal 13 2 3 4" xfId="3548" xr:uid="{08998FEF-D1F1-4EFC-B200-EC43A4750FF9}"/>
    <cellStyle name="Normal 13 2 4" xfId="719" xr:uid="{00000000-0005-0000-0000-00007F010000}"/>
    <cellStyle name="Normal 13 2 4 2" xfId="3652" xr:uid="{DB90CBEF-23AE-44A5-80FC-B1AB38EF51CC}"/>
    <cellStyle name="Normal 13 2 5" xfId="1308" xr:uid="{A58B22DC-9888-4C88-9ECA-E0DD3B68AA00}"/>
    <cellStyle name="Normal 13 2 6" xfId="3433" xr:uid="{9DAC40AC-023F-4953-B347-53BFE505A5CA}"/>
    <cellStyle name="Normal 13 3" xfId="523" xr:uid="{00000000-0005-0000-0000-000080010000}"/>
    <cellStyle name="Normal 13 3 2" xfId="675" xr:uid="{00000000-0005-0000-0000-000081010000}"/>
    <cellStyle name="Normal 13 3 2 2" xfId="886" xr:uid="{00000000-0005-0000-0000-000082010000}"/>
    <cellStyle name="Normal 13 3 2 2 2" xfId="3818" xr:uid="{B2FBDCB7-5D37-49FC-9253-030316352042}"/>
    <cellStyle name="Normal 13 3 2 3" xfId="3609" xr:uid="{32FABA79-883D-48A7-B2DB-EADDCDFFF30C}"/>
    <cellStyle name="Normal 13 3 3" xfId="780" xr:uid="{00000000-0005-0000-0000-000083010000}"/>
    <cellStyle name="Normal 13 3 3 2" xfId="3713" xr:uid="{563BAFA8-E448-4988-9D77-6A27FBB054E0}"/>
    <cellStyle name="Normal 13 3 4" xfId="2235" xr:uid="{78B253D6-BC88-4CF8-AE7F-5ED6330192B5}"/>
    <cellStyle name="Normal 13 3 5" xfId="3499" xr:uid="{7076499B-C2F0-4E92-B55D-D00981F056EA}"/>
    <cellStyle name="Normal 13 4" xfId="484" xr:uid="{00000000-0005-0000-0000-000084010000}"/>
    <cellStyle name="Normal 13 4 2" xfId="640" xr:uid="{00000000-0005-0000-0000-000085010000}"/>
    <cellStyle name="Normal 13 4 2 2" xfId="851" xr:uid="{00000000-0005-0000-0000-000086010000}"/>
    <cellStyle name="Normal 13 4 2 2 2" xfId="3783" xr:uid="{3556B275-67DF-4571-815F-960EF9202EF7}"/>
    <cellStyle name="Normal 13 4 2 3" xfId="3574" xr:uid="{FAF93325-768C-4590-98BE-0D54BD48D814}"/>
    <cellStyle name="Normal 13 4 3" xfId="745" xr:uid="{00000000-0005-0000-0000-000087010000}"/>
    <cellStyle name="Normal 13 4 3 2" xfId="3678" xr:uid="{1FA6D115-9BE7-4B6D-B70C-18C91A04F987}"/>
    <cellStyle name="Normal 13 4 4" xfId="2200" xr:uid="{7C60ACB3-08A1-406A-AB5C-075E8198CC57}"/>
    <cellStyle name="Normal 13 4 4 2" xfId="4691" xr:uid="{C4DE25F9-CC0F-48A4-A56E-F1C0F7AE58ED}"/>
    <cellStyle name="Normal 13 4 5" xfId="3464" xr:uid="{5FA35FF7-8A6A-45AA-B59F-E5D0B0072134}"/>
    <cellStyle name="Normal 13 5" xfId="588" xr:uid="{00000000-0005-0000-0000-000088010000}"/>
    <cellStyle name="Normal 13 5 2" xfId="799" xr:uid="{00000000-0005-0000-0000-000089010000}"/>
    <cellStyle name="Normal 13 5 2 2" xfId="3731" xr:uid="{8644AD11-210A-42EF-9B5B-AF7F44B73F9C}"/>
    <cellStyle name="Normal 13 5 3" xfId="3522" xr:uid="{D0CC3A7A-A3AA-4FF0-8A96-71FEFD89F890}"/>
    <cellStyle name="Normal 13 6" xfId="693" xr:uid="{00000000-0005-0000-0000-00008A010000}"/>
    <cellStyle name="Normal 13 6 2" xfId="3626" xr:uid="{E61ABA0A-B330-4BFD-9C72-4155C0CEE475}"/>
    <cellStyle name="Normal 13 7" xfId="1307" xr:uid="{0823F6CE-9006-4667-A384-5A18B24F26C4}"/>
    <cellStyle name="Normal 13 8" xfId="3402" xr:uid="{B85AEF03-6F9D-48A1-8D81-D05BD24CDA0A}"/>
    <cellStyle name="Normal 14" xfId="350" xr:uid="{00000000-0005-0000-0000-00008B010000}"/>
    <cellStyle name="Normal 14 2" xfId="525" xr:uid="{00000000-0005-0000-0000-00008C010000}"/>
    <cellStyle name="Normal 14 2 2" xfId="2210" xr:uid="{0DD9191A-8CAB-49F9-B958-B41F80B9B104}"/>
    <cellStyle name="Normal 14 2 2 2" xfId="4700" xr:uid="{4E6C1D54-262F-4CAD-AD8B-BB6BA9031262}"/>
    <cellStyle name="Normal 14 3" xfId="2237" xr:uid="{872AA135-9884-44AC-9755-B1AFEC9A8283}"/>
    <cellStyle name="Normal 14 4" xfId="2201" xr:uid="{98C646ED-8A1A-46A3-89D7-0C10946966BA}"/>
    <cellStyle name="Normal 14 4 2" xfId="4692" xr:uid="{9EEBF99A-AE95-43FF-8905-F23CA47C230E}"/>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2 2 2" xfId="3817" xr:uid="{3C9A48A3-4420-4E39-8186-CE88FEB5476A}"/>
    <cellStyle name="Normal 15 2 2 2 3" xfId="2957" xr:uid="{E0387569-ACE5-4B09-B2B5-568300CC1555}"/>
    <cellStyle name="Normal 15 2 2 2 3 2" xfId="5392" xr:uid="{1949A3F0-89EF-4187-B028-D8F47F50D96D}"/>
    <cellStyle name="Normal 15 2 2 2 4" xfId="3608" xr:uid="{DA1CA481-F66F-4C2A-A293-5822BD6695E2}"/>
    <cellStyle name="Normal 15 2 2 3" xfId="779" xr:uid="{00000000-0005-0000-0000-000092010000}"/>
    <cellStyle name="Normal 15 2 2 3 2" xfId="3712" xr:uid="{BA996C26-CE78-4074-AF13-D7BEFDFA15B7}"/>
    <cellStyle name="Normal 15 2 2 4" xfId="2119" xr:uid="{FACAD500-77C1-497F-AA6B-1548A0E50F44}"/>
    <cellStyle name="Normal 15 2 2 4 2" xfId="4636" xr:uid="{D94930F4-9598-4046-9A56-7EE2FF8ECDB5}"/>
    <cellStyle name="Normal 15 2 2 5" xfId="3498" xr:uid="{E9594448-F445-4851-8753-3707764C88E2}"/>
    <cellStyle name="Normal 15 2 3" xfId="622" xr:uid="{00000000-0005-0000-0000-000093010000}"/>
    <cellStyle name="Normal 15 2 3 2" xfId="833" xr:uid="{00000000-0005-0000-0000-000094010000}"/>
    <cellStyle name="Normal 15 2 3 2 2" xfId="3765" xr:uid="{064CF673-2985-48A7-BC34-045482DD8BF3}"/>
    <cellStyle name="Normal 15 2 3 3" xfId="2376" xr:uid="{F6B08547-CBDB-4E30-84B3-15BCB12EF944}"/>
    <cellStyle name="Normal 15 2 3 3 2" xfId="4811" xr:uid="{F19067C9-4C98-4CD2-B02E-3A6B64ACFB1E}"/>
    <cellStyle name="Normal 15 2 3 4" xfId="3556" xr:uid="{1AC56A3A-ED37-4D3B-B0F7-94AE59ED0465}"/>
    <cellStyle name="Normal 15 2 4" xfId="727" xr:uid="{00000000-0005-0000-0000-000095010000}"/>
    <cellStyle name="Normal 15 2 4 2" xfId="3660" xr:uid="{E4423D4D-DDDC-4D47-A79E-D3834F25B2A8}"/>
    <cellStyle name="Normal 15 2 5" xfId="1310" xr:uid="{B1ACDB92-0B5B-4A74-B56B-82E695355E53}"/>
    <cellStyle name="Normal 15 2 5 2" xfId="3941" xr:uid="{E1A2D4D6-0D73-4B3A-8861-422CBF339342}"/>
    <cellStyle name="Normal 15 2 6" xfId="3441" xr:uid="{8A4A1F97-8D83-4507-B2E6-3E30FE36A56C}"/>
    <cellStyle name="Normal 15 3" xfId="492" xr:uid="{00000000-0005-0000-0000-000096010000}"/>
    <cellStyle name="Normal 15 3 2" xfId="648" xr:uid="{00000000-0005-0000-0000-000097010000}"/>
    <cellStyle name="Normal 15 3 2 2" xfId="859" xr:uid="{00000000-0005-0000-0000-000098010000}"/>
    <cellStyle name="Normal 15 3 2 2 2" xfId="3791" xr:uid="{88DBD3FF-D4F3-4F11-96C9-501CEF9F2ABA}"/>
    <cellStyle name="Normal 15 3 2 3" xfId="2787" xr:uid="{61851684-E9E0-43D1-AE13-D0AAF5A67777}"/>
    <cellStyle name="Normal 15 3 2 3 2" xfId="5222" xr:uid="{904C6574-44D4-4A08-B9E9-AD20F4CCABFF}"/>
    <cellStyle name="Normal 15 3 2 4" xfId="3582" xr:uid="{1124AB39-9A31-42EA-B2DF-C48B5A1499EB}"/>
    <cellStyle name="Normal 15 3 3" xfId="753" xr:uid="{00000000-0005-0000-0000-000099010000}"/>
    <cellStyle name="Normal 15 3 3 2" xfId="3686" xr:uid="{8D6737F4-5D31-45E5-B3B7-2CE4CC66F0DD}"/>
    <cellStyle name="Normal 15 3 4" xfId="1949" xr:uid="{E3E29C29-2977-4ADE-A2BC-351F8CE28D0D}"/>
    <cellStyle name="Normal 15 3 4 2" xfId="4466" xr:uid="{C8B32E0E-ECB0-474E-8417-86F7A927ABAE}"/>
    <cellStyle name="Normal 15 3 5" xfId="3472" xr:uid="{99CBEFD2-53AD-43E8-B61B-949E4A5210BA}"/>
    <cellStyle name="Normal 15 4" xfId="596" xr:uid="{00000000-0005-0000-0000-00009A010000}"/>
    <cellStyle name="Normal 15 4 2" xfId="807" xr:uid="{00000000-0005-0000-0000-00009B010000}"/>
    <cellStyle name="Normal 15 4 2 2" xfId="3739" xr:uid="{CB339ABD-9C13-4FE9-BAD9-FBE1222F67F5}"/>
    <cellStyle name="Normal 15 4 3" xfId="2250" xr:uid="{16D423AB-C584-47A5-8EB6-A13A83539A06}"/>
    <cellStyle name="Normal 15 4 3 2" xfId="4715" xr:uid="{1B418C50-4107-4630-8475-B15F5457E3C5}"/>
    <cellStyle name="Normal 15 4 4" xfId="3530" xr:uid="{FABDA8FA-703B-49F9-8957-3B3C759C2E43}"/>
    <cellStyle name="Normal 15 5" xfId="701" xr:uid="{00000000-0005-0000-0000-00009C010000}"/>
    <cellStyle name="Normal 15 5 2" xfId="2375" xr:uid="{D210574B-B941-466F-AE6F-1D16F5B7C128}"/>
    <cellStyle name="Normal 15 5 2 2" xfId="4810" xr:uid="{548AAD45-A45A-4530-8173-4CAB4B5447E2}"/>
    <cellStyle name="Normal 15 5 3" xfId="3634" xr:uid="{66D21796-EF58-4A27-BF1D-69A85A5F5723}"/>
    <cellStyle name="Normal 15 6" xfId="1309" xr:uid="{9269CDDA-494E-4B6C-B353-2DF34A2C7E51}"/>
    <cellStyle name="Normal 15 6 2" xfId="3940" xr:uid="{16C9D86E-4BE8-40D4-BD4D-EBB0D0399BC4}"/>
    <cellStyle name="Normal 15 7" xfId="3410" xr:uid="{F4616C54-6863-4789-A84D-A09A55AF2CCB}"/>
    <cellStyle name="Normal 16" xfId="353" xr:uid="{00000000-0005-0000-0000-00009D010000}"/>
    <cellStyle name="Normal 16 2" xfId="1312" xr:uid="{DFA8D8BF-5C62-4BD2-86D1-5A3AEBCF9724}"/>
    <cellStyle name="Normal 16 2 2" xfId="2120" xr:uid="{93CCDFDA-44FF-4039-B550-F612A566DAD0}"/>
    <cellStyle name="Normal 16 2 2 2" xfId="2958" xr:uid="{E3E4DBED-988B-4569-9AC9-430BECF5C2D2}"/>
    <cellStyle name="Normal 16 2 2 2 2" xfId="5393" xr:uid="{301BA111-A1FB-4C65-842A-4B19CE0CA061}"/>
    <cellStyle name="Normal 16 2 2 3" xfId="4637" xr:uid="{B83FEF0A-B120-4FD5-8437-59D9FDF443A3}"/>
    <cellStyle name="Normal 16 2 3" xfId="2378" xr:uid="{5F37D00A-41B4-4108-A70B-72EB3368C309}"/>
    <cellStyle name="Normal 16 2 3 2" xfId="4813" xr:uid="{52012FAC-52B7-4EB1-B70A-BD48BDD1D2E8}"/>
    <cellStyle name="Normal 16 2 4" xfId="3943" xr:uid="{1325E1E3-22BC-4586-B686-D0C8E748E1F6}"/>
    <cellStyle name="Normal 16 3" xfId="1950" xr:uid="{4C03A992-2D06-4BBB-83AB-E80333C81C71}"/>
    <cellStyle name="Normal 16 3 2" xfId="2788" xr:uid="{84112764-30AB-4764-A843-B48178873FFF}"/>
    <cellStyle name="Normal 16 3 2 2" xfId="5223" xr:uid="{48914835-A031-47B6-94E2-019989BED433}"/>
    <cellStyle name="Normal 16 3 3" xfId="4467" xr:uid="{92A9540D-7EF8-4281-B719-286311C352D8}"/>
    <cellStyle name="Normal 16 4" xfId="2377" xr:uid="{D44DFBB8-C2DF-4C80-95C7-AA091B75CCA1}"/>
    <cellStyle name="Normal 16 4 2" xfId="4812" xr:uid="{C387E5CA-6381-4973-9B99-2A597AD7F875}"/>
    <cellStyle name="Normal 16 5" xfId="1311" xr:uid="{D79D8932-4180-4FAF-BF13-F3546DA2C8DC}"/>
    <cellStyle name="Normal 16 5 2" xfId="3942" xr:uid="{5F2F03AC-5737-483F-A138-F44999ABEB8B}"/>
    <cellStyle name="Normal 165" xfId="2284" xr:uid="{B8C1ABD9-4EDC-4849-8C1E-1B841AA9516A}"/>
    <cellStyle name="Normal 165 2" xfId="4719" xr:uid="{2134C2C3-4CB6-423A-BFFB-02204DC26EA3}"/>
    <cellStyle name="Normal 168" xfId="2285" xr:uid="{9DB8BC59-033A-4D3A-9793-1A40E8FD21A2}"/>
    <cellStyle name="Normal 168 2" xfId="4720" xr:uid="{534BEE7F-B2C4-4497-A789-98A9EEF4EF2D}"/>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2 2 2" xfId="2959" xr:uid="{9F0A78E4-A6B7-41BC-B452-BBD502102970}"/>
    <cellStyle name="Normal 17 2 2 2 2 2" xfId="5394" xr:uid="{E89BF2BB-2BB7-4BE3-8741-B3545ABA1E75}"/>
    <cellStyle name="Normal 17 2 2 2 3" xfId="3792" xr:uid="{0B247C12-EEF4-40E2-9DA0-4E52B6C7D5D6}"/>
    <cellStyle name="Normal 17 2 2 3" xfId="2121" xr:uid="{33AA9152-B9EF-4F9C-9878-D7635051E323}"/>
    <cellStyle name="Normal 17 2 2 3 2" xfId="4638" xr:uid="{49E5FC20-3E4F-4D2C-BF07-7FBAEDC66B4B}"/>
    <cellStyle name="Normal 17 2 2 4" xfId="3583" xr:uid="{98F663D0-0EDB-4BF2-8992-4C3EE52F2D45}"/>
    <cellStyle name="Normal 17 2 3" xfId="754" xr:uid="{00000000-0005-0000-0000-0000A2010000}"/>
    <cellStyle name="Normal 17 2 3 2" xfId="2380" xr:uid="{69B432DD-A864-45EC-A6B7-D1DFA71D9ADF}"/>
    <cellStyle name="Normal 17 2 3 2 2" xfId="4815" xr:uid="{E92DFAAD-6FB1-4B25-BBD0-E565F09F740B}"/>
    <cellStyle name="Normal 17 2 3 3" xfId="3687" xr:uid="{65E19AF4-7EAD-4AFF-BD09-BCB5F2A84B7D}"/>
    <cellStyle name="Normal 17 2 4" xfId="1314" xr:uid="{D6A1770A-5520-4769-A95B-CF920564037F}"/>
    <cellStyle name="Normal 17 2 4 2" xfId="3945" xr:uid="{B30DF4DD-E61F-4F46-AD4A-701CF3197806}"/>
    <cellStyle name="Normal 17 2 5" xfId="3473" xr:uid="{E689616D-EB36-4967-9328-8C3D5BF58832}"/>
    <cellStyle name="Normal 17 3" xfId="597" xr:uid="{00000000-0005-0000-0000-0000A3010000}"/>
    <cellStyle name="Normal 17 3 2" xfId="808" xr:uid="{00000000-0005-0000-0000-0000A4010000}"/>
    <cellStyle name="Normal 17 3 2 2" xfId="2789" xr:uid="{9C97885F-EC3A-460F-B574-D10D4676B590}"/>
    <cellStyle name="Normal 17 3 2 2 2" xfId="5224" xr:uid="{9213338B-E9D8-402C-8394-91539927DAF2}"/>
    <cellStyle name="Normal 17 3 2 3" xfId="3740" xr:uid="{843409E5-BD94-43AB-94FD-FD70A9CB58BA}"/>
    <cellStyle name="Normal 17 3 3" xfId="1951" xr:uid="{0C529913-0AD0-4082-85CE-C6EC05C7D33D}"/>
    <cellStyle name="Normal 17 3 3 2" xfId="4468" xr:uid="{E5F50EF6-576F-490C-9E52-FCA892E80892}"/>
    <cellStyle name="Normal 17 3 4" xfId="3531" xr:uid="{A2561A19-115F-4A09-A21B-F409147989A5}"/>
    <cellStyle name="Normal 17 4" xfId="702" xr:uid="{00000000-0005-0000-0000-0000A5010000}"/>
    <cellStyle name="Normal 17 4 2" xfId="2379" xr:uid="{9C27CD71-70FB-4874-BE7D-383D249388BC}"/>
    <cellStyle name="Normal 17 4 2 2" xfId="4814" xr:uid="{E2C23106-CB8B-47DE-9F42-BBE8EF6A81CF}"/>
    <cellStyle name="Normal 17 4 3" xfId="3635" xr:uid="{F6BB82E0-06CD-4AF4-B85F-24ABEC3DD4E4}"/>
    <cellStyle name="Normal 17 5" xfId="1313" xr:uid="{2A8E8EB0-E351-41B4-B3ED-A9DE8ED5AFA5}"/>
    <cellStyle name="Normal 17 5 2" xfId="3944" xr:uid="{4492F707-6149-495F-8FC5-1CC1B98899F0}"/>
    <cellStyle name="Normal 17 6" xfId="3411" xr:uid="{AE8665FB-3ECC-452F-99C0-925F19291047}"/>
    <cellStyle name="Normal 18" xfId="424" xr:uid="{00000000-0005-0000-0000-0000A6010000}"/>
    <cellStyle name="Normal 18 2" xfId="1316" xr:uid="{4E4E855A-839A-40B7-83B5-F79856333CF8}"/>
    <cellStyle name="Normal 18 2 2" xfId="2122" xr:uid="{2AB32E39-A36A-4158-BD78-8BEC7CC3BB52}"/>
    <cellStyle name="Normal 18 2 2 2" xfId="2960" xr:uid="{15FF26EA-A3EA-4A5E-A814-55B796E72485}"/>
    <cellStyle name="Normal 18 2 2 2 2" xfId="5395" xr:uid="{62EB448F-7669-43C7-B848-B14FF15C6D83}"/>
    <cellStyle name="Normal 18 2 2 3" xfId="4639" xr:uid="{DB8D48F2-F732-4A51-94C2-E4257405C49B}"/>
    <cellStyle name="Normal 18 2 3" xfId="2382" xr:uid="{D74C2703-BCB4-424E-BFD4-4FFEED7732C1}"/>
    <cellStyle name="Normal 18 2 3 2" xfId="4817" xr:uid="{8CDE6BB5-FAAA-4826-917C-A9FB6F2F484B}"/>
    <cellStyle name="Normal 18 2 4" xfId="3947" xr:uid="{3865105E-4B9F-442A-BFEA-CC768221EC36}"/>
    <cellStyle name="Normal 18 3" xfId="1952" xr:uid="{6DDD70DF-9106-4F18-A395-3CDB68AAFC87}"/>
    <cellStyle name="Normal 18 3 2" xfId="2790" xr:uid="{1E990523-948E-4826-A0B1-8C611AB2E1FA}"/>
    <cellStyle name="Normal 18 3 2 2" xfId="5225" xr:uid="{19F911FF-7B1E-4206-9923-501D2DC3D2BD}"/>
    <cellStyle name="Normal 18 3 3" xfId="4469" xr:uid="{71EE2AB4-D8B7-4AA9-8303-3C951411F098}"/>
    <cellStyle name="Normal 18 4" xfId="2381" xr:uid="{2968BD70-1B29-40B6-8420-4CEDE7353D2B}"/>
    <cellStyle name="Normal 18 4 2" xfId="4816" xr:uid="{90B915B3-376C-481E-9934-822AE79BB255}"/>
    <cellStyle name="Normal 18 5" xfId="1315" xr:uid="{D3D87B67-D586-4984-96D1-48DD869CFCA4}"/>
    <cellStyle name="Normal 18 5 2" xfId="3946" xr:uid="{60E91AA6-D683-499E-A395-9A733B36681F}"/>
    <cellStyle name="Normal 19" xfId="519" xr:uid="{00000000-0005-0000-0000-0000A7010000}"/>
    <cellStyle name="Normal 19 2" xfId="1318" xr:uid="{381D507A-19EF-4A23-B78E-9433E68C2593}"/>
    <cellStyle name="Normal 19 2 2" xfId="2123" xr:uid="{FFECB7BB-8345-4B40-A374-AB42B8027EC4}"/>
    <cellStyle name="Normal 19 2 2 2" xfId="2961" xr:uid="{9A23A2E2-EA8C-47F8-A588-BE9DA63B851B}"/>
    <cellStyle name="Normal 19 2 2 2 2" xfId="5396" xr:uid="{B91DC0D4-B0F5-4A71-8EE2-7375C2FE2063}"/>
    <cellStyle name="Normal 19 2 2 3" xfId="4640" xr:uid="{2EF54178-05F6-42D5-B318-B46E8CD9966C}"/>
    <cellStyle name="Normal 19 2 3" xfId="2384" xr:uid="{CD542455-9614-4416-9C89-CC59F53D741A}"/>
    <cellStyle name="Normal 19 2 3 2" xfId="4819" xr:uid="{6B4E1648-CC67-40FE-A7F6-6A0126F1B637}"/>
    <cellStyle name="Normal 19 2 4" xfId="3949" xr:uid="{54E37618-FFC8-4D3D-A672-C9ADA5244711}"/>
    <cellStyle name="Normal 19 3" xfId="1953" xr:uid="{BA1D3E27-1356-44FA-AC9F-02773BD89958}"/>
    <cellStyle name="Normal 19 3 2" xfId="2791" xr:uid="{31CC1185-EAB4-4382-BD43-BC7F204D14B4}"/>
    <cellStyle name="Normal 19 3 2 2" xfId="5226" xr:uid="{83F6BB47-C23D-4A89-9AE1-53AB9DAF5D41}"/>
    <cellStyle name="Normal 19 3 3" xfId="4470" xr:uid="{1D98A2D9-011B-4A14-968E-8C4BB40F2797}"/>
    <cellStyle name="Normal 19 4" xfId="2383" xr:uid="{6A27CE8B-B996-4E34-AFCC-FB006C92EFC9}"/>
    <cellStyle name="Normal 19 4 2" xfId="4818" xr:uid="{5963CBD8-A5E6-4F0A-9CF2-88D23B3A16BC}"/>
    <cellStyle name="Normal 19 5" xfId="1317" xr:uid="{227A798D-C2BB-45E1-A183-962A3DAA4356}"/>
    <cellStyle name="Normal 19 5 2" xfId="3948" xr:uid="{DFA1CC99-7CAF-48D8-A55A-9A33064157AF}"/>
    <cellStyle name="Normal 2" xfId="66" xr:uid="{00000000-0005-0000-0000-0000A8010000}"/>
    <cellStyle name="Normal 2 10" xfId="1319" xr:uid="{D7D68F55-FC51-430F-A580-C3BB851B020A}"/>
    <cellStyle name="Normal 2 10 10 2" xfId="1320" xr:uid="{CAA4247B-2796-4BC2-BEBD-71D4D484C625}"/>
    <cellStyle name="Normal 2 11" xfId="1321" xr:uid="{9B9B63FE-993B-46FD-A281-450E73FF9B22}"/>
    <cellStyle name="Normal 2 11 2" xfId="1322" xr:uid="{21A96976-0428-4133-BA8F-127400EC8AEB}"/>
    <cellStyle name="Normal 2 11 2 2" xfId="2014" xr:uid="{7DD836DA-F140-4191-8FD1-9187B091B746}"/>
    <cellStyle name="Normal 2 11 2 2 2" xfId="2852" xr:uid="{1914154A-C586-4879-AEC8-05438BD915D8}"/>
    <cellStyle name="Normal 2 11 2 2 2 2" xfId="5287" xr:uid="{43ED6F18-F275-4B46-BEC5-76715AB7894B}"/>
    <cellStyle name="Normal 2 11 2 2 3" xfId="4531" xr:uid="{40B6A095-6515-4E5F-8AED-5AD04080B85E}"/>
    <cellStyle name="Normal 2 11 2 3" xfId="2386" xr:uid="{66ACB7DF-CF30-4668-88BF-408516A9A742}"/>
    <cellStyle name="Normal 2 11 2 3 2" xfId="4821" xr:uid="{A99BD8FD-E760-416E-9CD7-A66F6E8F7FAA}"/>
    <cellStyle name="Normal 2 11 2 4" xfId="3951" xr:uid="{0E567452-956A-4904-AFF8-550956D8BA52}"/>
    <cellStyle name="Normal 2 11 3" xfId="1844" xr:uid="{783999FE-24AD-42C4-9760-46E8091D4CD2}"/>
    <cellStyle name="Normal 2 11 3 2" xfId="2682" xr:uid="{9E8F8C7D-DE58-4371-AB40-92ABC3D5F7E4}"/>
    <cellStyle name="Normal 2 11 3 2 2" xfId="5117" xr:uid="{C52970B8-6F52-4CD1-86F4-F0DC5B0A2ACA}"/>
    <cellStyle name="Normal 2 11 3 3" xfId="4361" xr:uid="{106F619A-3B1B-4CD8-A917-CEBA823ACC97}"/>
    <cellStyle name="Normal 2 11 4" xfId="2385" xr:uid="{A7EAE794-DD64-4738-BA0D-3AEA1FAA70F9}"/>
    <cellStyle name="Normal 2 11 4 2" xfId="4820" xr:uid="{EFC0544F-EA8E-45E9-B391-74BEBDD6948A}"/>
    <cellStyle name="Normal 2 11 5" xfId="3950" xr:uid="{8992F2A1-5AF2-4A44-AC30-A41621146585}"/>
    <cellStyle name="Normal 2 2" xfId="520" xr:uid="{00000000-0005-0000-0000-0000A9010000}"/>
    <cellStyle name="Normal 2 2 2" xfId="1324" xr:uid="{440E61A6-D114-4498-8A62-FE4743CBC8CC}"/>
    <cellStyle name="Normal 2 2 2 2" xfId="1325" xr:uid="{8E056E6E-D4E3-4CBC-9272-2E3638B23D98}"/>
    <cellStyle name="Normal 2 2 2 2 2" xfId="1326" xr:uid="{69770E35-0877-49B9-81D8-2A032C2E79F8}"/>
    <cellStyle name="Normal 2 2 2 3" xfId="1327" xr:uid="{E51CD154-6EA8-4068-BA14-9F71DF347268}"/>
    <cellStyle name="Normal 2 2 2 4" xfId="1328" xr:uid="{DD1D02F3-CE0E-4B20-B3AE-563F45FFE7BF}"/>
    <cellStyle name="Normal 2 2 3" xfId="1329" xr:uid="{FC0B84B6-4649-46FC-85E3-C5F88C587510}"/>
    <cellStyle name="Normal 2 2 3 2" xfId="1330" xr:uid="{82ADC68B-C7AC-41C0-B429-D13DD9B8F563}"/>
    <cellStyle name="Normal 2 2 4" xfId="1331" xr:uid="{328300A0-5858-4DC5-B96F-958B287F1411}"/>
    <cellStyle name="Normal 2 2 5" xfId="1332" xr:uid="{42817161-C1BC-4B90-8F30-FAE9A81E16B9}"/>
    <cellStyle name="Normal 2 2 6" xfId="1323" xr:uid="{854D27E5-8DF0-418E-A52C-84028AF27982}"/>
    <cellStyle name="Normal 2 2_Incentive Updates" xfId="1333" xr:uid="{D7F518FA-12C8-44A8-A0E3-95BDAB53B643}"/>
    <cellStyle name="Normal 2 3" xfId="1334" xr:uid="{7571AE75-88E3-45DC-9CB3-5D72C835B3FF}"/>
    <cellStyle name="Normal 2 3 2" xfId="1335" xr:uid="{460C43DB-14EB-4636-9CF7-B7CDD97613A2}"/>
    <cellStyle name="Normal 2 4" xfId="1336" xr:uid="{3FBC9465-6E81-437F-907C-C44600243516}"/>
    <cellStyle name="Normal 2 4 2" xfId="1337" xr:uid="{FC69AB2D-2BFC-426B-9C87-BE5D4C8EDE56}"/>
    <cellStyle name="Normal 2 4 2 2" xfId="1338" xr:uid="{0072D93B-8B64-401C-9042-1127612E5758}"/>
    <cellStyle name="Normal 2 4 2 3" xfId="1339" xr:uid="{6DA3253F-651A-4AEF-9F3A-B004103C0ADD}"/>
    <cellStyle name="Normal 2 4 3" xfId="1340" xr:uid="{AC6B05D2-7196-404C-B643-1D3842063C9F}"/>
    <cellStyle name="Normal 2 5" xfId="1341" xr:uid="{54483A6D-6E48-422A-82BA-DD43A805E484}"/>
    <cellStyle name="Normal 2 6" xfId="1342" xr:uid="{B75F88DA-7D73-40CB-931B-3F82F4A295C8}"/>
    <cellStyle name="Normal 2 6 2" xfId="1343" xr:uid="{F22FFACB-72AA-476A-A68C-1FBFCFA15FCE}"/>
    <cellStyle name="Normal 2 7" xfId="1344" xr:uid="{F601867D-D49F-4AF5-BBED-2FBFC122E281}"/>
    <cellStyle name="Normal 2 7 2" xfId="1345" xr:uid="{CDF51051-7ED9-4527-A22E-0218C78A7C2E}"/>
    <cellStyle name="Normal 2 8" xfId="1346" xr:uid="{44212F5D-36BF-4DBC-AC3D-6F9196A9064F}"/>
    <cellStyle name="Normal 2 8 2" xfId="1347" xr:uid="{73CE16AF-8A7E-48D9-96C7-8C8DDE94F756}"/>
    <cellStyle name="Normal 2 9" xfId="1348" xr:uid="{6187A4AB-9843-4B4D-9CF4-041BFEC6CC28}"/>
    <cellStyle name="Normal 2_Incentive Updates" xfId="1349" xr:uid="{DF0D565E-D57C-412A-9FC4-D85F77571D78}"/>
    <cellStyle name="Normal 20" xfId="423" xr:uid="{00000000-0005-0000-0000-0000AA010000}"/>
    <cellStyle name="Normal 20 2" xfId="623" xr:uid="{00000000-0005-0000-0000-0000AB010000}"/>
    <cellStyle name="Normal 20 2 2" xfId="834" xr:uid="{00000000-0005-0000-0000-0000AC010000}"/>
    <cellStyle name="Normal 20 2 2 2" xfId="2962" xr:uid="{028CA2B7-A0E8-470B-BCEC-462FEE0979BB}"/>
    <cellStyle name="Normal 20 2 2 2 2" xfId="5397" xr:uid="{3DC3652D-B002-4353-BA6D-A2399D8FDE87}"/>
    <cellStyle name="Normal 20 2 2 3" xfId="2124" xr:uid="{169EB7EC-60EA-4449-8AAA-2BBA501DFD3C}"/>
    <cellStyle name="Normal 20 2 2 3 2" xfId="4641" xr:uid="{24AD87CB-CA1C-4127-BF94-7EEE0EB31DB0}"/>
    <cellStyle name="Normal 20 2 2 4" xfId="3766" xr:uid="{66E25F9E-5BEE-4F15-9528-5C77E952B8CE}"/>
    <cellStyle name="Normal 20 2 3" xfId="2388" xr:uid="{BB414916-797E-4DA0-B6E5-C48AF6F117D0}"/>
    <cellStyle name="Normal 20 2 3 2" xfId="4823" xr:uid="{2C04255B-0D5D-468A-8E96-064841BBB988}"/>
    <cellStyle name="Normal 20 2 4" xfId="1351" xr:uid="{38BAB4FA-DBFB-4A24-AC7F-71CFFD4EB269}"/>
    <cellStyle name="Normal 20 2 4 2" xfId="3953" xr:uid="{A59EE2CE-B76B-4452-BF23-7BD22CDAE0DC}"/>
    <cellStyle name="Normal 20 2 5" xfId="3557" xr:uid="{C10EAF16-4439-4F1E-A07D-176A43248214}"/>
    <cellStyle name="Normal 20 3" xfId="728" xr:uid="{00000000-0005-0000-0000-0000AD010000}"/>
    <cellStyle name="Normal 20 3 2" xfId="2792" xr:uid="{2289E143-5F1A-4D0E-9750-2160A421F150}"/>
    <cellStyle name="Normal 20 3 2 2" xfId="5227" xr:uid="{622881A6-6084-47E5-ADAF-8E2A8A089ED7}"/>
    <cellStyle name="Normal 20 3 3" xfId="1954" xr:uid="{72E24B07-FEC6-44DF-B30C-C6B1BF7B9765}"/>
    <cellStyle name="Normal 20 3 3 2" xfId="4471" xr:uid="{AA833831-B161-4D11-9B3C-E4953D11C5C2}"/>
    <cellStyle name="Normal 20 3 4" xfId="3661" xr:uid="{57286AE5-4C27-4B56-AF7C-94FA56B78C12}"/>
    <cellStyle name="Normal 20 4" xfId="2387" xr:uid="{D696C344-F064-451F-854E-ADBEC68ED8D4}"/>
    <cellStyle name="Normal 20 4 2" xfId="4822" xr:uid="{6B67119D-22CA-456B-B4B0-00FE7F75F049}"/>
    <cellStyle name="Normal 20 5" xfId="1350" xr:uid="{80F78A6F-7B63-4875-ABA9-ABF5ABAFA689}"/>
    <cellStyle name="Normal 20 5 2" xfId="3952" xr:uid="{065DBBD5-52F9-47E2-9CF3-956D7D0B107A}"/>
    <cellStyle name="Normal 20 6" xfId="3442" xr:uid="{4D0618BF-5EFA-4225-89B1-BD0372D48FDF}"/>
    <cellStyle name="Normal 206" xfId="3042" xr:uid="{53B73A54-29E0-42DD-9F71-0FA14AE14D91}"/>
    <cellStyle name="Normal 21" xfId="528" xr:uid="{00000000-0005-0000-0000-0000AE010000}"/>
    <cellStyle name="Normal 21 2" xfId="782" xr:uid="{00000000-0005-0000-0000-0000AF010000}"/>
    <cellStyle name="Normal 21 2 2" xfId="2125" xr:uid="{9DEEC1D2-5936-4006-AF1F-686B5651DD4F}"/>
    <cellStyle name="Normal 21 2 2 2" xfId="2963" xr:uid="{358C2762-F0D1-45DF-B49E-717DCEEFAEEC}"/>
    <cellStyle name="Normal 21 2 2 2 2" xfId="5398" xr:uid="{C2D4B118-C01F-4CEC-B9D7-26C04167F36D}"/>
    <cellStyle name="Normal 21 2 2 3" xfId="4642" xr:uid="{432C66DD-4C07-4DA9-8622-B122701246FE}"/>
    <cellStyle name="Normal 21 2 3" xfId="2390" xr:uid="{91CE1401-BE1F-45BF-A152-56FA5AFA48C7}"/>
    <cellStyle name="Normal 21 2 3 2" xfId="4825" xr:uid="{D413519D-DFA1-49B1-889C-8524820492A3}"/>
    <cellStyle name="Normal 21 2 4" xfId="1353" xr:uid="{7DD5D63B-E42A-45A2-8B1F-BFD010A2AFCD}"/>
    <cellStyle name="Normal 21 2 4 2" xfId="3955" xr:uid="{85AA1B57-890C-45CA-9278-CFA9236E8CED}"/>
    <cellStyle name="Normal 21 3" xfId="1955" xr:uid="{600D905C-D79A-48BF-97C0-7952719E8ECF}"/>
    <cellStyle name="Normal 21 3 2" xfId="2793" xr:uid="{64CB2E86-D41C-4B35-93AE-3ABD982EEEFE}"/>
    <cellStyle name="Normal 21 3 2 2" xfId="5228" xr:uid="{F2845472-DEAD-4F30-9D7D-5BD71B1A8D65}"/>
    <cellStyle name="Normal 21 3 3" xfId="4472" xr:uid="{9DBFDA4B-667A-4D05-9B5A-7850B69D7BC7}"/>
    <cellStyle name="Normal 21 4" xfId="2389" xr:uid="{1A457300-7421-4804-8D1C-D2C75AD26C19}"/>
    <cellStyle name="Normal 21 4 2" xfId="4824" xr:uid="{DF6C1792-2487-4802-AC84-020612F0C991}"/>
    <cellStyle name="Normal 21 5" xfId="1352" xr:uid="{C4E9EFBD-D3E7-4156-986A-830FD7DEB25D}"/>
    <cellStyle name="Normal 21 5 2" xfId="3954" xr:uid="{929CDAFB-7288-4D86-8E48-C31D084C434A}"/>
    <cellStyle name="Normal 22" xfId="676" xr:uid="{00000000-0005-0000-0000-0000B0010000}"/>
    <cellStyle name="Normal 22 2" xfId="887" xr:uid="{00000000-0005-0000-0000-0000B1010000}"/>
    <cellStyle name="Normal 22 2 2" xfId="2126" xr:uid="{94C050F5-A7B2-4C5E-86F8-E082A86A7FF2}"/>
    <cellStyle name="Normal 22 2 2 2" xfId="2964" xr:uid="{366B61FB-10FC-4B99-A0A9-E268DEB3DFD9}"/>
    <cellStyle name="Normal 22 2 2 2 2" xfId="5399" xr:uid="{E7A329D6-691C-4343-A9B2-286D6787B43C}"/>
    <cellStyle name="Normal 22 2 2 3" xfId="4643" xr:uid="{251CA35B-8CF2-4023-A071-601F50829A79}"/>
    <cellStyle name="Normal 22 2 3" xfId="2392" xr:uid="{E83A219D-4400-493C-8A05-E344A27580D9}"/>
    <cellStyle name="Normal 22 2 3 2" xfId="4827" xr:uid="{9D8743E9-12F0-4087-9382-923E72E329F8}"/>
    <cellStyle name="Normal 22 2 4" xfId="1355" xr:uid="{CAE9DF9A-0F53-4FD4-87E4-9FEBF4FCC933}"/>
    <cellStyle name="Normal 22 2 4 2" xfId="3957" xr:uid="{015B48EE-0DD1-4E4E-9D2F-B54BB0C62D82}"/>
    <cellStyle name="Normal 22 3" xfId="1956" xr:uid="{0A17F3A3-886B-42F6-A667-28C933F3176F}"/>
    <cellStyle name="Normal 22 3 2" xfId="2794" xr:uid="{A042C05D-6080-40D8-8BDB-AA3C083E144C}"/>
    <cellStyle name="Normal 22 3 2 2" xfId="5229" xr:uid="{9A48BDCC-470D-4B03-8493-3E58673D38BC}"/>
    <cellStyle name="Normal 22 3 3" xfId="4473" xr:uid="{B54FC859-A40E-47E7-BBED-5379690DB0DF}"/>
    <cellStyle name="Normal 22 4" xfId="2391" xr:uid="{8172BACF-4EBF-49DD-96A1-E3EF1FCD0A27}"/>
    <cellStyle name="Normal 22 4 2" xfId="4826" xr:uid="{298D82FD-E34C-4399-875C-086DB8786173}"/>
    <cellStyle name="Normal 22 5" xfId="1354" xr:uid="{7A2D3203-3B34-4E82-B9B3-C79CBECC613C}"/>
    <cellStyle name="Normal 22 5 2" xfId="3956" xr:uid="{524D7972-82A3-4DA5-96A6-5376C9C58D5C}"/>
    <cellStyle name="Normal 23" xfId="527" xr:uid="{00000000-0005-0000-0000-0000B2010000}"/>
    <cellStyle name="Normal 23 2" xfId="781" xr:uid="{00000000-0005-0000-0000-0000B3010000}"/>
    <cellStyle name="Normal 23 2 2" xfId="2127" xr:uid="{CE90156C-2C95-473B-A346-CEA87CF8F849}"/>
    <cellStyle name="Normal 23 2 2 2" xfId="2965" xr:uid="{BD159E88-6725-4195-B34A-8689FF04DB23}"/>
    <cellStyle name="Normal 23 2 2 2 2" xfId="5400" xr:uid="{AB5EF205-8DA9-45E1-8163-7F04988F3972}"/>
    <cellStyle name="Normal 23 2 2 3" xfId="4644" xr:uid="{43EFF616-7460-4FB4-9DD9-D5325474BE3E}"/>
    <cellStyle name="Normal 23 2 3" xfId="2394" xr:uid="{05B91AC1-61A5-4480-8FF3-DA4F87F269A4}"/>
    <cellStyle name="Normal 23 2 3 2" xfId="4829" xr:uid="{126CD790-CCA4-4B31-9D5C-CFBE05800D10}"/>
    <cellStyle name="Normal 23 2 4" xfId="1357" xr:uid="{9C686519-B3CD-43C4-9470-B4BE992CA98E}"/>
    <cellStyle name="Normal 23 2 4 2" xfId="3959" xr:uid="{E6647A56-A34A-4376-8141-73DBCA9B1101}"/>
    <cellStyle name="Normal 23 2 5" xfId="3714" xr:uid="{F3F96F2E-758B-4C79-B5F0-3081F1A8115E}"/>
    <cellStyle name="Normal 23 3" xfId="1957" xr:uid="{3EAB5E34-AC6D-4489-9CC0-584BBC157D23}"/>
    <cellStyle name="Normal 23 3 2" xfId="2795" xr:uid="{25292699-2F30-4E41-9A4B-AF7181E133EF}"/>
    <cellStyle name="Normal 23 3 2 2" xfId="5230" xr:uid="{ADE08D11-4937-4733-92A3-2A7760221EB7}"/>
    <cellStyle name="Normal 23 3 3" xfId="4474" xr:uid="{93A61AAC-24B5-4832-9F53-A9ED99038B0D}"/>
    <cellStyle name="Normal 23 4" xfId="2393" xr:uid="{CE0FBA6F-460C-4DA9-8588-806D4FDDF239}"/>
    <cellStyle name="Normal 23 4 2" xfId="4828" xr:uid="{FC892AF1-CB9F-43E2-A1A6-CC475625E231}"/>
    <cellStyle name="Normal 23 5" xfId="1356" xr:uid="{F9F1A23E-B674-4C89-A948-C50929D25E12}"/>
    <cellStyle name="Normal 23 5 2" xfId="3958" xr:uid="{839AD1A7-AE2F-42AD-9309-CAD1D673DF00}"/>
    <cellStyle name="Normal 23 6" xfId="3500" xr:uid="{8BBC8004-E123-43CA-BC29-BA8E9666221C}"/>
    <cellStyle name="Normal 24" xfId="888" xr:uid="{9C89C772-0D88-4EE7-B0FE-2578499CD212}"/>
    <cellStyle name="Normal 24 2" xfId="1359" xr:uid="{B0B9420A-D2BC-45A7-B9BB-5B3C47B1B2EC}"/>
    <cellStyle name="Normal 24 2 2" xfId="2128" xr:uid="{8786A9EC-945B-497F-9077-096EC9C8B23F}"/>
    <cellStyle name="Normal 24 2 2 2" xfId="2966" xr:uid="{18AD1764-F88B-4C64-BBFA-68DF585504C4}"/>
    <cellStyle name="Normal 24 2 2 2 2" xfId="5401" xr:uid="{C1EF9FE8-AF48-4956-9962-0B6F066F1BBC}"/>
    <cellStyle name="Normal 24 2 2 3" xfId="4645" xr:uid="{7B0F988D-EFBF-43F7-94CA-CD8A9BBDF8B8}"/>
    <cellStyle name="Normal 24 2 3" xfId="2396" xr:uid="{06B09A4F-BE22-49C8-9E00-950EAD5A6EB3}"/>
    <cellStyle name="Normal 24 2 3 2" xfId="4831" xr:uid="{FD97315B-DEB8-41FF-A8A9-9BAC74C7B44D}"/>
    <cellStyle name="Normal 24 2 4" xfId="3961" xr:uid="{83E4D351-34FD-4B93-BBB9-65D051438488}"/>
    <cellStyle name="Normal 24 3" xfId="1958" xr:uid="{5A078C6E-8CBC-420B-A4D5-B1BC2731A8C7}"/>
    <cellStyle name="Normal 24 3 2" xfId="2796" xr:uid="{29B42199-9B35-475C-826C-37C07583E2ED}"/>
    <cellStyle name="Normal 24 3 2 2" xfId="5231" xr:uid="{B205D298-8ACD-4CC1-BB6D-8EBFC9264B82}"/>
    <cellStyle name="Normal 24 3 3" xfId="4475" xr:uid="{86670CF5-BDF9-470A-9821-2D14E08F0CFE}"/>
    <cellStyle name="Normal 24 4" xfId="2395" xr:uid="{C1F5721B-0063-4118-8D42-FFDE4016C75E}"/>
    <cellStyle name="Normal 24 4 2" xfId="4830" xr:uid="{339AC804-8004-40B0-8D61-1671570175BF}"/>
    <cellStyle name="Normal 24 5" xfId="1358" xr:uid="{6610B6C5-9C18-4469-8A25-748B600F0E4A}"/>
    <cellStyle name="Normal 24 5 2" xfId="3960" xr:uid="{5E7D1F7C-9D4C-464B-B980-B4D4AA8142D3}"/>
    <cellStyle name="Normal 24 6" xfId="3819" xr:uid="{5964A967-47C5-4B65-B6F4-C23999056BC9}"/>
    <cellStyle name="Normal 25" xfId="892" xr:uid="{68006706-7F3A-4028-8E01-529886742ED7}"/>
    <cellStyle name="Normal 25 2" xfId="2967" xr:uid="{F82BFECA-AD3A-472B-925A-977DFB79C09B}"/>
    <cellStyle name="Normal 25 2 2" xfId="5402" xr:uid="{C9F53040-DB38-496B-BC14-DBDF5E0F4967}"/>
    <cellStyle name="Normal 25 3" xfId="3823" xr:uid="{2AB35E4E-E4B9-48A6-8AE7-B47E144414BB}"/>
    <cellStyle name="Normal 26" xfId="2129" xr:uid="{1C43A721-B051-4254-9E3D-D6AF18C32F81}"/>
    <cellStyle name="Normal 26 2" xfId="4646" xr:uid="{433911DF-0B34-46F9-8F71-7D92F0D55C3A}"/>
    <cellStyle name="Normal 27" xfId="2172" xr:uid="{36520028-2908-4756-BB66-0C08F2B9715E}"/>
    <cellStyle name="Normal 27 2" xfId="4673" xr:uid="{75A589F4-23B6-4A97-AAB9-BC542D03198B}"/>
    <cellStyle name="Normal 28" xfId="2143" xr:uid="{0966DCF3-83EC-4692-9616-FECEED1FC19D}"/>
    <cellStyle name="Normal 28 2" xfId="2269" xr:uid="{85436D53-DF83-4D9D-9232-9F47D4D8C51E}"/>
    <cellStyle name="Normal 28 2 2" xfId="4717" xr:uid="{968DF470-00E3-4225-A6BD-F3DCF717A1D6}"/>
    <cellStyle name="Normal 28 3" xfId="2981" xr:uid="{EB3B4E19-3EDC-4A54-9C43-3A726FCD7092}"/>
    <cellStyle name="Normal 29" xfId="2152" xr:uid="{A012791C-C781-4D42-9A1D-7431DF51D819}"/>
    <cellStyle name="Normal 29 2" xfId="2990" xr:uid="{5BF2F6E7-272B-4FBB-A748-5A7414CCE214}"/>
    <cellStyle name="Normal 3" xfId="146" xr:uid="{00000000-0005-0000-0000-0000B4010000}"/>
    <cellStyle name="Normal 3 2" xfId="192" xr:uid="{00000000-0005-0000-0000-0000B5010000}"/>
    <cellStyle name="Normal 3 2 2" xfId="1362" xr:uid="{E95BF138-EC8B-4126-BAA7-BAE315DE79F1}"/>
    <cellStyle name="Normal 3 2 3" xfId="1361" xr:uid="{E450A9F4-BF8A-471E-9C0C-2A21DA9EB966}"/>
    <cellStyle name="Normal 3 3" xfId="1363" xr:uid="{DE21BD80-D77D-4A5D-9E1B-FF501AD6D10D}"/>
    <cellStyle name="Normal 3 3 10" xfId="2398" xr:uid="{EE8A4F57-DAFC-4A5B-B2AB-B8BFA324BC1D}"/>
    <cellStyle name="Normal 3 3 10 2" xfId="4833" xr:uid="{E9E743AF-101E-4BD4-BC77-185743C15636}"/>
    <cellStyle name="Normal 3 3 11" xfId="3963" xr:uid="{A2A470E7-028B-4F73-9E65-BE53B6C355FC}"/>
    <cellStyle name="Normal 3 3 2" xfId="1364" xr:uid="{0F83188D-59F6-4F7A-AE49-7DC3F10550E6}"/>
    <cellStyle name="Normal 3 3 2 2" xfId="1365" xr:uid="{759834E5-12CC-47CE-A1C3-132783DEFB71}"/>
    <cellStyle name="Normal 3 3 2 2 2" xfId="1366" xr:uid="{F99A84C1-C501-4189-A6A3-A81994771517}"/>
    <cellStyle name="Normal 3 3 2 2 2 2" xfId="1367" xr:uid="{371D3141-20FA-4006-A815-1E1D435254BB}"/>
    <cellStyle name="Normal 3 3 2 2 2 2 2" xfId="1368" xr:uid="{A716884D-5D18-41E8-BD3B-948CE8769A36}"/>
    <cellStyle name="Normal 3 3 2 2 2 2 2 2" xfId="2019" xr:uid="{CC681084-04D9-4625-B9D0-6D28BA7DD76C}"/>
    <cellStyle name="Normal 3 3 2 2 2 2 2 2 2" xfId="2857" xr:uid="{F33313BF-A1C2-45DE-968A-10C828A47155}"/>
    <cellStyle name="Normal 3 3 2 2 2 2 2 2 2 2" xfId="5292" xr:uid="{CFA9E721-B1E2-457B-A137-430861CA0A2E}"/>
    <cellStyle name="Normal 3 3 2 2 2 2 2 2 3" xfId="4536" xr:uid="{12D5B55F-26D8-421E-B12D-48CF3F0F9BA0}"/>
    <cellStyle name="Normal 3 3 2 2 2 2 2 3" xfId="2403" xr:uid="{40FB1E3D-79C0-4741-90A1-776097BFC2BF}"/>
    <cellStyle name="Normal 3 3 2 2 2 2 2 3 2" xfId="4838" xr:uid="{954D6A02-AB05-41EA-940E-B5B22FFF3D97}"/>
    <cellStyle name="Normal 3 3 2 2 2 2 2 4" xfId="3968" xr:uid="{0FF2E7DB-0AE7-44C5-B21A-E3E4A33A8708}"/>
    <cellStyle name="Normal 3 3 2 2 2 2 3" xfId="1849" xr:uid="{D30F4E70-3860-463F-8105-71D29D781F0C}"/>
    <cellStyle name="Normal 3 3 2 2 2 2 3 2" xfId="2687" xr:uid="{C7CCC6EA-161F-4F25-AC1F-F1F82C3FB49D}"/>
    <cellStyle name="Normal 3 3 2 2 2 2 3 2 2" xfId="5122" xr:uid="{02450BBA-59F1-4FA5-ADC6-6BF4E67FDD45}"/>
    <cellStyle name="Normal 3 3 2 2 2 2 3 3" xfId="4366" xr:uid="{B0AB3D4B-F8E4-4784-8889-A7D3315AC492}"/>
    <cellStyle name="Normal 3 3 2 2 2 2 4" xfId="2402" xr:uid="{F74A138B-AB39-4613-8474-46BAEE1290CA}"/>
    <cellStyle name="Normal 3 3 2 2 2 2 4 2" xfId="4837" xr:uid="{D5B1A4DE-B468-4D85-B40E-7AABAF31CB2A}"/>
    <cellStyle name="Normal 3 3 2 2 2 2 5" xfId="3967" xr:uid="{DAF40205-9F53-4285-BD1E-5BCFF5DB6B1A}"/>
    <cellStyle name="Normal 3 3 2 2 2 3" xfId="1369" xr:uid="{D91A1FA0-A59F-4F1B-8CFD-9832E7F4E2FB}"/>
    <cellStyle name="Normal 3 3 2 2 2 3 2" xfId="1370" xr:uid="{804BBE95-326C-4AF0-A23E-F7A73099862D}"/>
    <cellStyle name="Normal 3 3 2 2 2 3 2 2" xfId="2020" xr:uid="{0439F8B8-494F-4333-83E6-2220EECF78ED}"/>
    <cellStyle name="Normal 3 3 2 2 2 3 2 2 2" xfId="2858" xr:uid="{17BD0197-01C1-4BC5-A33F-2E4CEF9DFF5D}"/>
    <cellStyle name="Normal 3 3 2 2 2 3 2 2 2 2" xfId="5293" xr:uid="{18BC12D3-3BA7-42C9-8040-D59DF97B2B9F}"/>
    <cellStyle name="Normal 3 3 2 2 2 3 2 2 3" xfId="4537" xr:uid="{40A24C32-DD81-44CC-A4B2-89555DBAFF27}"/>
    <cellStyle name="Normal 3 3 2 2 2 3 2 3" xfId="2405" xr:uid="{4559754D-F333-4590-A20D-56169282588D}"/>
    <cellStyle name="Normal 3 3 2 2 2 3 2 3 2" xfId="4840" xr:uid="{82E385C4-CB86-402C-93DD-18527BFB15FD}"/>
    <cellStyle name="Normal 3 3 2 2 2 3 2 4" xfId="3970" xr:uid="{608CFF42-4626-4B59-B2FA-6308A1A90D4B}"/>
    <cellStyle name="Normal 3 3 2 2 2 3 3" xfId="1850" xr:uid="{292991B7-DAE1-4619-8C3C-D5656DA5BD4D}"/>
    <cellStyle name="Normal 3 3 2 2 2 3 3 2" xfId="2688" xr:uid="{1A2507BD-0F97-4C8D-A19B-20D0D1BC7FE1}"/>
    <cellStyle name="Normal 3 3 2 2 2 3 3 2 2" xfId="5123" xr:uid="{1ED7135E-7376-485D-B265-E2A337F25770}"/>
    <cellStyle name="Normal 3 3 2 2 2 3 3 3" xfId="4367" xr:uid="{DF06B914-10D3-400A-AAFD-77140C8EF5F6}"/>
    <cellStyle name="Normal 3 3 2 2 2 3 4" xfId="2404" xr:uid="{B959B3A4-0E50-46BC-820E-F2B82706E62B}"/>
    <cellStyle name="Normal 3 3 2 2 2 3 4 2" xfId="4839" xr:uid="{305CF1F4-FC55-44E3-B57E-E250EC135791}"/>
    <cellStyle name="Normal 3 3 2 2 2 3 5" xfId="3969" xr:uid="{FA1B0713-2FE0-46F7-97F6-E7C8F6A38E74}"/>
    <cellStyle name="Normal 3 3 2 2 2 4" xfId="1371" xr:uid="{9798BBFF-3C80-40DE-B5A4-0C235F7E6AB3}"/>
    <cellStyle name="Normal 3 3 2 2 2 4 2" xfId="2018" xr:uid="{6B9627F1-F829-4665-A0A1-0020F9FF01FA}"/>
    <cellStyle name="Normal 3 3 2 2 2 4 2 2" xfId="2856" xr:uid="{EC658A6D-EE36-44D2-A719-293B0A8C7578}"/>
    <cellStyle name="Normal 3 3 2 2 2 4 2 2 2" xfId="5291" xr:uid="{82455E6E-E87E-467A-AFE5-1EA81F5654BD}"/>
    <cellStyle name="Normal 3 3 2 2 2 4 2 3" xfId="4535" xr:uid="{554B9AD2-11FF-4681-AE1B-C2FC957597C5}"/>
    <cellStyle name="Normal 3 3 2 2 2 4 3" xfId="2406" xr:uid="{9E5AC42B-93D4-476F-8ACC-76D522E6E32A}"/>
    <cellStyle name="Normal 3 3 2 2 2 4 3 2" xfId="4841" xr:uid="{B74B76D0-C944-4DFE-9815-958AFA602C7A}"/>
    <cellStyle name="Normal 3 3 2 2 2 4 4" xfId="3971" xr:uid="{668BF051-2D4C-4261-AFF0-32F5F80913E4}"/>
    <cellStyle name="Normal 3 3 2 2 2 5" xfId="1848" xr:uid="{74098714-4C35-41FA-93B3-AE0A5BB7F900}"/>
    <cellStyle name="Normal 3 3 2 2 2 5 2" xfId="2686" xr:uid="{1A0F5E51-98B6-4D35-AC28-8F667A72F635}"/>
    <cellStyle name="Normal 3 3 2 2 2 5 2 2" xfId="5121" xr:uid="{ADF72E62-6813-45FB-92CE-EF827B9E906D}"/>
    <cellStyle name="Normal 3 3 2 2 2 5 3" xfId="4365" xr:uid="{C9DECD88-B81C-446E-8232-50A83F5CDAF5}"/>
    <cellStyle name="Normal 3 3 2 2 2 6" xfId="2401" xr:uid="{9D6052A4-D843-4ECC-9177-706255903C7F}"/>
    <cellStyle name="Normal 3 3 2 2 2 6 2" xfId="4836" xr:uid="{6FB5D8F9-67FD-4C06-B17C-D6070F46D88F}"/>
    <cellStyle name="Normal 3 3 2 2 2 7" xfId="3966" xr:uid="{A53C0133-AC39-44C5-B2B3-ED2D28E2C105}"/>
    <cellStyle name="Normal 3 3 2 2 3" xfId="1372" xr:uid="{A234CFF2-1C2D-455C-B337-B8C750DFE4F6}"/>
    <cellStyle name="Normal 3 3 2 2 3 2" xfId="1373" xr:uid="{460CD82E-016B-4F11-9D12-547AC6328CB0}"/>
    <cellStyle name="Normal 3 3 2 2 3 2 2" xfId="2021" xr:uid="{F890D85A-D80D-459B-AC59-6DAA10193A57}"/>
    <cellStyle name="Normal 3 3 2 2 3 2 2 2" xfId="2859" xr:uid="{6131104A-87B9-4FF1-90C7-3B44282CE61F}"/>
    <cellStyle name="Normal 3 3 2 2 3 2 2 2 2" xfId="5294" xr:uid="{3F8B6A50-7956-4C01-9E22-1CB4857E688A}"/>
    <cellStyle name="Normal 3 3 2 2 3 2 2 3" xfId="4538" xr:uid="{C45F519F-553E-4229-8AAA-57D5BEB9372A}"/>
    <cellStyle name="Normal 3 3 2 2 3 2 3" xfId="2408" xr:uid="{6C1DC172-272F-49CE-ADFA-7E95F2EC58A4}"/>
    <cellStyle name="Normal 3 3 2 2 3 2 3 2" xfId="4843" xr:uid="{C2621FB6-C352-4DAD-893B-ABD309A979F6}"/>
    <cellStyle name="Normal 3 3 2 2 3 2 4" xfId="3973" xr:uid="{9506EA24-00CD-409B-8CD5-8AADA57E74A0}"/>
    <cellStyle name="Normal 3 3 2 2 3 3" xfId="1851" xr:uid="{B3750FF9-4B38-471A-B9D4-CA5F2D1DD922}"/>
    <cellStyle name="Normal 3 3 2 2 3 3 2" xfId="2689" xr:uid="{B82228E5-520A-4196-85D9-FC4EECF36A2C}"/>
    <cellStyle name="Normal 3 3 2 2 3 3 2 2" xfId="5124" xr:uid="{02CB4759-1A1F-447E-817E-A363013528A1}"/>
    <cellStyle name="Normal 3 3 2 2 3 3 3" xfId="4368" xr:uid="{6C80C46B-6C32-41A3-8964-001618F3A09F}"/>
    <cellStyle name="Normal 3 3 2 2 3 4" xfId="2407" xr:uid="{2AEE3396-13CD-4EE5-9772-8235453B8FBA}"/>
    <cellStyle name="Normal 3 3 2 2 3 4 2" xfId="4842" xr:uid="{42FA7CD7-297A-402A-B9D9-3E3821B25607}"/>
    <cellStyle name="Normal 3 3 2 2 3 5" xfId="3972" xr:uid="{26E5F368-C3AF-4A88-9ABA-F4E3F58BB82B}"/>
    <cellStyle name="Normal 3 3 2 2 4" xfId="1374" xr:uid="{558838AD-B891-49C0-A44B-54549CF34381}"/>
    <cellStyle name="Normal 3 3 2 2 4 2" xfId="1375" xr:uid="{5254FD7B-D465-46CE-B9A6-41ED4C2DA124}"/>
    <cellStyle name="Normal 3 3 2 2 4 2 2" xfId="2022" xr:uid="{78AF0C9B-DE1B-438A-8C88-36B13A71A532}"/>
    <cellStyle name="Normal 3 3 2 2 4 2 2 2" xfId="2860" xr:uid="{0992A183-4699-4881-AAB2-9F190CA9920F}"/>
    <cellStyle name="Normal 3 3 2 2 4 2 2 2 2" xfId="5295" xr:uid="{0A5726D0-E966-475E-B34D-715D01ED8405}"/>
    <cellStyle name="Normal 3 3 2 2 4 2 2 3" xfId="4539" xr:uid="{45C6BA72-DD46-4E64-A49F-DB90E8AE3492}"/>
    <cellStyle name="Normal 3 3 2 2 4 2 3" xfId="2410" xr:uid="{34A32F75-92FE-44F2-8106-8BDD3FF5E011}"/>
    <cellStyle name="Normal 3 3 2 2 4 2 3 2" xfId="4845" xr:uid="{B4823CA4-8841-4D81-80B9-4809FDDB6A11}"/>
    <cellStyle name="Normal 3 3 2 2 4 2 4" xfId="3975" xr:uid="{8FE0A741-16E9-4806-BCC4-08F6C4F00B60}"/>
    <cellStyle name="Normal 3 3 2 2 4 3" xfId="1852" xr:uid="{030906E1-6E0C-4E19-ACFF-939F40039A85}"/>
    <cellStyle name="Normal 3 3 2 2 4 3 2" xfId="2690" xr:uid="{6D7C394A-5C3F-49D1-8F47-53DD08AABC81}"/>
    <cellStyle name="Normal 3 3 2 2 4 3 2 2" xfId="5125" xr:uid="{5762E750-55A9-428B-BD8E-8C9F76AAB245}"/>
    <cellStyle name="Normal 3 3 2 2 4 3 3" xfId="4369" xr:uid="{78446DD8-0480-45AF-B5AF-6F2E573A5F12}"/>
    <cellStyle name="Normal 3 3 2 2 4 4" xfId="2409" xr:uid="{84FE2ADC-35B4-43CD-8801-3C1D49226BAD}"/>
    <cellStyle name="Normal 3 3 2 2 4 4 2" xfId="4844" xr:uid="{84CB5046-A96F-42A3-B303-752E9D276EDE}"/>
    <cellStyle name="Normal 3 3 2 2 4 5" xfId="3974" xr:uid="{04BCA264-9A83-477D-A22A-82238AB8A0AC}"/>
    <cellStyle name="Normal 3 3 2 2 5" xfId="1376" xr:uid="{694FFB08-A071-4D2C-B896-E6BFB2D9FDF2}"/>
    <cellStyle name="Normal 3 3 2 2 5 2" xfId="2017" xr:uid="{4B3319FF-960C-4C40-84D1-97CD0224EF26}"/>
    <cellStyle name="Normal 3 3 2 2 5 2 2" xfId="2855" xr:uid="{EDDECF2E-9D1B-442F-BA2A-E7CB97B041A6}"/>
    <cellStyle name="Normal 3 3 2 2 5 2 2 2" xfId="5290" xr:uid="{D88130DF-A6A0-4DE0-8881-735460D0E180}"/>
    <cellStyle name="Normal 3 3 2 2 5 2 3" xfId="4534" xr:uid="{C57FE845-C66D-4CF8-B183-DE31D31642AD}"/>
    <cellStyle name="Normal 3 3 2 2 5 3" xfId="2411" xr:uid="{F650DBB1-F924-47EC-8D81-C8A3D306BEA9}"/>
    <cellStyle name="Normal 3 3 2 2 5 3 2" xfId="4846" xr:uid="{6B4DAFEC-0F62-4CC5-8E16-815DF639F8EA}"/>
    <cellStyle name="Normal 3 3 2 2 5 4" xfId="3976" xr:uid="{941AB9E0-EF01-4B38-9CA9-91BEED1DD542}"/>
    <cellStyle name="Normal 3 3 2 2 6" xfId="1847" xr:uid="{22F26185-5F0B-4C2E-8B2A-8B3E209E212B}"/>
    <cellStyle name="Normal 3 3 2 2 6 2" xfId="2685" xr:uid="{6778674C-94B4-4062-9B1E-D8114BECF793}"/>
    <cellStyle name="Normal 3 3 2 2 6 2 2" xfId="5120" xr:uid="{5E63F638-1FB6-4CA7-858F-03B7F029F2D5}"/>
    <cellStyle name="Normal 3 3 2 2 6 3" xfId="4364" xr:uid="{3FB38D1E-DF73-4E22-AD76-311250C77A5C}"/>
    <cellStyle name="Normal 3 3 2 2 7" xfId="2400" xr:uid="{B8874235-9249-4B55-B278-615063BFD6A3}"/>
    <cellStyle name="Normal 3 3 2 2 7 2" xfId="4835" xr:uid="{7C26CE80-7CF3-4937-86F2-522C6C79800A}"/>
    <cellStyle name="Normal 3 3 2 2 8" xfId="3965" xr:uid="{4C837BF1-CB45-41C8-8883-8FEB38888E04}"/>
    <cellStyle name="Normal 3 3 2 3" xfId="1377" xr:uid="{9E646299-9071-47CE-875C-CB9F718A87E3}"/>
    <cellStyle name="Normal 3 3 2 3 2" xfId="1378" xr:uid="{5971A4E9-CE60-4BAF-848E-A2C0C974ABC8}"/>
    <cellStyle name="Normal 3 3 2 3 2 2" xfId="1379" xr:uid="{0C4EF543-A86D-49F0-9D60-37D86F9AC571}"/>
    <cellStyle name="Normal 3 3 2 3 2 2 2" xfId="2024" xr:uid="{622EBD24-C6BF-40A3-919C-C345CD80652F}"/>
    <cellStyle name="Normal 3 3 2 3 2 2 2 2" xfId="2862" xr:uid="{4DE4427F-4AD1-40D0-85BE-B1B7B66F1823}"/>
    <cellStyle name="Normal 3 3 2 3 2 2 2 2 2" xfId="5297" xr:uid="{BD07D6F2-3268-4BDA-AECB-A2E82C7FE5C6}"/>
    <cellStyle name="Normal 3 3 2 3 2 2 2 3" xfId="4541" xr:uid="{95522FD4-E085-4567-95D7-1C67AD99E6CD}"/>
    <cellStyle name="Normal 3 3 2 3 2 2 3" xfId="2414" xr:uid="{40D807B2-00B1-4DD6-9298-7633C57B9C3F}"/>
    <cellStyle name="Normal 3 3 2 3 2 2 3 2" xfId="4849" xr:uid="{ED3A7770-F8D8-4E8B-AB1C-0109A02A247A}"/>
    <cellStyle name="Normal 3 3 2 3 2 2 4" xfId="3979" xr:uid="{91E182AE-3ADA-4F89-8723-41125B523EF2}"/>
    <cellStyle name="Normal 3 3 2 3 2 3" xfId="1854" xr:uid="{CB6F9962-FE52-46B5-AC4B-0BF8780077E3}"/>
    <cellStyle name="Normal 3 3 2 3 2 3 2" xfId="2692" xr:uid="{30A03748-AF51-4C46-9815-FDB5E1BF8369}"/>
    <cellStyle name="Normal 3 3 2 3 2 3 2 2" xfId="5127" xr:uid="{FE573459-FFA6-456F-977E-1BE10A34A450}"/>
    <cellStyle name="Normal 3 3 2 3 2 3 3" xfId="4371" xr:uid="{90F8BBDC-4913-42AD-8954-D0D42B3BD625}"/>
    <cellStyle name="Normal 3 3 2 3 2 4" xfId="2413" xr:uid="{7A6D1666-9648-42A7-AC88-77972A58FBF3}"/>
    <cellStyle name="Normal 3 3 2 3 2 4 2" xfId="4848" xr:uid="{AC157069-8C19-4E77-A127-839C6252BD02}"/>
    <cellStyle name="Normal 3 3 2 3 2 5" xfId="3978" xr:uid="{6C583C14-8B6D-4159-BD95-E143BEA2F79A}"/>
    <cellStyle name="Normal 3 3 2 3 3" xfId="1380" xr:uid="{F6C2FBA6-EAF3-4873-AB26-5A40827081E1}"/>
    <cellStyle name="Normal 3 3 2 3 3 2" xfId="1381" xr:uid="{81E4CBD5-D859-45ED-92E5-0D4C865BEE2C}"/>
    <cellStyle name="Normal 3 3 2 3 3 2 2" xfId="2025" xr:uid="{05D37E65-D135-4D09-B980-81C8158AFF78}"/>
    <cellStyle name="Normal 3 3 2 3 3 2 2 2" xfId="2863" xr:uid="{7CED1F02-CB70-436E-B661-E06EDB06714E}"/>
    <cellStyle name="Normal 3 3 2 3 3 2 2 2 2" xfId="5298" xr:uid="{0BF82CD9-3991-4A34-828D-DC8F230ACB00}"/>
    <cellStyle name="Normal 3 3 2 3 3 2 2 3" xfId="4542" xr:uid="{EE5FFFED-74C5-4D69-842C-5E9FACE0DD85}"/>
    <cellStyle name="Normal 3 3 2 3 3 2 3" xfId="2416" xr:uid="{FCC0642B-1893-450F-B0D0-12F23CD024E9}"/>
    <cellStyle name="Normal 3 3 2 3 3 2 3 2" xfId="4851" xr:uid="{746E3F40-D99D-4BE1-8C2F-CA1CCC1E1FBF}"/>
    <cellStyle name="Normal 3 3 2 3 3 2 4" xfId="3981" xr:uid="{C222E611-3BD3-47CD-9503-1830EAF9FBE8}"/>
    <cellStyle name="Normal 3 3 2 3 3 3" xfId="1855" xr:uid="{FC30AD62-46E4-4415-9080-14FA74A8FD3B}"/>
    <cellStyle name="Normal 3 3 2 3 3 3 2" xfId="2693" xr:uid="{AD6C90D9-AC05-4EF0-AFF1-0640321E6AA6}"/>
    <cellStyle name="Normal 3 3 2 3 3 3 2 2" xfId="5128" xr:uid="{26CA5FB4-0B2F-4F99-A331-6408EC92D6CE}"/>
    <cellStyle name="Normal 3 3 2 3 3 3 3" xfId="4372" xr:uid="{A40F1059-4810-455E-8254-9575C5D9145C}"/>
    <cellStyle name="Normal 3 3 2 3 3 4" xfId="2415" xr:uid="{C64228C9-551A-4644-80FF-CFB09AA9E5AD}"/>
    <cellStyle name="Normal 3 3 2 3 3 4 2" xfId="4850" xr:uid="{639C9D9F-90CA-4320-AA94-2D36B6B2C69A}"/>
    <cellStyle name="Normal 3 3 2 3 3 5" xfId="3980" xr:uid="{4DDCCD19-BDF2-4397-A60C-6A316C892286}"/>
    <cellStyle name="Normal 3 3 2 3 4" xfId="1382" xr:uid="{9A8FAC42-F61A-4F8A-B54C-5F576BC2168C}"/>
    <cellStyle name="Normal 3 3 2 3 4 2" xfId="2023" xr:uid="{9FBB4BC7-0355-43DC-9F93-0171F73DB762}"/>
    <cellStyle name="Normal 3 3 2 3 4 2 2" xfId="2861" xr:uid="{9BA7ABA5-3356-4BB9-940C-39D82CAC4D5E}"/>
    <cellStyle name="Normal 3 3 2 3 4 2 2 2" xfId="5296" xr:uid="{BB7D5683-C5E9-436F-8674-CF94D727990F}"/>
    <cellStyle name="Normal 3 3 2 3 4 2 3" xfId="4540" xr:uid="{06C2B971-72A2-4AC5-9677-6E8C4DBDF261}"/>
    <cellStyle name="Normal 3 3 2 3 4 3" xfId="2417" xr:uid="{1B08934E-3BC1-4031-B3F4-1475FC4A1A33}"/>
    <cellStyle name="Normal 3 3 2 3 4 3 2" xfId="4852" xr:uid="{67DD652C-0998-4BE8-8514-9DB40450567D}"/>
    <cellStyle name="Normal 3 3 2 3 4 4" xfId="3982" xr:uid="{152B70FB-BF31-427F-B33B-0BF7371CA649}"/>
    <cellStyle name="Normal 3 3 2 3 5" xfId="1853" xr:uid="{9C65F635-5E9D-499D-9153-18F3A47E9B6E}"/>
    <cellStyle name="Normal 3 3 2 3 5 2" xfId="2691" xr:uid="{7727E666-B809-476D-B1C8-FABF24DFADB1}"/>
    <cellStyle name="Normal 3 3 2 3 5 2 2" xfId="5126" xr:uid="{90DDC1CC-7FBE-403B-9959-DB451923D97D}"/>
    <cellStyle name="Normal 3 3 2 3 5 3" xfId="4370" xr:uid="{BF331C17-CD4B-4A6C-8021-05C21D9FE6D4}"/>
    <cellStyle name="Normal 3 3 2 3 6" xfId="2412" xr:uid="{B9C594A7-0C53-4361-9AD9-65C2E7B033BB}"/>
    <cellStyle name="Normal 3 3 2 3 6 2" xfId="4847" xr:uid="{187750B3-692C-42E1-A49A-B4BDF222E179}"/>
    <cellStyle name="Normal 3 3 2 3 7" xfId="3977" xr:uid="{444555AC-528B-4049-895A-0E439ED8B1A9}"/>
    <cellStyle name="Normal 3 3 2 4" xfId="1383" xr:uid="{0F19C2C0-6E4D-4772-8918-8CA18A7B3711}"/>
    <cellStyle name="Normal 3 3 2 4 2" xfId="1384" xr:uid="{19D776C1-8855-4909-868A-0F9451498F46}"/>
    <cellStyle name="Normal 3 3 2 4 2 2" xfId="2026" xr:uid="{76412578-90D6-4D5E-8697-53219052C296}"/>
    <cellStyle name="Normal 3 3 2 4 2 2 2" xfId="2864" xr:uid="{5B52B92D-31BB-44EA-8328-7F035AF28FE1}"/>
    <cellStyle name="Normal 3 3 2 4 2 2 2 2" xfId="5299" xr:uid="{A33683F7-DA3F-414B-B231-97014C1DE06B}"/>
    <cellStyle name="Normal 3 3 2 4 2 2 3" xfId="4543" xr:uid="{CB0C3EAF-E883-4CEA-99FE-B34B65A7201F}"/>
    <cellStyle name="Normal 3 3 2 4 2 3" xfId="2419" xr:uid="{E1A1F1D1-F1F2-4C72-932B-4C6E7AE35F3F}"/>
    <cellStyle name="Normal 3 3 2 4 2 3 2" xfId="4854" xr:uid="{D2C03B6D-3EFD-4350-9497-C2C8329DF70A}"/>
    <cellStyle name="Normal 3 3 2 4 2 4" xfId="3984" xr:uid="{527D145A-A673-458C-87B1-0EE393FE69F8}"/>
    <cellStyle name="Normal 3 3 2 4 3" xfId="1856" xr:uid="{D1FEC553-A1B0-4DC3-A991-D91157B3F9DA}"/>
    <cellStyle name="Normal 3 3 2 4 3 2" xfId="2694" xr:uid="{7E416316-F6F2-495C-B81D-C65859CC9E40}"/>
    <cellStyle name="Normal 3 3 2 4 3 2 2" xfId="5129" xr:uid="{3D9EFB13-80E3-46A9-9C38-AF06AE376D21}"/>
    <cellStyle name="Normal 3 3 2 4 3 3" xfId="4373" xr:uid="{702ACB96-24C4-4B31-A47B-36F12C43A89A}"/>
    <cellStyle name="Normal 3 3 2 4 4" xfId="2418" xr:uid="{D5ECD61F-6467-4E80-95C9-5D4CB13401A4}"/>
    <cellStyle name="Normal 3 3 2 4 4 2" xfId="4853" xr:uid="{773EDEB5-FB7F-46D9-A806-090FB40BE244}"/>
    <cellStyle name="Normal 3 3 2 4 5" xfId="3983" xr:uid="{3DD5E243-70CF-46B5-9A75-87BBE6AF5F86}"/>
    <cellStyle name="Normal 3 3 2 5" xfId="1385" xr:uid="{12532105-58D3-49AF-9BC8-CDDDDDF81BC6}"/>
    <cellStyle name="Normal 3 3 2 5 2" xfId="1386" xr:uid="{49AB1983-DBDF-4870-ADA5-6D8EDF254443}"/>
    <cellStyle name="Normal 3 3 2 5 2 2" xfId="2027" xr:uid="{0BD12298-816D-4957-B9AB-7EB556C17262}"/>
    <cellStyle name="Normal 3 3 2 5 2 2 2" xfId="2865" xr:uid="{A430D704-F896-497A-88F4-A7A46619E113}"/>
    <cellStyle name="Normal 3 3 2 5 2 2 2 2" xfId="5300" xr:uid="{461B4B0F-7818-4C73-865A-D4F6AE0AA993}"/>
    <cellStyle name="Normal 3 3 2 5 2 2 3" xfId="4544" xr:uid="{1A2E0D5C-76CD-4E3D-BC1F-0B5D4E5D6AB4}"/>
    <cellStyle name="Normal 3 3 2 5 2 3" xfId="2421" xr:uid="{A238F1B8-F5A1-4B61-BE01-130FAB7EB180}"/>
    <cellStyle name="Normal 3 3 2 5 2 3 2" xfId="4856" xr:uid="{A5F1524A-77A2-40E2-93F4-6397AE469D64}"/>
    <cellStyle name="Normal 3 3 2 5 2 4" xfId="3986" xr:uid="{AAF868EB-BFC6-406E-BC83-CD0BB8017834}"/>
    <cellStyle name="Normal 3 3 2 5 3" xfId="1857" xr:uid="{E922040E-B319-4E1D-AB1A-3385045323B1}"/>
    <cellStyle name="Normal 3 3 2 5 3 2" xfId="2695" xr:uid="{4A7AA488-8438-4AB7-ACD2-7FFF3E3E804D}"/>
    <cellStyle name="Normal 3 3 2 5 3 2 2" xfId="5130" xr:uid="{D35B69BC-E0AA-464F-8220-C89AF0071AAD}"/>
    <cellStyle name="Normal 3 3 2 5 3 3" xfId="4374" xr:uid="{0F590E2F-0B8F-4BBD-BE32-3D157832F4C4}"/>
    <cellStyle name="Normal 3 3 2 5 4" xfId="2420" xr:uid="{BF628853-D550-4E12-A984-3F6B70FB361B}"/>
    <cellStyle name="Normal 3 3 2 5 4 2" xfId="4855" xr:uid="{9E117595-B52B-4FE7-8188-766E0F464C09}"/>
    <cellStyle name="Normal 3 3 2 5 5" xfId="3985" xr:uid="{E806296A-FA13-4174-A934-FAC45E240AD8}"/>
    <cellStyle name="Normal 3 3 2 6" xfId="1387" xr:uid="{5BB219D4-D48F-4498-B91C-A7F16D48247B}"/>
    <cellStyle name="Normal 3 3 2 6 2" xfId="2016" xr:uid="{9905FAB7-2B27-4EA8-AD42-55ED7182DC33}"/>
    <cellStyle name="Normal 3 3 2 6 2 2" xfId="2854" xr:uid="{7CEA0144-721C-45AB-9D0C-85E0D6F55EAA}"/>
    <cellStyle name="Normal 3 3 2 6 2 2 2" xfId="5289" xr:uid="{2C5FE015-E818-40B1-AA79-34CF34F52633}"/>
    <cellStyle name="Normal 3 3 2 6 2 3" xfId="4533" xr:uid="{E5CF073B-BA18-45A4-97A4-AB272141F422}"/>
    <cellStyle name="Normal 3 3 2 6 3" xfId="2422" xr:uid="{DF796354-4C57-412C-B9F4-627198409566}"/>
    <cellStyle name="Normal 3 3 2 6 3 2" xfId="4857" xr:uid="{A542B101-D715-436B-BE9F-DEDDC4581CB4}"/>
    <cellStyle name="Normal 3 3 2 6 4" xfId="3987" xr:uid="{DBFF707F-2829-4743-B7EC-716B2DAE501A}"/>
    <cellStyle name="Normal 3 3 2 7" xfId="1846" xr:uid="{6BDD0BF2-E45F-4E0A-BD10-A1E9C3B40713}"/>
    <cellStyle name="Normal 3 3 2 7 2" xfId="2684" xr:uid="{7B7DBCF5-5107-4509-8D53-EE9EA18B6B10}"/>
    <cellStyle name="Normal 3 3 2 7 2 2" xfId="5119" xr:uid="{FF0FB19D-FDF5-4BEC-92C8-B4447A380F25}"/>
    <cellStyle name="Normal 3 3 2 7 3" xfId="4363" xr:uid="{188DD831-92FC-4DAB-BB77-46DD82D11423}"/>
    <cellStyle name="Normal 3 3 2 8" xfId="2399" xr:uid="{E5E68E8B-5AB2-480E-8AA3-9EBFF56075C8}"/>
    <cellStyle name="Normal 3 3 2 8 2" xfId="4834" xr:uid="{03A5807C-CA3B-4371-A8D0-A71BE955F933}"/>
    <cellStyle name="Normal 3 3 2 9" xfId="3964" xr:uid="{EE98FE74-D3E2-4BEE-BA29-98104272FA1D}"/>
    <cellStyle name="Normal 3 3 3" xfId="1388" xr:uid="{0CC65822-6018-4AD3-BEED-50B108768825}"/>
    <cellStyle name="Normal 3 3 3 2" xfId="1389" xr:uid="{B345805B-BE29-4320-B23D-2CF59B80C1D1}"/>
    <cellStyle name="Normal 3 3 3 2 2" xfId="1390" xr:uid="{2E1CECD1-05D0-4658-AC67-93CF9F2E7544}"/>
    <cellStyle name="Normal 3 3 3 2 2 2" xfId="1391" xr:uid="{EF5E57FD-207F-4D76-9618-4DB94125D63F}"/>
    <cellStyle name="Normal 3 3 3 2 2 2 2" xfId="2030" xr:uid="{550C94AB-C523-4C67-9316-705C9A62EBEA}"/>
    <cellStyle name="Normal 3 3 3 2 2 2 2 2" xfId="2868" xr:uid="{E6A62025-7119-4CE5-B580-C5195A05AAF3}"/>
    <cellStyle name="Normal 3 3 3 2 2 2 2 2 2" xfId="5303" xr:uid="{C6A2EE3B-9F8C-491A-99E0-EDC66D68CF64}"/>
    <cellStyle name="Normal 3 3 3 2 2 2 2 3" xfId="4547" xr:uid="{389BC446-A80B-4FDA-B624-DFE5237BF46C}"/>
    <cellStyle name="Normal 3 3 3 2 2 2 3" xfId="2426" xr:uid="{395D0B2B-CC10-44EF-87F1-B6016282C20A}"/>
    <cellStyle name="Normal 3 3 3 2 2 2 3 2" xfId="4861" xr:uid="{9440481D-FF4F-4FEC-B6BD-931ACC6130E9}"/>
    <cellStyle name="Normal 3 3 3 2 2 2 4" xfId="3991" xr:uid="{31E09830-7B40-4E49-8601-ACC6AEF03538}"/>
    <cellStyle name="Normal 3 3 3 2 2 3" xfId="1860" xr:uid="{66A1C5AF-BE81-4661-ACEF-FA20ED04C7B2}"/>
    <cellStyle name="Normal 3 3 3 2 2 3 2" xfId="2698" xr:uid="{F798B1E1-E16A-41C9-9006-D8FA9D43D97E}"/>
    <cellStyle name="Normal 3 3 3 2 2 3 2 2" xfId="5133" xr:uid="{6A3E46B3-B3F8-4026-BBC1-A9AFD67D6351}"/>
    <cellStyle name="Normal 3 3 3 2 2 3 3" xfId="4377" xr:uid="{8F31EAF1-6906-45F9-B7B9-DA948DAE433B}"/>
    <cellStyle name="Normal 3 3 3 2 2 4" xfId="2425" xr:uid="{454470E2-1D82-43E9-876C-A18D007F2B3B}"/>
    <cellStyle name="Normal 3 3 3 2 2 4 2" xfId="4860" xr:uid="{A697C5EA-E1AA-4E1C-8195-6331829C6DAA}"/>
    <cellStyle name="Normal 3 3 3 2 2 5" xfId="3990" xr:uid="{9411DCE0-B1C2-41C6-BBF8-3CBF7B05EE26}"/>
    <cellStyle name="Normal 3 3 3 2 3" xfId="1392" xr:uid="{C0AEAA8D-ACF9-42AD-9D74-60113D77D974}"/>
    <cellStyle name="Normal 3 3 3 2 3 2" xfId="1393" xr:uid="{86B77B54-7DA7-4C48-ADF5-E9627230FD7C}"/>
    <cellStyle name="Normal 3 3 3 2 3 2 2" xfId="2031" xr:uid="{3BC38A8C-B6D4-49B4-850A-8D0277C90846}"/>
    <cellStyle name="Normal 3 3 3 2 3 2 2 2" xfId="2869" xr:uid="{4A4CF0BD-3E23-45FE-ACCA-8A46082EFB2F}"/>
    <cellStyle name="Normal 3 3 3 2 3 2 2 2 2" xfId="5304" xr:uid="{AE6AE019-4EB6-49EF-B952-BC3CBB9D3B4A}"/>
    <cellStyle name="Normal 3 3 3 2 3 2 2 3" xfId="4548" xr:uid="{8E2F33A5-68F4-4052-8353-0C32862DB887}"/>
    <cellStyle name="Normal 3 3 3 2 3 2 3" xfId="2428" xr:uid="{AD9E1390-C0F9-439D-942B-6C0CC94BAD72}"/>
    <cellStyle name="Normal 3 3 3 2 3 2 3 2" xfId="4863" xr:uid="{758CB285-FC5D-4C1B-B125-5B18D329966F}"/>
    <cellStyle name="Normal 3 3 3 2 3 2 4" xfId="3993" xr:uid="{A9830622-29F3-4DB5-A7A8-7985C50B9EED}"/>
    <cellStyle name="Normal 3 3 3 2 3 3" xfId="1861" xr:uid="{20541832-2B18-4F4B-A48D-B402CC58A4C1}"/>
    <cellStyle name="Normal 3 3 3 2 3 3 2" xfId="2699" xr:uid="{A8D329B8-30CE-4E9A-B2DA-179CAF57AFE0}"/>
    <cellStyle name="Normal 3 3 3 2 3 3 2 2" xfId="5134" xr:uid="{5AA61746-7643-44FD-B299-32233CFBB64D}"/>
    <cellStyle name="Normal 3 3 3 2 3 3 3" xfId="4378" xr:uid="{F334818A-E174-43A8-B1F0-5187E80F2A16}"/>
    <cellStyle name="Normal 3 3 3 2 3 4" xfId="2427" xr:uid="{ECA72615-EB3A-47CF-A092-0D2D656471F0}"/>
    <cellStyle name="Normal 3 3 3 2 3 4 2" xfId="4862" xr:uid="{F25C970F-8AF2-4BF9-A2BB-0A10116F2BF3}"/>
    <cellStyle name="Normal 3 3 3 2 3 5" xfId="3992" xr:uid="{E26E5103-39B2-4121-AB66-B669225264FD}"/>
    <cellStyle name="Normal 3 3 3 2 4" xfId="1394" xr:uid="{C2B78745-F30F-4956-B81F-AC5714F8853A}"/>
    <cellStyle name="Normal 3 3 3 2 4 2" xfId="2029" xr:uid="{6B1AA520-7702-4AE5-BD72-5CC570389C94}"/>
    <cellStyle name="Normal 3 3 3 2 4 2 2" xfId="2867" xr:uid="{943266A9-52E9-431F-B60B-257E8A8E28E7}"/>
    <cellStyle name="Normal 3 3 3 2 4 2 2 2" xfId="5302" xr:uid="{B5ECC629-A1B5-4359-93DE-AB7D11E95826}"/>
    <cellStyle name="Normal 3 3 3 2 4 2 3" xfId="4546" xr:uid="{F149AA8B-887F-45DB-84CC-06FD7CCBD622}"/>
    <cellStyle name="Normal 3 3 3 2 4 3" xfId="2429" xr:uid="{C935C4C2-0808-4228-B207-F70C348BF360}"/>
    <cellStyle name="Normal 3 3 3 2 4 3 2" xfId="4864" xr:uid="{812521F2-50B5-4EC0-AF06-3DB30EA31028}"/>
    <cellStyle name="Normal 3 3 3 2 4 4" xfId="3994" xr:uid="{F5C8DF2C-E506-4110-BA77-DC00197F2F2E}"/>
    <cellStyle name="Normal 3 3 3 2 5" xfId="1859" xr:uid="{FAA60FC3-FCDB-44F1-A024-494A1A71947A}"/>
    <cellStyle name="Normal 3 3 3 2 5 2" xfId="2697" xr:uid="{B2E6B3E8-4FFB-4B58-8340-BE41D06C4338}"/>
    <cellStyle name="Normal 3 3 3 2 5 2 2" xfId="5132" xr:uid="{F490E469-4BCF-4FCF-A470-13AD3FB14597}"/>
    <cellStyle name="Normal 3 3 3 2 5 3" xfId="4376" xr:uid="{9455BE75-D352-452B-936A-1C25D32E5FD2}"/>
    <cellStyle name="Normal 3 3 3 2 6" xfId="2424" xr:uid="{BD724376-33AB-46C7-8556-2ACBACC54D87}"/>
    <cellStyle name="Normal 3 3 3 2 6 2" xfId="4859" xr:uid="{57D990F2-9B13-44B1-971F-84A3B1FB7509}"/>
    <cellStyle name="Normal 3 3 3 2 7" xfId="3989" xr:uid="{BEB287E9-63E6-40B5-BD04-BB3775E59C72}"/>
    <cellStyle name="Normal 3 3 3 3" xfId="1395" xr:uid="{ABF5A777-E298-4F3F-81BF-6D81D22425DB}"/>
    <cellStyle name="Normal 3 3 3 3 2" xfId="1396" xr:uid="{023CBD84-C0DC-48AB-81D7-5DACAF5EA25A}"/>
    <cellStyle name="Normal 3 3 3 3 2 2" xfId="2032" xr:uid="{9C113D9A-1ADB-4654-B1D4-309365077908}"/>
    <cellStyle name="Normal 3 3 3 3 2 2 2" xfId="2870" xr:uid="{9FDB09DE-C31E-4202-B469-DF10A5E3A6A6}"/>
    <cellStyle name="Normal 3 3 3 3 2 2 2 2" xfId="5305" xr:uid="{991D45FB-314F-4AA5-9CB2-D4B871C2099E}"/>
    <cellStyle name="Normal 3 3 3 3 2 2 3" xfId="4549" xr:uid="{6AED4C29-00EF-4DAE-B391-D84A8633F9D6}"/>
    <cellStyle name="Normal 3 3 3 3 2 3" xfId="2431" xr:uid="{6736E1B7-5F31-40AE-B49A-6CE381573624}"/>
    <cellStyle name="Normal 3 3 3 3 2 3 2" xfId="4866" xr:uid="{356B823C-B1D9-4791-A219-5EA9D60B7650}"/>
    <cellStyle name="Normal 3 3 3 3 2 4" xfId="3996" xr:uid="{0FA178D6-BA45-4F8D-8010-A4D65657EC70}"/>
    <cellStyle name="Normal 3 3 3 3 3" xfId="1862" xr:uid="{BD96C497-2099-4EED-AB7E-A7F04C07BC08}"/>
    <cellStyle name="Normal 3 3 3 3 3 2" xfId="2700" xr:uid="{451C3D7B-96D5-4131-8F7E-A85808D0292A}"/>
    <cellStyle name="Normal 3 3 3 3 3 2 2" xfId="5135" xr:uid="{10DB7200-3D1A-49DF-AB27-566013AA5770}"/>
    <cellStyle name="Normal 3 3 3 3 3 3" xfId="4379" xr:uid="{E29B75B2-393B-452E-A9A2-16962696D0F7}"/>
    <cellStyle name="Normal 3 3 3 3 4" xfId="2430" xr:uid="{A5BCB04E-D70E-4BB0-B10A-BB65972E7B29}"/>
    <cellStyle name="Normal 3 3 3 3 4 2" xfId="4865" xr:uid="{819E1D14-1074-44DC-A92F-B776C73C8F2C}"/>
    <cellStyle name="Normal 3 3 3 3 5" xfId="3995" xr:uid="{52DB22B3-B095-49EC-B9EB-03C5FA58C378}"/>
    <cellStyle name="Normal 3 3 3 4" xfId="1397" xr:uid="{40BD5AE2-3EBE-4349-BF30-979A77A63EE8}"/>
    <cellStyle name="Normal 3 3 3 4 2" xfId="1398" xr:uid="{10EEEA97-B10D-4341-BCEB-067984293A34}"/>
    <cellStyle name="Normal 3 3 3 4 2 2" xfId="2033" xr:uid="{9CA62220-2C57-44C3-B214-04D21803E4E0}"/>
    <cellStyle name="Normal 3 3 3 4 2 2 2" xfId="2871" xr:uid="{01F7842F-B05F-4314-BC6B-1652097BA9A1}"/>
    <cellStyle name="Normal 3 3 3 4 2 2 2 2" xfId="5306" xr:uid="{1E9F2FA6-6BD3-4E18-948E-1761DCAA92CB}"/>
    <cellStyle name="Normal 3 3 3 4 2 2 3" xfId="4550" xr:uid="{D28CBA88-1C0B-425D-94B3-9195BD68AB92}"/>
    <cellStyle name="Normal 3 3 3 4 2 3" xfId="2433" xr:uid="{1BE9D149-0876-4D3B-9302-153A8DE0EE07}"/>
    <cellStyle name="Normal 3 3 3 4 2 3 2" xfId="4868" xr:uid="{2E7BFFD2-BFD8-40A9-9255-3C0DB530CBE9}"/>
    <cellStyle name="Normal 3 3 3 4 2 4" xfId="3998" xr:uid="{3D3EBB32-7C9C-4C1D-8C7E-14725521C0FE}"/>
    <cellStyle name="Normal 3 3 3 4 3" xfId="1863" xr:uid="{C570D1D8-2225-457A-96CB-A21D9BEE642B}"/>
    <cellStyle name="Normal 3 3 3 4 3 2" xfId="2701" xr:uid="{8014204A-1F6B-4B38-AC9F-BE6AD705BFF2}"/>
    <cellStyle name="Normal 3 3 3 4 3 2 2" xfId="5136" xr:uid="{38D29A9B-8BFC-4DA7-ADC8-8F4261F5CFF2}"/>
    <cellStyle name="Normal 3 3 3 4 3 3" xfId="4380" xr:uid="{AA2C09F5-9844-48CE-96F5-2822CEE9D204}"/>
    <cellStyle name="Normal 3 3 3 4 4" xfId="2432" xr:uid="{56DA3CAC-4A9A-4776-9A77-0D1CA609C84F}"/>
    <cellStyle name="Normal 3 3 3 4 4 2" xfId="4867" xr:uid="{AA037899-3F5C-4712-AB18-94844E8F98FC}"/>
    <cellStyle name="Normal 3 3 3 4 5" xfId="3997" xr:uid="{0886BDAB-C692-4970-BA48-A05E027F1F96}"/>
    <cellStyle name="Normal 3 3 3 5" xfId="1399" xr:uid="{2FD49DC2-8403-458F-9495-3E73A964CD30}"/>
    <cellStyle name="Normal 3 3 3 5 2" xfId="2028" xr:uid="{9D20D726-B842-45A3-B257-0F3C38CD7791}"/>
    <cellStyle name="Normal 3 3 3 5 2 2" xfId="2866" xr:uid="{6BE51D6A-5597-4B91-8E1A-C55BA69BC2B9}"/>
    <cellStyle name="Normal 3 3 3 5 2 2 2" xfId="5301" xr:uid="{BE8354C1-27F7-4B10-8577-30F4AA6EF530}"/>
    <cellStyle name="Normal 3 3 3 5 2 3" xfId="4545" xr:uid="{0E3F18AA-BD8A-49EA-8BAD-748C40E2B485}"/>
    <cellStyle name="Normal 3 3 3 5 3" xfId="2434" xr:uid="{CD7AC8E3-BFE9-4917-8755-91CA8F57B55C}"/>
    <cellStyle name="Normal 3 3 3 5 3 2" xfId="4869" xr:uid="{CD6941E3-08C3-4FAC-AC36-4F103519694A}"/>
    <cellStyle name="Normal 3 3 3 5 4" xfId="3999" xr:uid="{05415FA5-A476-470D-800A-49C8E2BBB891}"/>
    <cellStyle name="Normal 3 3 3 6" xfId="1858" xr:uid="{1F3B2A2B-BEE2-41A8-9892-7ADF7D2AC059}"/>
    <cellStyle name="Normal 3 3 3 6 2" xfId="2696" xr:uid="{EF5F2BC7-5C81-494B-A88A-8DFFC1203ACE}"/>
    <cellStyle name="Normal 3 3 3 6 2 2" xfId="5131" xr:uid="{2652E7DD-6D9C-43B2-8435-BA2F4A7D0934}"/>
    <cellStyle name="Normal 3 3 3 6 3" xfId="4375" xr:uid="{A03ADE6C-ECEB-4C9D-8597-F77A02A1796C}"/>
    <cellStyle name="Normal 3 3 3 7" xfId="2423" xr:uid="{56A04BB6-FB35-4914-91C2-D54F894C9F87}"/>
    <cellStyle name="Normal 3 3 3 7 2" xfId="4858" xr:uid="{BE0109C5-8080-498A-A191-4EDB1F10C686}"/>
    <cellStyle name="Normal 3 3 3 8" xfId="3988" xr:uid="{6025AE90-5BD1-4BF2-B1EA-3C9E9783F915}"/>
    <cellStyle name="Normal 3 3 4" xfId="1400" xr:uid="{29872488-CEAF-4C2C-93A6-44F222264F6A}"/>
    <cellStyle name="Normal 3 3 4 2" xfId="1401" xr:uid="{841D2281-2D89-4917-A61E-78EEE297ACD8}"/>
    <cellStyle name="Normal 3 3 4 2 2" xfId="1402" xr:uid="{78ABC845-D82D-4A48-AA17-B76E92CBFD5D}"/>
    <cellStyle name="Normal 3 3 4 2 2 2" xfId="2035" xr:uid="{FF942B22-9338-42F5-A179-4E56B1628873}"/>
    <cellStyle name="Normal 3 3 4 2 2 2 2" xfId="2873" xr:uid="{075A1E6F-0CC4-4401-9044-B22B7C274A5E}"/>
    <cellStyle name="Normal 3 3 4 2 2 2 2 2" xfId="5308" xr:uid="{CDA9CACB-A5A7-4BD9-BB5E-C3A3E3752C40}"/>
    <cellStyle name="Normal 3 3 4 2 2 2 3" xfId="4552" xr:uid="{1CE1B4F0-B1E5-4C6D-8368-291DE7ADF0ED}"/>
    <cellStyle name="Normal 3 3 4 2 2 3" xfId="2437" xr:uid="{0742E5C0-69C4-424A-8120-54366EAF181D}"/>
    <cellStyle name="Normal 3 3 4 2 2 3 2" xfId="4872" xr:uid="{2E8D8213-75AC-4C63-B6FF-87DD058CFDBB}"/>
    <cellStyle name="Normal 3 3 4 2 2 4" xfId="4002" xr:uid="{96695B27-E661-4EAE-A0BC-E7057E8662FD}"/>
    <cellStyle name="Normal 3 3 4 2 3" xfId="1865" xr:uid="{0E495B2C-90D0-4009-94EF-EC301167B00F}"/>
    <cellStyle name="Normal 3 3 4 2 3 2" xfId="2703" xr:uid="{7D48FB6B-431E-42FD-BAED-E41DA294F96D}"/>
    <cellStyle name="Normal 3 3 4 2 3 2 2" xfId="5138" xr:uid="{7EA30154-FAE9-43D5-8BBB-DCE6516F8D16}"/>
    <cellStyle name="Normal 3 3 4 2 3 3" xfId="4382" xr:uid="{106F64E7-0999-4E64-B966-133B967B2000}"/>
    <cellStyle name="Normal 3 3 4 2 4" xfId="2436" xr:uid="{B3C652F5-1485-4E28-B60E-A7C42A3E1AA0}"/>
    <cellStyle name="Normal 3 3 4 2 4 2" xfId="4871" xr:uid="{BBA05002-8547-45E6-92A3-7DA3C3E1BD91}"/>
    <cellStyle name="Normal 3 3 4 2 5" xfId="4001" xr:uid="{E6DBAC2A-CBD9-4C38-B5BA-B53E15E4804A}"/>
    <cellStyle name="Normal 3 3 4 3" xfId="1403" xr:uid="{A5592C36-CB1F-44FB-8C6A-FC65247DA472}"/>
    <cellStyle name="Normal 3 3 4 3 2" xfId="1404" xr:uid="{A0772FB0-1E0D-4BF8-B349-9B855F668DAA}"/>
    <cellStyle name="Normal 3 3 4 3 2 2" xfId="2036" xr:uid="{3062394D-17C7-4FF2-8E7E-D375DBF096C4}"/>
    <cellStyle name="Normal 3 3 4 3 2 2 2" xfId="2874" xr:uid="{ED0D24A5-8DA6-4355-A708-27020363E5F3}"/>
    <cellStyle name="Normal 3 3 4 3 2 2 2 2" xfId="5309" xr:uid="{64A8DD5D-61CD-4134-B53F-9D66EC9E8265}"/>
    <cellStyle name="Normal 3 3 4 3 2 2 3" xfId="4553" xr:uid="{1F80C74C-EEF9-4B28-991E-4A011753EF6E}"/>
    <cellStyle name="Normal 3 3 4 3 2 3" xfId="2439" xr:uid="{C1F648FC-3491-4D78-9A89-0ECCADFA62E1}"/>
    <cellStyle name="Normal 3 3 4 3 2 3 2" xfId="4874" xr:uid="{2D46E281-0A7B-4277-B615-D769A0AABBBB}"/>
    <cellStyle name="Normal 3 3 4 3 2 4" xfId="4004" xr:uid="{FA78B8FD-0E93-4D2F-AD29-C9AFB555B93D}"/>
    <cellStyle name="Normal 3 3 4 3 3" xfId="1866" xr:uid="{9F15135D-A294-49DC-8E42-0AE9EA58360F}"/>
    <cellStyle name="Normal 3 3 4 3 3 2" xfId="2704" xr:uid="{5027414D-5065-4A3F-8B0C-84A7DA1A1E80}"/>
    <cellStyle name="Normal 3 3 4 3 3 2 2" xfId="5139" xr:uid="{4B3A4620-B19C-4500-91BC-D4D78AC89A5F}"/>
    <cellStyle name="Normal 3 3 4 3 3 3" xfId="4383" xr:uid="{42EA3D69-2AF8-4984-8445-FE7682362371}"/>
    <cellStyle name="Normal 3 3 4 3 4" xfId="2438" xr:uid="{E9C082EB-1113-4281-A477-9A8EB0A9C642}"/>
    <cellStyle name="Normal 3 3 4 3 4 2" xfId="4873" xr:uid="{D1B224F0-C220-408E-A9CC-951D8A0F9039}"/>
    <cellStyle name="Normal 3 3 4 3 5" xfId="4003" xr:uid="{BAEAE8A4-92CA-4D39-917C-0712B538FEE1}"/>
    <cellStyle name="Normal 3 3 4 4" xfId="1405" xr:uid="{665917CD-2E1F-4E26-B8FF-F7C883159E4C}"/>
    <cellStyle name="Normal 3 3 4 4 2" xfId="2034" xr:uid="{79D50425-2DD0-4864-A2E2-1C7AB1809674}"/>
    <cellStyle name="Normal 3 3 4 4 2 2" xfId="2872" xr:uid="{094525CE-C14F-488B-A871-9C3B16D6254A}"/>
    <cellStyle name="Normal 3 3 4 4 2 2 2" xfId="5307" xr:uid="{67E188FD-A467-41F9-A404-8708BC9BD2C8}"/>
    <cellStyle name="Normal 3 3 4 4 2 3" xfId="4551" xr:uid="{5FD7498E-45C3-469C-B481-3800972CD594}"/>
    <cellStyle name="Normal 3 3 4 4 3" xfId="2440" xr:uid="{62050D8D-BE12-41D5-828E-0359566B4F78}"/>
    <cellStyle name="Normal 3 3 4 4 3 2" xfId="4875" xr:uid="{FE8020A5-E1CB-42DB-B143-987C1FA799F5}"/>
    <cellStyle name="Normal 3 3 4 4 4" xfId="4005" xr:uid="{9EE4D275-7ACF-4027-9F44-6EC4030A2CFE}"/>
    <cellStyle name="Normal 3 3 4 5" xfId="1864" xr:uid="{2BA38CFC-E470-433E-89DB-19B166968F03}"/>
    <cellStyle name="Normal 3 3 4 5 2" xfId="2702" xr:uid="{D2EC385D-B0D6-4FC8-8141-96DAF805DFCE}"/>
    <cellStyle name="Normal 3 3 4 5 2 2" xfId="5137" xr:uid="{7F725ECD-6F11-48ED-8F44-0A568D00CD6F}"/>
    <cellStyle name="Normal 3 3 4 5 3" xfId="4381" xr:uid="{0F80D9B4-F7FC-4A2B-9C6B-2EE56E1D1917}"/>
    <cellStyle name="Normal 3 3 4 6" xfId="2435" xr:uid="{A8FFF776-9E46-423C-9D14-26A7E5F83A0D}"/>
    <cellStyle name="Normal 3 3 4 6 2" xfId="4870" xr:uid="{61A98453-D359-4660-90F8-D8AAC76A79A1}"/>
    <cellStyle name="Normal 3 3 4 7" xfId="4000" xr:uid="{9778C4BF-EAED-40DA-93A1-3BFA90CBCD5F}"/>
    <cellStyle name="Normal 3 3 5" xfId="1406" xr:uid="{64513D89-4C41-427E-80C6-2EFE86A03ECA}"/>
    <cellStyle name="Normal 3 3 5 2" xfId="1407" xr:uid="{A31384D3-45D7-4925-8E49-5F2347F08324}"/>
    <cellStyle name="Normal 3 3 5 2 2" xfId="2037" xr:uid="{C3B00606-65B8-407F-9E6C-CCB43FB6F67F}"/>
    <cellStyle name="Normal 3 3 5 2 2 2" xfId="2875" xr:uid="{4167371A-27A7-4570-A701-9D0A70377591}"/>
    <cellStyle name="Normal 3 3 5 2 2 2 2" xfId="5310" xr:uid="{5D001594-6455-46D7-AC75-0E1D7DBCC1EE}"/>
    <cellStyle name="Normal 3 3 5 2 2 3" xfId="4554" xr:uid="{A4A71CCD-357D-418E-9843-234203213E44}"/>
    <cellStyle name="Normal 3 3 5 2 3" xfId="2442" xr:uid="{E66ADC8B-3B10-4BB5-8FD0-A017042AFC0E}"/>
    <cellStyle name="Normal 3 3 5 2 3 2" xfId="4877" xr:uid="{263465DB-33FD-4B57-8E1A-0F003ACF9737}"/>
    <cellStyle name="Normal 3 3 5 2 4" xfId="4007" xr:uid="{82618909-4CE7-466C-ABDE-081D7DF8A914}"/>
    <cellStyle name="Normal 3 3 5 3" xfId="1867" xr:uid="{81E0B588-9032-4944-91A5-3CA4A913426A}"/>
    <cellStyle name="Normal 3 3 5 3 2" xfId="2705" xr:uid="{E8FCBC92-FD4E-4BFF-9C7E-B3D16879693F}"/>
    <cellStyle name="Normal 3 3 5 3 2 2" xfId="5140" xr:uid="{E6EA6B0E-F7FE-4F6E-AF32-F33C59B72194}"/>
    <cellStyle name="Normal 3 3 5 3 3" xfId="4384" xr:uid="{8A5FA0B7-37E6-4F1F-A6B9-3EF7DABAA0F3}"/>
    <cellStyle name="Normal 3 3 5 4" xfId="2441" xr:uid="{B52838F8-FAEC-4C00-9B0E-CE2CB7FE4336}"/>
    <cellStyle name="Normal 3 3 5 4 2" xfId="4876" xr:uid="{BF11BA40-B360-4951-8CB0-83E7F7D06BAF}"/>
    <cellStyle name="Normal 3 3 5 5" xfId="4006" xr:uid="{09C50C48-2449-40E1-880E-6AA976330DDF}"/>
    <cellStyle name="Normal 3 3 6" xfId="1408" xr:uid="{FD3D6FCF-34A8-411A-8BE3-AFE7EC5716BB}"/>
    <cellStyle name="Normal 3 3 6 2" xfId="1409" xr:uid="{33737B73-3DE7-4A4C-BF5E-DCBA06100E7C}"/>
    <cellStyle name="Normal 3 3 6 2 2" xfId="2038" xr:uid="{9B8E0CC8-EC71-4EC1-87CB-A41937DC0C15}"/>
    <cellStyle name="Normal 3 3 6 2 2 2" xfId="2876" xr:uid="{38ACBA66-E1B2-4311-B31C-A6D19EFCEBAA}"/>
    <cellStyle name="Normal 3 3 6 2 2 2 2" xfId="5311" xr:uid="{AACC7517-FC02-47F9-BE82-2079831E27FD}"/>
    <cellStyle name="Normal 3 3 6 2 2 3" xfId="4555" xr:uid="{E268A843-69D5-415B-BC80-1992184E3619}"/>
    <cellStyle name="Normal 3 3 6 2 3" xfId="2444" xr:uid="{0B02FB7B-0676-4846-917E-9A93708FC029}"/>
    <cellStyle name="Normal 3 3 6 2 3 2" xfId="4879" xr:uid="{F909157F-98B5-41A7-AEF1-24D10C3A2915}"/>
    <cellStyle name="Normal 3 3 6 2 4" xfId="4009" xr:uid="{89DBD383-7F8F-4681-A986-AC3098BE95FB}"/>
    <cellStyle name="Normal 3 3 6 3" xfId="1868" xr:uid="{C5F39B25-5D2C-413F-8414-B90A7BC79881}"/>
    <cellStyle name="Normal 3 3 6 3 2" xfId="2706" xr:uid="{9771CDAC-AFD3-44AE-8B19-809F349A09BF}"/>
    <cellStyle name="Normal 3 3 6 3 2 2" xfId="5141" xr:uid="{A0939E39-24EC-4CD7-AF14-7442033417A6}"/>
    <cellStyle name="Normal 3 3 6 3 3" xfId="4385" xr:uid="{E16CEC21-4528-4F45-AAC5-EEC6E0AA0EB2}"/>
    <cellStyle name="Normal 3 3 6 4" xfId="2443" xr:uid="{4F9DFD65-C4EE-4042-A278-F91E2C27438C}"/>
    <cellStyle name="Normal 3 3 6 4 2" xfId="4878" xr:uid="{AF717E19-4357-417E-BC06-7133B057DBEF}"/>
    <cellStyle name="Normal 3 3 6 5" xfId="4008" xr:uid="{1BF2D357-7D01-49B5-A21A-B46E4A3FB8DB}"/>
    <cellStyle name="Normal 3 3 7" xfId="1410" xr:uid="{177FE0B9-15D3-4FD6-914A-15C5437B15A0}"/>
    <cellStyle name="Normal 3 3 7 2" xfId="2015" xr:uid="{F656B6F6-85C5-42B1-ADE5-D49436BB353F}"/>
    <cellStyle name="Normal 3 3 7 2 2" xfId="2853" xr:uid="{6DEEBB2A-9D42-4E8B-8833-01F69C7B1044}"/>
    <cellStyle name="Normal 3 3 7 2 2 2" xfId="5288" xr:uid="{284E1A21-61D9-4317-A2D4-CC9B946B549B}"/>
    <cellStyle name="Normal 3 3 7 2 3" xfId="4532" xr:uid="{EF9CDBA5-1E6D-417D-AB8B-D40CE9EB2CD7}"/>
    <cellStyle name="Normal 3 3 7 3" xfId="2445" xr:uid="{156F23E1-9503-4B67-88E7-A811E1B5605D}"/>
    <cellStyle name="Normal 3 3 7 3 2" xfId="4880" xr:uid="{F9AFEA38-455E-43B7-B076-2528CA9DCBB8}"/>
    <cellStyle name="Normal 3 3 7 4" xfId="4010" xr:uid="{AB765D11-6BEE-4E2C-B2C4-5D287FE75B99}"/>
    <cellStyle name="Normal 3 3 8" xfId="1845" xr:uid="{DA1D3347-50FA-4D55-ABF4-28F5780F8EA0}"/>
    <cellStyle name="Normal 3 3 8 2" xfId="2683" xr:uid="{5E2BB102-164E-41E0-88EC-8331CAEA81A9}"/>
    <cellStyle name="Normal 3 3 8 2 2" xfId="5118" xr:uid="{4C62DD1D-F18A-44A6-A0E1-16C25C044664}"/>
    <cellStyle name="Normal 3 3 8 3" xfId="4362" xr:uid="{D1D6D89F-1C97-455D-8E52-A8FD8AE11F22}"/>
    <cellStyle name="Normal 3 3 9" xfId="2238" xr:uid="{67223093-6D55-4D10-866E-FB3A7E3C7A67}"/>
    <cellStyle name="Normal 3 3 9 2" xfId="4707" xr:uid="{8338E768-8237-4084-804A-EC5363B9F671}"/>
    <cellStyle name="Normal 3 4" xfId="1411" xr:uid="{E07EF025-6392-49B2-9524-0A7ADE9084F0}"/>
    <cellStyle name="Normal 3 5" xfId="1412" xr:uid="{8026D960-26CA-4BC8-A610-A5D73AB6F664}"/>
    <cellStyle name="Normal 3 5 2" xfId="1971" xr:uid="{3154FD98-1B66-4C88-98CB-F4B1522EAB50}"/>
    <cellStyle name="Normal 3 5 2 2" xfId="2809" xr:uid="{2E0D4192-9ACF-48EF-9FD3-862E0A94A21D}"/>
    <cellStyle name="Normal 3 5 2 2 2" xfId="5244" xr:uid="{AED631CC-97DF-4FC6-9B56-7F9FB3B2EC55}"/>
    <cellStyle name="Normal 3 5 2 3" xfId="4488" xr:uid="{535FBF8D-F77F-45ED-8136-F7DE7C828532}"/>
    <cellStyle name="Normal 3 5 3" xfId="2446" xr:uid="{D38533AA-7E60-4E2D-AE8F-5A21B02C7634}"/>
    <cellStyle name="Normal 3 5 3 2" xfId="4881" xr:uid="{FC9D4409-FFFD-45D3-AF45-89AB52CD2AF7}"/>
    <cellStyle name="Normal 3 5 4" xfId="4011" xr:uid="{4737EB5C-F06E-426A-808C-83B347CDE900}"/>
    <cellStyle name="Normal 3 6" xfId="1801" xr:uid="{AE5E5130-66D7-4456-96BB-04C887517A71}"/>
    <cellStyle name="Normal 3 6 2" xfId="2639" xr:uid="{9213465F-866C-46DC-9C94-DB086527884F}"/>
    <cellStyle name="Normal 3 6 2 2" xfId="5074" xr:uid="{F39775D5-5720-4F7B-9220-21181BECE1AD}"/>
    <cellStyle name="Normal 3 6 3" xfId="4318" xr:uid="{7638B34C-35F9-4624-A7D3-72AE3FCA2DBE}"/>
    <cellStyle name="Normal 3 7" xfId="2211" xr:uid="{01937FA9-C02D-43C7-B759-5DDCE3B77C71}"/>
    <cellStyle name="Normal 3 7 2" xfId="4701" xr:uid="{475CDF7F-1A87-423E-A876-DBABB37692DF}"/>
    <cellStyle name="Normal 3 8" xfId="2397" xr:uid="{4338B9C6-E7A0-455D-ADC3-4BFC1BC16ACF}"/>
    <cellStyle name="Normal 3 8 2" xfId="4832" xr:uid="{B0FC8700-B769-4F37-973C-18327EA4414A}"/>
    <cellStyle name="Normal 3 9" xfId="1360" xr:uid="{5339F9A2-E26C-4C7D-90CA-10A5E8068A28}"/>
    <cellStyle name="Normal 3 9 2" xfId="3962" xr:uid="{E47513EC-51EE-43F5-BFED-1706AF1ADD5E}"/>
    <cellStyle name="Normal 3_Incentive Updates" xfId="1413" xr:uid="{D3969A28-EB85-48D9-A55B-CC6D1D915F03}"/>
    <cellStyle name="Normal 30" xfId="2147" xr:uid="{EB1984AC-E7FA-4B85-9234-FEE0C0E6AA76}"/>
    <cellStyle name="Normal 30 2" xfId="2985" xr:uid="{A4A65E60-3D86-4347-B063-CB420775C93C}"/>
    <cellStyle name="Normal 31" xfId="2145" xr:uid="{9E1FD06A-92B1-4BC3-AE96-68F7FDAD8592}"/>
    <cellStyle name="Normal 31 2" xfId="2983" xr:uid="{3D273932-F43B-47FA-8F1D-7F9613B06AD4}"/>
    <cellStyle name="Normal 32" xfId="2150" xr:uid="{03C2B7E3-C312-434F-8F76-F1FFC81F706A}"/>
    <cellStyle name="Normal 32 2" xfId="2988" xr:uid="{B1DFB432-A4CC-489B-B342-98994B5D2767}"/>
    <cellStyle name="Normal 33" xfId="2154" xr:uid="{042BD4E1-9248-479D-8C5D-89ED33091B80}"/>
    <cellStyle name="Normal 33 2" xfId="2992" xr:uid="{B19EE2B7-0C89-419B-995F-01171C156584}"/>
    <cellStyle name="Normal 34" xfId="2153" xr:uid="{CF125725-C3AF-4B34-8F89-0C467B16FB7D}"/>
    <cellStyle name="Normal 34 2" xfId="2991" xr:uid="{0B467CEE-6FD7-45CD-A12E-650A0734F8F4}"/>
    <cellStyle name="Normal 35" xfId="2146" xr:uid="{F5D06E54-BA2A-400B-A84A-5CD98C31B4F9}"/>
    <cellStyle name="Normal 35 2" xfId="2984" xr:uid="{388D8C0C-E63F-4709-A903-47F6ABD4CDB7}"/>
    <cellStyle name="Normal 36" xfId="2151" xr:uid="{03659B4D-6997-4EFB-9244-36F68ABC88B3}"/>
    <cellStyle name="Normal 36 2" xfId="2989" xr:uid="{0E83AC94-A1A9-4F48-AAB2-87BA2B73223D}"/>
    <cellStyle name="Normal 37" xfId="2148" xr:uid="{6A183786-AA4E-45EC-BAD5-CFB09C0F7207}"/>
    <cellStyle name="Normal 37 2" xfId="2986" xr:uid="{32482FB2-AA1D-497B-AF4F-DE1EADC35E2B}"/>
    <cellStyle name="Normal 38" xfId="2158" xr:uid="{A433DD2E-9D42-4B32-8AAC-F4B99489AF18}"/>
    <cellStyle name="Normal 38 2" xfId="2996" xr:uid="{2452C8FB-CE97-480B-A0DF-2F0F7BFE5BDA}"/>
    <cellStyle name="Normal 39" xfId="2157" xr:uid="{2AC46E4D-5C15-4AA9-B9B6-262370DE1DC3}"/>
    <cellStyle name="Normal 39 2" xfId="2995" xr:uid="{80B78F04-9D59-4146-A533-50BE7AC792A5}"/>
    <cellStyle name="Normal 4" xfId="148" xr:uid="{00000000-0005-0000-0000-0000B6010000}"/>
    <cellStyle name="Normal 4 10" xfId="1415" xr:uid="{1BE2DF3A-E8D6-4A04-BB77-CA534FA64D29}"/>
    <cellStyle name="Normal 4 10 2" xfId="1416" xr:uid="{D87BE5EF-8098-4794-8A61-9C6EFFE50B0F}"/>
    <cellStyle name="Normal 4 10 2 2" xfId="2040" xr:uid="{474797E6-3EC6-4C7B-9A42-765732C8F2D7}"/>
    <cellStyle name="Normal 4 10 2 2 2" xfId="2878" xr:uid="{25C34643-D2EF-4B7B-811D-D68C0902B9FF}"/>
    <cellStyle name="Normal 4 10 2 2 2 2" xfId="5313" xr:uid="{719114A0-9D91-44B3-AD74-E2C285DE08EE}"/>
    <cellStyle name="Normal 4 10 2 2 3" xfId="4557" xr:uid="{12851DEE-FADA-40DE-8B79-808EB7352A45}"/>
    <cellStyle name="Normal 4 10 2 3" xfId="2449" xr:uid="{4B095C41-63D4-4635-BDCD-4D41C3409B55}"/>
    <cellStyle name="Normal 4 10 2 3 2" xfId="4884" xr:uid="{E14372BF-44DF-4C73-AF99-7C09E42D0EEF}"/>
    <cellStyle name="Normal 4 10 2 4" xfId="4014" xr:uid="{6068F74A-2D0E-475A-BCB3-560F97E6D2D0}"/>
    <cellStyle name="Normal 4 10 3" xfId="1870" xr:uid="{3503F00A-77CF-4E5D-A299-366FE81EB8FB}"/>
    <cellStyle name="Normal 4 10 3 2" xfId="2708" xr:uid="{EFE79BC0-E857-4949-A78F-ACA9D043128F}"/>
    <cellStyle name="Normal 4 10 3 2 2" xfId="5143" xr:uid="{269A4F99-D996-4F43-88F5-9FB8676534C0}"/>
    <cellStyle name="Normal 4 10 3 3" xfId="4387" xr:uid="{5E7753AC-7974-4960-8764-F3525C36CEFF}"/>
    <cellStyle name="Normal 4 10 4" xfId="2448" xr:uid="{801B24CB-8456-444F-90B3-2A48340AB901}"/>
    <cellStyle name="Normal 4 10 4 2" xfId="4883" xr:uid="{0547582D-CA10-403F-9653-1FE316E9C24E}"/>
    <cellStyle name="Normal 4 10 5" xfId="4013" xr:uid="{47B423A3-6C87-4724-AE3E-3C2A03A72B30}"/>
    <cellStyle name="Normal 4 11" xfId="1417" xr:uid="{E31DF5AA-71E0-403C-AB87-D036CC23DCCA}"/>
    <cellStyle name="Normal 4 11 2" xfId="1418" xr:uid="{BE232B32-7EE7-4C04-9611-CF485921CEEE}"/>
    <cellStyle name="Normal 4 11 2 2" xfId="2039" xr:uid="{8B88AE50-0BB1-4921-A78D-9059D8DC5341}"/>
    <cellStyle name="Normal 4 11 2 2 2" xfId="2877" xr:uid="{CDB89B80-33AF-4B7E-BF50-E20696542D13}"/>
    <cellStyle name="Normal 4 11 2 2 2 2" xfId="5312" xr:uid="{B19CD8B0-6D81-4757-9F9E-E2CEB4A0A8AE}"/>
    <cellStyle name="Normal 4 11 2 2 3" xfId="4556" xr:uid="{BAC5408D-A7D0-49EA-959E-55955D4FAA83}"/>
    <cellStyle name="Normal 4 11 2 3" xfId="2451" xr:uid="{F991B8BE-CBF8-4CD0-918B-1071E4D70F19}"/>
    <cellStyle name="Normal 4 11 2 3 2" xfId="4886" xr:uid="{A4BCA45A-EB0B-4052-AEBC-BA2BC685EFCC}"/>
    <cellStyle name="Normal 4 11 2 4" xfId="4016" xr:uid="{1D66AEBF-BA8D-4A5C-A041-FC1B861FA249}"/>
    <cellStyle name="Normal 4 11 3" xfId="1869" xr:uid="{9D21628D-F37E-4D0D-891C-BFFFEB29BE14}"/>
    <cellStyle name="Normal 4 11 3 2" xfId="2707" xr:uid="{981A7E47-6ACB-4EE8-8461-AA96CF9A6637}"/>
    <cellStyle name="Normal 4 11 3 2 2" xfId="5142" xr:uid="{696D8BC5-2493-4591-80EA-6D5909F79210}"/>
    <cellStyle name="Normal 4 11 3 3" xfId="4386" xr:uid="{993F8755-F726-4AD6-A33F-4FFBBEDD9189}"/>
    <cellStyle name="Normal 4 11 4" xfId="2450" xr:uid="{4E7992CB-C4B0-4510-8EA8-EA0FDCAD0976}"/>
    <cellStyle name="Normal 4 11 4 2" xfId="4885" xr:uid="{942B3467-EA58-4755-AD80-7E3B3AB1E734}"/>
    <cellStyle name="Normal 4 11 5" xfId="4015" xr:uid="{3E83B5D5-700B-45AF-AE2E-6A98ADC66D48}"/>
    <cellStyle name="Normal 4 12" xfId="1419" xr:uid="{C2675D15-315A-4588-A442-F1834919F03C}"/>
    <cellStyle name="Normal 4 12 2" xfId="1972" xr:uid="{458578E6-801C-4E86-805E-3BDF025052D2}"/>
    <cellStyle name="Normal 4 12 2 2" xfId="2810" xr:uid="{915344BF-27CF-4D64-909E-A52F371A4AB0}"/>
    <cellStyle name="Normal 4 12 2 2 2" xfId="5245" xr:uid="{018E0805-E0F1-4BA3-BFA2-7FA2F2366DC6}"/>
    <cellStyle name="Normal 4 12 2 3" xfId="4489" xr:uid="{841F1D21-B2B1-413D-A7E2-EE2CB24A3E02}"/>
    <cellStyle name="Normal 4 12 3" xfId="2452" xr:uid="{1F5BB8FA-3E8D-4099-8305-C1C385E1F88C}"/>
    <cellStyle name="Normal 4 12 3 2" xfId="4887" xr:uid="{56B84EFB-A44B-44B7-A25D-CF15D4DC0416}"/>
    <cellStyle name="Normal 4 12 4" xfId="4017" xr:uid="{EA11F2E1-539D-4391-AF74-3309F43F2F3D}"/>
    <cellStyle name="Normal 4 13" xfId="1802" xr:uid="{57F4B076-F719-4377-A171-ED751CA88326}"/>
    <cellStyle name="Normal 4 13 2" xfId="2640" xr:uid="{212FB2C4-E530-4B5D-AB8C-984984C0182B}"/>
    <cellStyle name="Normal 4 13 2 2" xfId="5075" xr:uid="{1CE43B8A-0EF4-44B0-883D-F0232764FB97}"/>
    <cellStyle name="Normal 4 13 3" xfId="4319" xr:uid="{40790331-AE13-462F-BC88-BCDB1B9F1B87}"/>
    <cellStyle name="Normal 4 14" xfId="2212" xr:uid="{C6763DA5-5318-4333-A471-9CCB44A4CC81}"/>
    <cellStyle name="Normal 4 14 2" xfId="4702" xr:uid="{6E104FC1-3AC7-4501-8C2C-346CAB50C0B7}"/>
    <cellStyle name="Normal 4 15" xfId="2447" xr:uid="{C0BECD78-7F86-4D73-9846-7A445EFEAD39}"/>
    <cellStyle name="Normal 4 15 2" xfId="4882" xr:uid="{7C18B373-1066-4032-8D72-C879597BBB08}"/>
    <cellStyle name="Normal 4 16" xfId="1414" xr:uid="{B496AEFD-17AA-4AEA-9CBA-0888E904FC39}"/>
    <cellStyle name="Normal 4 16 2" xfId="4012" xr:uid="{896D612F-9991-46A7-9400-F5434A3278D1}"/>
    <cellStyle name="Normal 4 2" xfId="526" xr:uid="{00000000-0005-0000-0000-0000B7010000}"/>
    <cellStyle name="Normal 4 2 2" xfId="1421" xr:uid="{3E8B6682-E608-4994-9D5F-DA6519C99EC7}"/>
    <cellStyle name="Normal 4 2 3" xfId="1422" xr:uid="{F2F23754-5CA1-4989-ACC3-228BFED9D049}"/>
    <cellStyle name="Normal 4 2 3 2" xfId="2041" xr:uid="{5FC90356-4814-4BCE-ABA7-C126D29F3832}"/>
    <cellStyle name="Normal 4 2 3 2 2" xfId="2879" xr:uid="{5337AD9B-8649-4117-BCF7-0C0FBB4F1DED}"/>
    <cellStyle name="Normal 4 2 3 2 2 2" xfId="5314" xr:uid="{F5B3A855-4774-43CB-9A7C-5BE3826906BF}"/>
    <cellStyle name="Normal 4 2 3 2 3" xfId="4558" xr:uid="{144A87C3-9719-4754-A902-C2F8B72A9FF5}"/>
    <cellStyle name="Normal 4 2 3 3" xfId="2454" xr:uid="{86B853D3-0648-425E-9A2D-D413211D119B}"/>
    <cellStyle name="Normal 4 2 3 3 2" xfId="4889" xr:uid="{B0F713C0-B098-4BD7-91A2-B576D63D1231}"/>
    <cellStyle name="Normal 4 2 3 4" xfId="4019" xr:uid="{469A8274-1778-44DC-AC1A-B3F5D027D04D}"/>
    <cellStyle name="Normal 4 2 4" xfId="1871" xr:uid="{D5863288-E899-4115-9C51-94A6218A7911}"/>
    <cellStyle name="Normal 4 2 4 2" xfId="2709" xr:uid="{9B31484D-2940-4239-BF0A-50C171192BDD}"/>
    <cellStyle name="Normal 4 2 4 2 2" xfId="5144" xr:uid="{2FCF1EAE-DFE2-40C3-B1DC-4D5412BBAE5E}"/>
    <cellStyle name="Normal 4 2 4 3" xfId="4388" xr:uid="{E9718130-ADD9-4B9E-9381-F97D99741792}"/>
    <cellStyle name="Normal 4 2 5" xfId="2239" xr:uid="{8BFA4B12-02EB-4D46-A543-A51021E5129A}"/>
    <cellStyle name="Normal 4 2 5 2" xfId="4708" xr:uid="{0E69F372-B876-4F2D-86B6-FC24C7CDD8E6}"/>
    <cellStyle name="Normal 4 2 6" xfId="2453" xr:uid="{C333BE56-60BC-4572-80D4-B630E3BD9236}"/>
    <cellStyle name="Normal 4 2 6 2" xfId="4888" xr:uid="{39A7FF67-6B2E-47B2-ACF5-6072066B76C0}"/>
    <cellStyle name="Normal 4 2 7" xfId="1420" xr:uid="{E22DB21D-3CCA-4A75-A6DB-1CEA16C08A21}"/>
    <cellStyle name="Normal 4 2 7 2" xfId="4018" xr:uid="{62A93309-6712-461C-B190-68DCD848436B}"/>
    <cellStyle name="Normal 4 3" xfId="1423" xr:uid="{90783ECF-349C-42B6-AAA5-43F8608AB97B}"/>
    <cellStyle name="Normal 4 3 2" xfId="1424" xr:uid="{C27E44D1-6BE5-48B5-A78E-0D78C4CF7F7D}"/>
    <cellStyle name="Normal 4 3 2 2" xfId="1425" xr:uid="{0895EE86-050C-4FFF-9535-C26B32CD2FD1}"/>
    <cellStyle name="Normal 4 3 2 2 2" xfId="2042" xr:uid="{FDB59BB0-6168-4614-A64F-7A3CCA0F015C}"/>
    <cellStyle name="Normal 4 3 2 2 2 2" xfId="2880" xr:uid="{D63EE033-C852-42C7-AEAB-DC476DD0DB4D}"/>
    <cellStyle name="Normal 4 3 2 2 2 2 2" xfId="5315" xr:uid="{BE7CFFCD-B926-4BE2-ACF4-B2676A970AA9}"/>
    <cellStyle name="Normal 4 3 2 2 2 3" xfId="4559" xr:uid="{A8DCB4D2-BCE3-488F-8ADD-B3333623B1D3}"/>
    <cellStyle name="Normal 4 3 2 2 3" xfId="2456" xr:uid="{5742E25E-E816-49DC-9F0C-ACEAFBB57BAB}"/>
    <cellStyle name="Normal 4 3 2 2 3 2" xfId="4891" xr:uid="{1710859E-04CB-41FB-8B95-67189F57FF30}"/>
    <cellStyle name="Normal 4 3 2 2 4" xfId="4021" xr:uid="{B58CD651-67D6-4202-9812-7005862BF350}"/>
    <cellStyle name="Normal 4 3 2 3" xfId="1872" xr:uid="{B4856B71-0879-4DFB-889D-D0845C997D55}"/>
    <cellStyle name="Normal 4 3 2 3 2" xfId="2710" xr:uid="{0CB65072-B25B-46A3-AF23-36DCA7580F4E}"/>
    <cellStyle name="Normal 4 3 2 3 2 2" xfId="5145" xr:uid="{D5C3B2A6-AA33-4DCC-BCCC-C3667356F220}"/>
    <cellStyle name="Normal 4 3 2 3 3" xfId="4389" xr:uid="{0A6F1E10-624E-4C5B-A27C-08CD3D23923B}"/>
    <cellStyle name="Normal 4 3 2 4" xfId="2455" xr:uid="{0362333F-8C70-45AF-AA44-FD0EA3CAB068}"/>
    <cellStyle name="Normal 4 3 2 4 2" xfId="4890" xr:uid="{DB2D5FDF-BD53-48A6-956F-9ECE89CCF3E0}"/>
    <cellStyle name="Normal 4 3 2 5" xfId="4020" xr:uid="{54E6F5FD-EADB-4157-A16F-2675B686B8A7}"/>
    <cellStyle name="Normal 4 4" xfId="1426" xr:uid="{10F48314-4B1F-4599-910F-536433DC0892}"/>
    <cellStyle name="Normal 4 4 2" xfId="1427" xr:uid="{26EC271B-8E79-4315-B147-A60AC4AAC0A4}"/>
    <cellStyle name="Normal 4 5" xfId="1428" xr:uid="{B575BC4C-51F0-477C-A197-6F2E726F71F5}"/>
    <cellStyle name="Normal 4 6" xfId="1429" xr:uid="{466E2276-04EB-494A-AE89-748BACB6583D}"/>
    <cellStyle name="Normal 4 6 2" xfId="1430" xr:uid="{50D3746E-3BD7-432E-8FC2-D9AC50EC4458}"/>
    <cellStyle name="Normal 4 6 2 2" xfId="1431" xr:uid="{62E76B8F-C830-4A60-B406-940C85D31F3D}"/>
    <cellStyle name="Normal 4 6 2 2 2" xfId="1432" xr:uid="{9813F9E8-7FF1-417C-9A54-9BC5858777AA}"/>
    <cellStyle name="Normal 4 6 2 2 2 2" xfId="2045" xr:uid="{56EBC6B3-0CB4-4206-AE23-2656F6850B15}"/>
    <cellStyle name="Normal 4 6 2 2 2 2 2" xfId="2883" xr:uid="{20B62EEB-78F3-4681-8434-1906138694AD}"/>
    <cellStyle name="Normal 4 6 2 2 2 2 2 2" xfId="5318" xr:uid="{CD74940A-1210-4902-830F-1FDF8EAD5CCE}"/>
    <cellStyle name="Normal 4 6 2 2 2 2 3" xfId="4562" xr:uid="{93927BC9-A06E-4636-B70B-127807266E1D}"/>
    <cellStyle name="Normal 4 6 2 2 2 3" xfId="2460" xr:uid="{4131F70C-5FD2-4D6C-BDA2-041357C18EFF}"/>
    <cellStyle name="Normal 4 6 2 2 2 3 2" xfId="4895" xr:uid="{8BB2F9B5-B27D-4ED7-9B43-CD71B629FB50}"/>
    <cellStyle name="Normal 4 6 2 2 2 4" xfId="4025" xr:uid="{5BD34746-D110-46C0-A3B3-8224C6607C53}"/>
    <cellStyle name="Normal 4 6 2 2 3" xfId="1875" xr:uid="{54234563-2460-401B-9890-2B1A84C8A454}"/>
    <cellStyle name="Normal 4 6 2 2 3 2" xfId="2713" xr:uid="{1D6EC568-6CE7-4772-A4CC-8DEA4D51AADC}"/>
    <cellStyle name="Normal 4 6 2 2 3 2 2" xfId="5148" xr:uid="{BCE00C4E-FB55-4966-BE5D-16F505410B5D}"/>
    <cellStyle name="Normal 4 6 2 2 3 3" xfId="4392" xr:uid="{FAB2241A-8873-4766-ABB8-30ABF093999A}"/>
    <cellStyle name="Normal 4 6 2 2 4" xfId="2459" xr:uid="{973FEA00-9FB0-4775-AAC5-C2E643486BBB}"/>
    <cellStyle name="Normal 4 6 2 2 4 2" xfId="4894" xr:uid="{04240FB5-C27A-42B4-83C9-2298CA7EF1D5}"/>
    <cellStyle name="Normal 4 6 2 2 5" xfId="4024" xr:uid="{F096323C-5FF2-4AC9-BDEF-E95E14FF6A5C}"/>
    <cellStyle name="Normal 4 6 2 3" xfId="1433" xr:uid="{3083BE82-C028-4BEA-A637-B71F770E252F}"/>
    <cellStyle name="Normal 4 6 2 3 2" xfId="1434" xr:uid="{C7D544F5-8882-4C01-8F25-0DBFEFD4C1F8}"/>
    <cellStyle name="Normal 4 6 2 3 2 2" xfId="2046" xr:uid="{C0735A62-52FF-4678-A2A6-EBB18CE58F08}"/>
    <cellStyle name="Normal 4 6 2 3 2 2 2" xfId="2884" xr:uid="{4FE45C9F-FEBA-4DAF-9DDC-F192B407A60A}"/>
    <cellStyle name="Normal 4 6 2 3 2 2 2 2" xfId="5319" xr:uid="{C208CA13-3114-4D8E-B28F-4CF04462D9B5}"/>
    <cellStyle name="Normal 4 6 2 3 2 2 3" xfId="4563" xr:uid="{3D15BEB3-7053-4817-93F8-121707D4CA10}"/>
    <cellStyle name="Normal 4 6 2 3 2 3" xfId="2462" xr:uid="{1E3B1081-89B0-4822-AAE3-103D4D835651}"/>
    <cellStyle name="Normal 4 6 2 3 2 3 2" xfId="4897" xr:uid="{122146DC-964E-4CA6-8AB5-0E637BBCAB78}"/>
    <cellStyle name="Normal 4 6 2 3 2 4" xfId="4027" xr:uid="{21E68CBC-D217-43A4-B700-56094F58849A}"/>
    <cellStyle name="Normal 4 6 2 3 3" xfId="1876" xr:uid="{DE07F520-FA4C-4D4B-96F4-795A6B558887}"/>
    <cellStyle name="Normal 4 6 2 3 3 2" xfId="2714" xr:uid="{70C31B90-BBB6-4817-949C-DA2E3A0ED760}"/>
    <cellStyle name="Normal 4 6 2 3 3 2 2" xfId="5149" xr:uid="{B51F2859-ED5D-4806-841E-F8E485598FBD}"/>
    <cellStyle name="Normal 4 6 2 3 3 3" xfId="4393" xr:uid="{8D6825B3-0965-47DD-8C90-D8A6EFA5F9B5}"/>
    <cellStyle name="Normal 4 6 2 3 4" xfId="2461" xr:uid="{BE2315A9-A79D-4D58-AF9E-B002EF2EDB3E}"/>
    <cellStyle name="Normal 4 6 2 3 4 2" xfId="4896" xr:uid="{C63BCD25-DBDC-49AC-BA11-D9820809E420}"/>
    <cellStyle name="Normal 4 6 2 3 5" xfId="4026" xr:uid="{1A9362D9-7AA9-43DE-941F-F8E5E149EBE9}"/>
    <cellStyle name="Normal 4 6 2 4" xfId="1435" xr:uid="{7685870A-C047-4C99-A0BF-1701062D3354}"/>
    <cellStyle name="Normal 4 6 2 4 2" xfId="2044" xr:uid="{798DA74D-08DF-4DED-8B9C-1C1506BC42ED}"/>
    <cellStyle name="Normal 4 6 2 4 2 2" xfId="2882" xr:uid="{9BC80D4D-FA01-4E59-B917-70D765CA0989}"/>
    <cellStyle name="Normal 4 6 2 4 2 2 2" xfId="5317" xr:uid="{C47E416D-7055-4168-AC8F-75A3BF239000}"/>
    <cellStyle name="Normal 4 6 2 4 2 3" xfId="4561" xr:uid="{B7C2E245-5453-418B-9BF5-185A7EAF3D10}"/>
    <cellStyle name="Normal 4 6 2 4 3" xfId="2463" xr:uid="{63FE4BDB-C9BD-4503-9D20-D208D220B406}"/>
    <cellStyle name="Normal 4 6 2 4 3 2" xfId="4898" xr:uid="{A5077B30-1F46-4E2F-B166-7FAC0844CF60}"/>
    <cellStyle name="Normal 4 6 2 4 4" xfId="4028" xr:uid="{0CFCDC1E-5BE4-461A-86D0-07D4964EF215}"/>
    <cellStyle name="Normal 4 6 2 5" xfId="1874" xr:uid="{973D753B-4B02-424F-B827-B46D26EA69ED}"/>
    <cellStyle name="Normal 4 6 2 5 2" xfId="2712" xr:uid="{CB97BAA2-3859-4EA1-9439-8586C8258A66}"/>
    <cellStyle name="Normal 4 6 2 5 2 2" xfId="5147" xr:uid="{EF09B441-62DE-41AD-9513-FD62418A4BBD}"/>
    <cellStyle name="Normal 4 6 2 5 3" xfId="4391" xr:uid="{61D018AD-7B81-465A-8629-0C7FF7BED436}"/>
    <cellStyle name="Normal 4 6 2 6" xfId="2458" xr:uid="{AA81057F-D192-404A-A8E8-9071E5A4ADE6}"/>
    <cellStyle name="Normal 4 6 2 6 2" xfId="4893" xr:uid="{10558653-832F-420D-9D5B-B9EC151A291A}"/>
    <cellStyle name="Normal 4 6 2 7" xfId="4023" xr:uid="{BF1FD5BF-6D48-44AE-A296-D0215D5C3682}"/>
    <cellStyle name="Normal 4 6 3" xfId="1436" xr:uid="{A88E3927-5C89-483F-843D-84143B845777}"/>
    <cellStyle name="Normal 4 6 3 2" xfId="1437" xr:uid="{C587A701-EC3B-4F1D-ADED-CB54A56D5151}"/>
    <cellStyle name="Normal 4 6 3 2 2" xfId="2047" xr:uid="{BDC8E6A6-F802-440A-93AB-FE2AC2FAF50B}"/>
    <cellStyle name="Normal 4 6 3 2 2 2" xfId="2885" xr:uid="{75ABF46E-A8C1-4135-B512-D0117323D769}"/>
    <cellStyle name="Normal 4 6 3 2 2 2 2" xfId="5320" xr:uid="{C32D534B-5787-484A-817C-F3F2A6A40055}"/>
    <cellStyle name="Normal 4 6 3 2 2 3" xfId="4564" xr:uid="{F706264E-E4C1-4F91-95EA-BFA6D65A96C1}"/>
    <cellStyle name="Normal 4 6 3 2 3" xfId="2465" xr:uid="{5A2DBE64-45DA-4212-A44A-54DB40C37055}"/>
    <cellStyle name="Normal 4 6 3 2 3 2" xfId="4900" xr:uid="{61F742CB-04DB-4464-9F85-AFAB39FC0BBA}"/>
    <cellStyle name="Normal 4 6 3 2 4" xfId="4030" xr:uid="{8256C4AD-F679-4712-84B0-670DD9908C17}"/>
    <cellStyle name="Normal 4 6 3 3" xfId="1877" xr:uid="{5BBE7A73-9613-4479-9A5B-E8417AD7049E}"/>
    <cellStyle name="Normal 4 6 3 3 2" xfId="2715" xr:uid="{AD255259-EF28-4D48-98CF-3BC0804EAC48}"/>
    <cellStyle name="Normal 4 6 3 3 2 2" xfId="5150" xr:uid="{1D99E74D-766E-40E5-A771-3A52F40F7134}"/>
    <cellStyle name="Normal 4 6 3 3 3" xfId="4394" xr:uid="{D3F18292-5A86-4AB1-A5A6-3F9E481A7C3B}"/>
    <cellStyle name="Normal 4 6 3 4" xfId="2464" xr:uid="{03FBC877-9BFA-4D45-BAA9-8CE6AC874AA9}"/>
    <cellStyle name="Normal 4 6 3 4 2" xfId="4899" xr:uid="{53409D70-B45A-4775-8E73-0E2922E18E91}"/>
    <cellStyle name="Normal 4 6 3 5" xfId="4029" xr:uid="{8C1E8B8B-7492-41E0-8F16-63AB36D2E01A}"/>
    <cellStyle name="Normal 4 6 4" xfId="1438" xr:uid="{3ADE5F29-6162-4CC6-9939-5A7759483DF6}"/>
    <cellStyle name="Normal 4 6 4 2" xfId="1439" xr:uid="{9C956B0A-D923-4F46-A4EE-8CF25CA52E25}"/>
    <cellStyle name="Normal 4 6 4 2 2" xfId="2048" xr:uid="{FCDD54C5-DBD0-4047-B921-955540F9F95A}"/>
    <cellStyle name="Normal 4 6 4 2 2 2" xfId="2886" xr:uid="{00422412-2BBA-470E-83E7-05F8FBF0AEEF}"/>
    <cellStyle name="Normal 4 6 4 2 2 2 2" xfId="5321" xr:uid="{439FC446-7D45-44ED-82C8-A5FB559245BE}"/>
    <cellStyle name="Normal 4 6 4 2 2 3" xfId="4565" xr:uid="{824FA100-1D34-4969-801F-47E22C067E5B}"/>
    <cellStyle name="Normal 4 6 4 2 3" xfId="2467" xr:uid="{A55FA090-2633-4C7E-8203-1CA3C44A89A3}"/>
    <cellStyle name="Normal 4 6 4 2 3 2" xfId="4902" xr:uid="{71E46671-27D0-4B74-BBF4-AF96CA15768F}"/>
    <cellStyle name="Normal 4 6 4 2 4" xfId="4032" xr:uid="{B6073619-C6AA-4E33-8A91-826F68341C65}"/>
    <cellStyle name="Normal 4 6 4 3" xfId="1878" xr:uid="{B10AD301-133D-48CF-938B-C8FD426F1AD5}"/>
    <cellStyle name="Normal 4 6 4 3 2" xfId="2716" xr:uid="{4EA15C64-6731-4FE6-BC33-93FE40CCD1A8}"/>
    <cellStyle name="Normal 4 6 4 3 2 2" xfId="5151" xr:uid="{C2561033-5E89-494D-B6BB-622822F57F7D}"/>
    <cellStyle name="Normal 4 6 4 3 3" xfId="4395" xr:uid="{13B87717-E6D9-4596-A098-65F59874B98D}"/>
    <cellStyle name="Normal 4 6 4 4" xfId="2466" xr:uid="{B4F27700-57BA-437C-8C0B-C5D0300DDAA7}"/>
    <cellStyle name="Normal 4 6 4 4 2" xfId="4901" xr:uid="{E6B6E6E8-E0B3-4DF0-84AD-FA16A6856107}"/>
    <cellStyle name="Normal 4 6 4 5" xfId="4031" xr:uid="{5757C5BE-6F3D-4FE1-9F3B-364BD56BEA42}"/>
    <cellStyle name="Normal 4 6 5" xfId="1440" xr:uid="{5529D59E-F711-47D2-9E2F-294B7FD0334F}"/>
    <cellStyle name="Normal 4 6 5 2" xfId="2043" xr:uid="{681AB269-9F92-4940-9D75-996C5C906CD5}"/>
    <cellStyle name="Normal 4 6 5 2 2" xfId="2881" xr:uid="{0EFB0F9E-DEF2-45D7-BA4F-62EAD558C49A}"/>
    <cellStyle name="Normal 4 6 5 2 2 2" xfId="5316" xr:uid="{5FABCF2F-9763-475D-BA93-03D031AA71C1}"/>
    <cellStyle name="Normal 4 6 5 2 3" xfId="4560" xr:uid="{036422C0-13C9-4323-B554-2F32109732F3}"/>
    <cellStyle name="Normal 4 6 5 3" xfId="2468" xr:uid="{B9DD7042-CEBF-4012-AE3D-17A97F0A0875}"/>
    <cellStyle name="Normal 4 6 5 3 2" xfId="4903" xr:uid="{04669035-AA24-471E-A8EA-5B35B9ECE7AF}"/>
    <cellStyle name="Normal 4 6 5 4" xfId="4033" xr:uid="{3268616B-37C1-41E1-8A8A-25A9CA7F45AF}"/>
    <cellStyle name="Normal 4 6 6" xfId="1873" xr:uid="{838CBE68-CE96-46A0-A151-4D4BDB6F83D1}"/>
    <cellStyle name="Normal 4 6 6 2" xfId="2711" xr:uid="{93232B3B-1A78-44A2-B8C2-634FCE164D55}"/>
    <cellStyle name="Normal 4 6 6 2 2" xfId="5146" xr:uid="{0E288EB3-0F0E-448E-A2DE-E67DE7427D0E}"/>
    <cellStyle name="Normal 4 6 6 3" xfId="4390" xr:uid="{1C2D5689-F1A9-4788-B8B0-5798895A6DC9}"/>
    <cellStyle name="Normal 4 6 7" xfId="2457" xr:uid="{334A6610-4525-4AC8-9493-8278EF16AB75}"/>
    <cellStyle name="Normal 4 6 7 2" xfId="4892" xr:uid="{3213FACD-F68B-4182-B01C-1E25F711EEFD}"/>
    <cellStyle name="Normal 4 6 8" xfId="4022" xr:uid="{3F0EE19F-820F-49E8-B779-A9EE03DFFBB4}"/>
    <cellStyle name="Normal 4 7" xfId="1441" xr:uid="{6D19813C-0D74-4697-A469-8F01DF008D81}"/>
    <cellStyle name="Normal 4 7 2" xfId="1442" xr:uid="{274E7570-A075-4788-8F6A-8FB84F3AB1D0}"/>
    <cellStyle name="Normal 4 7 2 2" xfId="1443" xr:uid="{49075640-5CC0-4858-A839-DAD3AE47394C}"/>
    <cellStyle name="Normal 4 7 2 2 2" xfId="2050" xr:uid="{F67F6F0A-C25E-444C-9183-61A059FA4560}"/>
    <cellStyle name="Normal 4 7 2 2 2 2" xfId="2888" xr:uid="{F88DE09E-C882-44D1-A310-2879C3E48B40}"/>
    <cellStyle name="Normal 4 7 2 2 2 2 2" xfId="5323" xr:uid="{22115814-EC69-4094-8338-EB18F43B0C25}"/>
    <cellStyle name="Normal 4 7 2 2 2 3" xfId="4567" xr:uid="{484C0353-77B2-4652-B691-6231BCE8845F}"/>
    <cellStyle name="Normal 4 7 2 2 3" xfId="2471" xr:uid="{2D85F0FD-ADEF-4301-9452-92D8FE5FA373}"/>
    <cellStyle name="Normal 4 7 2 2 3 2" xfId="4906" xr:uid="{E0E1DBE1-132B-4375-9B6C-FE13D9F3BCE1}"/>
    <cellStyle name="Normal 4 7 2 2 4" xfId="4036" xr:uid="{2944148E-CAAB-44CF-8F88-295C8FCC4386}"/>
    <cellStyle name="Normal 4 7 2 3" xfId="1880" xr:uid="{6FEFBFD5-CC97-466A-B966-7B4E1850B3D1}"/>
    <cellStyle name="Normal 4 7 2 3 2" xfId="2718" xr:uid="{F6B2717C-439A-4755-A364-40BF2D0B1407}"/>
    <cellStyle name="Normal 4 7 2 3 2 2" xfId="5153" xr:uid="{64793ACA-938C-416B-B491-FA0636FB035E}"/>
    <cellStyle name="Normal 4 7 2 3 3" xfId="4397" xr:uid="{E95CF95F-F2E3-400C-823B-D19673E5F257}"/>
    <cellStyle name="Normal 4 7 2 4" xfId="2470" xr:uid="{50920F58-4314-4D57-9B6B-CB597468B788}"/>
    <cellStyle name="Normal 4 7 2 4 2" xfId="4905" xr:uid="{E76C06AA-8864-4268-AE42-98DE847F0C23}"/>
    <cellStyle name="Normal 4 7 2 5" xfId="4035" xr:uid="{73884499-37A9-49B7-AFCB-2301AAEEE436}"/>
    <cellStyle name="Normal 4 7 3" xfId="1444" xr:uid="{2AE194A7-D00B-488E-B731-0FE33B4FD571}"/>
    <cellStyle name="Normal 4 7 3 2" xfId="1445" xr:uid="{618288DF-54D5-4610-B0CF-C29A5805B2F9}"/>
    <cellStyle name="Normal 4 7 3 2 2" xfId="2051" xr:uid="{8165C4DD-70B1-4FAB-AE0C-B582DC57CAE4}"/>
    <cellStyle name="Normal 4 7 3 2 2 2" xfId="2889" xr:uid="{2DD9CC5E-DB69-4339-A930-53B05FE5308C}"/>
    <cellStyle name="Normal 4 7 3 2 2 2 2" xfId="5324" xr:uid="{7AAFE9E8-80EE-4FB9-A5F5-189E97A86C3F}"/>
    <cellStyle name="Normal 4 7 3 2 2 3" xfId="4568" xr:uid="{A7A4E4F7-9323-4283-8B32-315CEFED7FD9}"/>
    <cellStyle name="Normal 4 7 3 2 3" xfId="2473" xr:uid="{56CB45A4-C19F-4A14-B173-32A3FE35A135}"/>
    <cellStyle name="Normal 4 7 3 2 3 2" xfId="4908" xr:uid="{DB6AE911-78F0-4524-B149-A2465A84B277}"/>
    <cellStyle name="Normal 4 7 3 2 4" xfId="4038" xr:uid="{77E27D78-D974-4D30-8F21-9DE45E76A12A}"/>
    <cellStyle name="Normal 4 7 3 3" xfId="1881" xr:uid="{887B1CAF-DD4A-4EFF-A2FE-74C301FD3862}"/>
    <cellStyle name="Normal 4 7 3 3 2" xfId="2719" xr:uid="{B9855D14-C8A6-4D54-BF05-6E25B47E7C26}"/>
    <cellStyle name="Normal 4 7 3 3 2 2" xfId="5154" xr:uid="{B134FB12-1BF8-41C2-82CC-CAEFEE7AB882}"/>
    <cellStyle name="Normal 4 7 3 3 3" xfId="4398" xr:uid="{D9506790-4B3D-49A8-A91B-4CFD436DF499}"/>
    <cellStyle name="Normal 4 7 3 4" xfId="2472" xr:uid="{B3822C67-3739-47E2-85A7-B8AABAD7E22B}"/>
    <cellStyle name="Normal 4 7 3 4 2" xfId="4907" xr:uid="{56086B24-366F-4BF1-B7B5-968AEFF8DE53}"/>
    <cellStyle name="Normal 4 7 3 5" xfId="4037" xr:uid="{9C0A4BC8-090B-4E23-A2E6-200122297B5C}"/>
    <cellStyle name="Normal 4 7 4" xfId="1446" xr:uid="{7DFE28CB-EE08-478B-911A-69CF0808316E}"/>
    <cellStyle name="Normal 4 7 4 2" xfId="2049" xr:uid="{80DB77B7-EE3A-4E07-83BB-841CEBC0F2AA}"/>
    <cellStyle name="Normal 4 7 4 2 2" xfId="2887" xr:uid="{75A459BA-04D7-4A05-91BF-AC7A86F972AB}"/>
    <cellStyle name="Normal 4 7 4 2 2 2" xfId="5322" xr:uid="{3F06D13A-C637-4DE1-A4B7-D7CD0E9B7E61}"/>
    <cellStyle name="Normal 4 7 4 2 3" xfId="4566" xr:uid="{C85C73B2-2BF8-4775-864C-E828EEC068D7}"/>
    <cellStyle name="Normal 4 7 4 3" xfId="2474" xr:uid="{ADB7D63D-4593-483F-B1DF-7A81208DE749}"/>
    <cellStyle name="Normal 4 7 4 3 2" xfId="4909" xr:uid="{D36E8B7C-B32C-4EED-B83F-8BD46143B92D}"/>
    <cellStyle name="Normal 4 7 4 4" xfId="4039" xr:uid="{09CED49F-6017-4FCE-BA6A-347D10F711E5}"/>
    <cellStyle name="Normal 4 7 5" xfId="1879" xr:uid="{09DACF4E-CEC4-4F23-BD12-C72385493460}"/>
    <cellStyle name="Normal 4 7 5 2" xfId="2717" xr:uid="{AE198D66-DCE2-4C5F-A8C7-6DFC4CC274CE}"/>
    <cellStyle name="Normal 4 7 5 2 2" xfId="5152" xr:uid="{78DFE5B4-8B4E-43FA-9A8F-DD59DE241DD8}"/>
    <cellStyle name="Normal 4 7 5 3" xfId="4396" xr:uid="{0E971057-20BE-4C20-9505-51D690ECD0F1}"/>
    <cellStyle name="Normal 4 7 6" xfId="2469" xr:uid="{0DA17CEE-83E9-4663-A93D-B87A3F0DE97A}"/>
    <cellStyle name="Normal 4 7 6 2" xfId="4904" xr:uid="{9E977966-1D76-40A8-9B53-16023BB46549}"/>
    <cellStyle name="Normal 4 7 7" xfId="4034" xr:uid="{E0955BE2-1421-4414-A10E-F0D2828501DC}"/>
    <cellStyle name="Normal 4 8" xfId="1447" xr:uid="{2ED07110-A5A3-4EB3-B373-0E0DDC685D3D}"/>
    <cellStyle name="Normal 4 8 2" xfId="1448" xr:uid="{67B9D659-7A5E-41E7-9A39-1098728ACBE9}"/>
    <cellStyle name="Normal 4 8 2 2" xfId="2052" xr:uid="{2C003BAB-7666-432E-B707-7E461A18D46B}"/>
    <cellStyle name="Normal 4 8 2 2 2" xfId="2890" xr:uid="{D7A26C00-C765-4CFE-B6CF-9FB452E4CE61}"/>
    <cellStyle name="Normal 4 8 2 2 2 2" xfId="5325" xr:uid="{D07A1274-CD1D-4A74-A2DC-0C7F017BCC23}"/>
    <cellStyle name="Normal 4 8 2 2 3" xfId="4569" xr:uid="{36500285-0CB5-4F34-AE22-C7741BA56B8C}"/>
    <cellStyle name="Normal 4 8 2 3" xfId="2476" xr:uid="{F0D04844-AD76-43F4-A23E-5F6D3DFE9EFC}"/>
    <cellStyle name="Normal 4 8 2 3 2" xfId="4911" xr:uid="{073F8336-0CFB-46C3-8AB1-EBC1E64C2063}"/>
    <cellStyle name="Normal 4 8 2 4" xfId="4041" xr:uid="{18ADB92A-2848-4131-A249-3FE0087D6A5A}"/>
    <cellStyle name="Normal 4 8 3" xfId="1882" xr:uid="{B704E103-0C78-4F51-A269-B219C8C5EACD}"/>
    <cellStyle name="Normal 4 8 3 2" xfId="2720" xr:uid="{358CE768-6715-4304-9F6D-E28762CF3F7B}"/>
    <cellStyle name="Normal 4 8 3 2 2" xfId="5155" xr:uid="{632DE23F-B9AF-4C58-B600-68F8D6492C69}"/>
    <cellStyle name="Normal 4 8 3 3" xfId="4399" xr:uid="{7421A8A0-ADEE-4900-9B3D-4D9D5B0F9919}"/>
    <cellStyle name="Normal 4 8 4" xfId="2475" xr:uid="{C0E8D20C-B9AE-41A3-BC22-9F97F8E30C41}"/>
    <cellStyle name="Normal 4 8 4 2" xfId="4910" xr:uid="{5494FE82-818B-467A-B573-E19A61E348A1}"/>
    <cellStyle name="Normal 4 8 5" xfId="4040" xr:uid="{4E87491C-58D8-490A-AF30-19FA716F5950}"/>
    <cellStyle name="Normal 4 9" xfId="1449" xr:uid="{F50D522F-3BBC-4F7F-AC36-B4D258D52C94}"/>
    <cellStyle name="Normal 4 9 2" xfId="1450" xr:uid="{E50B2F15-0EE9-4132-B483-E875A267060C}"/>
    <cellStyle name="Normal 4 9 2 2" xfId="2053" xr:uid="{4D38DCA1-DAA3-43D8-A950-00420BB0580C}"/>
    <cellStyle name="Normal 4 9 2 2 2" xfId="2891" xr:uid="{4B07E216-A787-4B6A-B437-9901F2F1CD21}"/>
    <cellStyle name="Normal 4 9 2 2 2 2" xfId="5326" xr:uid="{48541D40-2B62-4B17-A6B5-BD4BEC8822A3}"/>
    <cellStyle name="Normal 4 9 2 2 3" xfId="4570" xr:uid="{707D115E-EAC7-4AE8-9A41-0A92B9E3A208}"/>
    <cellStyle name="Normal 4 9 2 3" xfId="2478" xr:uid="{F4C734D3-5096-482B-8689-A913EE72ECB8}"/>
    <cellStyle name="Normal 4 9 2 3 2" xfId="4913" xr:uid="{07BDD20E-C372-4725-BE77-0345DBEB0CB7}"/>
    <cellStyle name="Normal 4 9 2 4" xfId="4043" xr:uid="{19A0311B-301A-4885-BC1D-9287F77F327F}"/>
    <cellStyle name="Normal 4 9 3" xfId="1883" xr:uid="{3A33CAD0-CC6D-4D5D-B42C-78BF7D0C51F5}"/>
    <cellStyle name="Normal 4 9 3 2" xfId="2721" xr:uid="{4A5C4AF6-2976-4AF4-9B65-7342A5EA4388}"/>
    <cellStyle name="Normal 4 9 3 2 2" xfId="5156" xr:uid="{BA534A4A-4FBB-47BA-A51E-76B3178910CE}"/>
    <cellStyle name="Normal 4 9 3 3" xfId="4400" xr:uid="{CB6CE08E-C652-4998-8786-1061855C9F8C}"/>
    <cellStyle name="Normal 4 9 4" xfId="2477" xr:uid="{35FF2734-CDF3-4E47-8BFE-33CDDDC85BF2}"/>
    <cellStyle name="Normal 4 9 4 2" xfId="4912" xr:uid="{0A1E9949-DDC5-40EF-89BD-50A959B2A503}"/>
    <cellStyle name="Normal 4 9 5" xfId="4042" xr:uid="{A110DD3B-0993-4C66-A139-7FA743BCE779}"/>
    <cellStyle name="Normal 40" xfId="2156" xr:uid="{833ACCC3-0708-4F38-B5E0-0B9F66D5EBA7}"/>
    <cellStyle name="Normal 40 2" xfId="2994" xr:uid="{69A37F8E-DE01-4AE6-B7C3-1DF7B3E3EE64}"/>
    <cellStyle name="Normal 41" xfId="2149" xr:uid="{2B9A42E2-903D-48DD-BF60-2A19576B5168}"/>
    <cellStyle name="Normal 41 2" xfId="2987" xr:uid="{0B71EFD9-3953-49C0-971B-19D4EB98154E}"/>
    <cellStyle name="Normal 42" xfId="2144" xr:uid="{DF71B3CC-026C-44F0-A8F4-948A502706E2}"/>
    <cellStyle name="Normal 42 2" xfId="2982" xr:uid="{E3C4B33F-96FF-4BC0-A976-2966B9C60F20}"/>
    <cellStyle name="Normal 43" xfId="2155" xr:uid="{E1578A36-AA72-4DC6-8C0B-4E02C3D0531C}"/>
    <cellStyle name="Normal 43 2" xfId="2993" xr:uid="{AFE3399E-1251-4877-8772-AB791F792E7A}"/>
    <cellStyle name="Normal 44" xfId="2186" xr:uid="{1F8C26B9-A588-4817-A695-426AA1A34679}"/>
    <cellStyle name="Normal 44 2" xfId="2997" xr:uid="{BEF0AA77-3B1E-46CC-9DC2-37E39241F1ED}"/>
    <cellStyle name="Normal 45" xfId="2191" xr:uid="{9E042CA5-78F0-4346-B081-248E2D156C3E}"/>
    <cellStyle name="Normal 45 2" xfId="3002" xr:uid="{F3F3DBD2-0344-46C9-ADF8-44F87F78915C}"/>
    <cellStyle name="Normal 46" xfId="2189" xr:uid="{C84B86F2-5536-4D55-B6BF-08A2C79C1A1C}"/>
    <cellStyle name="Normal 46 2" xfId="3000" xr:uid="{2A04F1D6-9172-4205-A554-828D6ECD54D8}"/>
    <cellStyle name="Normal 47" xfId="2192" xr:uid="{A37F5F94-2903-4268-8BA8-F6476126BEB2}"/>
    <cellStyle name="Normal 47 2" xfId="3003" xr:uid="{C85E3F99-4FB6-472C-A65F-5E012A96BFC9}"/>
    <cellStyle name="Normal 48" xfId="2188" xr:uid="{AEDFD02D-CF88-4B59-BB2E-817D36BAFFD0}"/>
    <cellStyle name="Normal 48 2" xfId="2999" xr:uid="{D6FE34E5-0A59-460C-8409-EA9AFBF09CD5}"/>
    <cellStyle name="Normal 49" xfId="2190" xr:uid="{4255AAE2-EE31-4421-BA56-F2082C8EB45E}"/>
    <cellStyle name="Normal 49 2" xfId="3001" xr:uid="{66ABD6D1-F2F8-4CA8-B245-A21BB1356B62}"/>
    <cellStyle name="Normal 5" xfId="147" xr:uid="{00000000-0005-0000-0000-0000B8010000}"/>
    <cellStyle name="Normal 5 10" xfId="2214" xr:uid="{FC419888-3464-43B7-BD60-05DDA4C02CDF}"/>
    <cellStyle name="Normal 5 10 2" xfId="4704" xr:uid="{2EAA99BF-9730-407C-9B8B-50096216FFC8}"/>
    <cellStyle name="Normal 5 11" xfId="2479" xr:uid="{C26C9D8F-F8AF-4EBB-9229-6D8E12FDC96C}"/>
    <cellStyle name="Normal 5 11 2" xfId="4914" xr:uid="{BA6C05E7-FFBD-4071-AD66-088D41B77BEA}"/>
    <cellStyle name="Normal 5 12" xfId="1451" xr:uid="{37A0B83C-AF6A-4FA9-9082-8F525E6BF3AC}"/>
    <cellStyle name="Normal 5 12 2" xfId="4044" xr:uid="{98135312-A6EB-4396-A499-881BD8E6AB71}"/>
    <cellStyle name="Normal 5 13" xfId="3366" xr:uid="{68083BC7-707A-4431-BB6B-10C35827BF9C}"/>
    <cellStyle name="Normal 5 2" xfId="238" xr:uid="{00000000-0005-0000-0000-0000B9010000}"/>
    <cellStyle name="Normal 5 2 10" xfId="1452" xr:uid="{B345E12F-17F1-4A0B-8BC7-874CE4D3D51B}"/>
    <cellStyle name="Normal 5 2 10 2" xfId="4045" xr:uid="{824C530E-9339-4872-8529-1FCAA262ACBD}"/>
    <cellStyle name="Normal 5 2 11" xfId="3378" xr:uid="{7A2874FF-E016-4BE9-9FBE-500CC83121D5}"/>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2 2 2" xfId="2895" xr:uid="{C22E4965-62E4-4B55-8EE5-7F6547E6DEE8}"/>
    <cellStyle name="Normal 5 2 2 2 2 2 2 2 2 2" xfId="5330" xr:uid="{B882B195-3C14-46E9-B04D-2B6B8FD07629}"/>
    <cellStyle name="Normal 5 2 2 2 2 2 2 2 3" xfId="3807" xr:uid="{2B6BFB72-2E83-4937-8C40-C0F7F7FA529B}"/>
    <cellStyle name="Normal 5 2 2 2 2 2 2 3" xfId="2057" xr:uid="{204ACA08-09E5-46E2-AEBA-105B0418E9C9}"/>
    <cellStyle name="Normal 5 2 2 2 2 2 2 3 2" xfId="4574" xr:uid="{E58B8DC7-654D-4594-AC9E-76ABC305E332}"/>
    <cellStyle name="Normal 5 2 2 2 2 2 2 4" xfId="3598" xr:uid="{AE6306E9-711D-418B-837E-F1A8AD7686C1}"/>
    <cellStyle name="Normal 5 2 2 2 2 2 3" xfId="769" xr:uid="{00000000-0005-0000-0000-0000C0010000}"/>
    <cellStyle name="Normal 5 2 2 2 2 2 3 2" xfId="2484" xr:uid="{6C79D472-4AB0-4D02-851E-40CE9EFCE663}"/>
    <cellStyle name="Normal 5 2 2 2 2 2 3 2 2" xfId="4919" xr:uid="{D4B2ED2E-0976-479F-B33F-19DB5B4F19CA}"/>
    <cellStyle name="Normal 5 2 2 2 2 2 3 3" xfId="3702" xr:uid="{7BABD59C-A01D-4F69-8A3E-E9AF17DC463F}"/>
    <cellStyle name="Normal 5 2 2 2 2 2 4" xfId="1456" xr:uid="{C9665ABD-B1B5-4347-A3E7-DD7E5A7C7A5D}"/>
    <cellStyle name="Normal 5 2 2 2 2 2 4 2" xfId="4049" xr:uid="{E3F9C28E-59AD-4BAD-9CDA-1B5328FBD9A6}"/>
    <cellStyle name="Normal 5 2 2 2 2 2 5" xfId="3488" xr:uid="{8B8CB446-55E6-47B3-B869-F11141FFA538}"/>
    <cellStyle name="Normal 5 2 2 2 2 3" xfId="612" xr:uid="{00000000-0005-0000-0000-0000C1010000}"/>
    <cellStyle name="Normal 5 2 2 2 2 3 2" xfId="823" xr:uid="{00000000-0005-0000-0000-0000C2010000}"/>
    <cellStyle name="Normal 5 2 2 2 2 3 2 2" xfId="2725" xr:uid="{5DFEC5AC-B65F-4415-ACD7-2F6FCA3936ED}"/>
    <cellStyle name="Normal 5 2 2 2 2 3 2 2 2" xfId="5160" xr:uid="{259C6B6B-9DD8-4A7D-B0C5-9BD8E74695AA}"/>
    <cellStyle name="Normal 5 2 2 2 2 3 2 3" xfId="3755" xr:uid="{2AAE0E7D-64EC-4EF1-997E-3635065BD232}"/>
    <cellStyle name="Normal 5 2 2 2 2 3 3" xfId="1887" xr:uid="{26117F46-18A8-4F58-BEE2-F6FDB9AE8D26}"/>
    <cellStyle name="Normal 5 2 2 2 2 3 3 2" xfId="4404" xr:uid="{C63EADEC-E82B-4A5C-A935-49CC868A2209}"/>
    <cellStyle name="Normal 5 2 2 2 2 3 4" xfId="3546" xr:uid="{777AF9A5-3FC5-48AF-958C-F579AE3569C1}"/>
    <cellStyle name="Normal 5 2 2 2 2 4" xfId="717" xr:uid="{00000000-0005-0000-0000-0000C3010000}"/>
    <cellStyle name="Normal 5 2 2 2 2 4 2" xfId="2483" xr:uid="{789506B2-52C1-49F9-9775-70EF8C7B4FDA}"/>
    <cellStyle name="Normal 5 2 2 2 2 4 2 2" xfId="4918" xr:uid="{25132616-5660-4F87-9CFA-C785F7C6B280}"/>
    <cellStyle name="Normal 5 2 2 2 2 4 3" xfId="3650" xr:uid="{A865DAF0-520F-479B-88BE-23057AA4BBC3}"/>
    <cellStyle name="Normal 5 2 2 2 2 5" xfId="1455" xr:uid="{63AC2AE2-E42C-4DAB-A09E-6711B6615F81}"/>
    <cellStyle name="Normal 5 2 2 2 2 5 2" xfId="4048" xr:uid="{E68A12E5-574F-45B0-A044-ED4F17618C42}"/>
    <cellStyle name="Normal 5 2 2 2 2 6" xfId="3431" xr:uid="{9D3D9BF3-7A8A-4490-AA14-3026F4AC633E}"/>
    <cellStyle name="Normal 5 2 2 2 3" xfId="482" xr:uid="{00000000-0005-0000-0000-0000C4010000}"/>
    <cellStyle name="Normal 5 2 2 2 3 2" xfId="638" xr:uid="{00000000-0005-0000-0000-0000C5010000}"/>
    <cellStyle name="Normal 5 2 2 2 3 2 2" xfId="849" xr:uid="{00000000-0005-0000-0000-0000C6010000}"/>
    <cellStyle name="Normal 5 2 2 2 3 2 2 2" xfId="2896" xr:uid="{959B8AF7-DD1E-43C6-A5B3-7C8E4A9A246E}"/>
    <cellStyle name="Normal 5 2 2 2 3 2 2 2 2" xfId="5331" xr:uid="{1B0E69CB-C21C-42DC-9CA3-BC1D63635F67}"/>
    <cellStyle name="Normal 5 2 2 2 3 2 2 3" xfId="2058" xr:uid="{DEACB3E0-9634-482A-AF7B-C51926D36A7C}"/>
    <cellStyle name="Normal 5 2 2 2 3 2 2 3 2" xfId="4575" xr:uid="{58F59814-8424-423D-BAF2-5712CA83A18E}"/>
    <cellStyle name="Normal 5 2 2 2 3 2 2 4" xfId="3781" xr:uid="{FBF1CD49-4155-45A9-A5A6-9489AF58AE3D}"/>
    <cellStyle name="Normal 5 2 2 2 3 2 3" xfId="2486" xr:uid="{CFEF161E-9FE0-49C0-9167-5D529D218C4E}"/>
    <cellStyle name="Normal 5 2 2 2 3 2 3 2" xfId="4921" xr:uid="{3B06A147-3496-469E-A72A-67FFDFB0D65C}"/>
    <cellStyle name="Normal 5 2 2 2 3 2 4" xfId="1458" xr:uid="{EE2EEC5F-D162-4254-BA76-EF8DB7EEB619}"/>
    <cellStyle name="Normal 5 2 2 2 3 2 4 2" xfId="4051" xr:uid="{D1699A3E-230F-4973-911D-2B874D460FF9}"/>
    <cellStyle name="Normal 5 2 2 2 3 2 5" xfId="3572" xr:uid="{90238EAD-5EAD-491B-B323-4678CCC96BF5}"/>
    <cellStyle name="Normal 5 2 2 2 3 3" xfId="743" xr:uid="{00000000-0005-0000-0000-0000C7010000}"/>
    <cellStyle name="Normal 5 2 2 2 3 3 2" xfId="2726" xr:uid="{B82F4081-33CB-4FDF-B6C5-5A6E5CD3D714}"/>
    <cellStyle name="Normal 5 2 2 2 3 3 2 2" xfId="5161" xr:uid="{CC42FAAC-1DAC-48EF-952A-910D2FC5755F}"/>
    <cellStyle name="Normal 5 2 2 2 3 3 3" xfId="1888" xr:uid="{DBF11B20-66BB-43EA-923A-FE1F2F6CB409}"/>
    <cellStyle name="Normal 5 2 2 2 3 3 3 2" xfId="4405" xr:uid="{12230D17-3F9C-4D36-84DF-769D3E9BE415}"/>
    <cellStyle name="Normal 5 2 2 2 3 3 4" xfId="3676" xr:uid="{BAB7A0D7-3034-4DA7-ADA9-2FFA735C8B20}"/>
    <cellStyle name="Normal 5 2 2 2 3 4" xfId="2485" xr:uid="{9C9EE4C6-EA6A-42BD-A6BE-2FCD5C39F369}"/>
    <cellStyle name="Normal 5 2 2 2 3 4 2" xfId="4920" xr:uid="{00A65839-AC84-4A7C-A522-E398EDF65C38}"/>
    <cellStyle name="Normal 5 2 2 2 3 5" xfId="1457" xr:uid="{1AB55730-1E42-403B-84F2-4CE6AD2FF437}"/>
    <cellStyle name="Normal 5 2 2 2 3 5 2" xfId="4050" xr:uid="{79343096-ACF7-4977-8523-1D193E4600CB}"/>
    <cellStyle name="Normal 5 2 2 2 3 6" xfId="3462" xr:uid="{90E25793-11D8-4B4C-9194-4AFE4D0C871B}"/>
    <cellStyle name="Normal 5 2 2 2 4" xfId="586" xr:uid="{00000000-0005-0000-0000-0000C8010000}"/>
    <cellStyle name="Normal 5 2 2 2 4 2" xfId="797" xr:uid="{00000000-0005-0000-0000-0000C9010000}"/>
    <cellStyle name="Normal 5 2 2 2 4 2 2" xfId="2894" xr:uid="{8721304C-C15F-46F5-8634-0110A42D9BE6}"/>
    <cellStyle name="Normal 5 2 2 2 4 2 2 2" xfId="5329" xr:uid="{5D53B101-0374-4CF6-AB27-D84F8A5720E2}"/>
    <cellStyle name="Normal 5 2 2 2 4 2 3" xfId="2056" xr:uid="{A36E88A1-E9CB-44FA-BDAE-1B1978155031}"/>
    <cellStyle name="Normal 5 2 2 2 4 2 3 2" xfId="4573" xr:uid="{469CC77D-5BD6-4DB6-8AA3-65F7119EF7B5}"/>
    <cellStyle name="Normal 5 2 2 2 4 2 4" xfId="3729" xr:uid="{60CDB703-2BC2-49AA-888D-8756D22DDC48}"/>
    <cellStyle name="Normal 5 2 2 2 4 3" xfId="2487" xr:uid="{2F7BBA1E-0AB5-4668-B292-F68A8FAE0D7B}"/>
    <cellStyle name="Normal 5 2 2 2 4 3 2" xfId="4922" xr:uid="{EBC477ED-7397-4F73-9418-17C7E8478D3D}"/>
    <cellStyle name="Normal 5 2 2 2 4 4" xfId="1459" xr:uid="{80C1D847-F105-49C0-BA8B-657ED51C3749}"/>
    <cellStyle name="Normal 5 2 2 2 4 4 2" xfId="4052" xr:uid="{29E4B5C3-05C5-4052-8B90-8A9A59FE8EB6}"/>
    <cellStyle name="Normal 5 2 2 2 4 5" xfId="3520" xr:uid="{4520C424-7DFB-49F3-8451-E121F4B3D64B}"/>
    <cellStyle name="Normal 5 2 2 2 5" xfId="691" xr:uid="{00000000-0005-0000-0000-0000CA010000}"/>
    <cellStyle name="Normal 5 2 2 2 5 2" xfId="2724" xr:uid="{9C6486A8-FD0D-466C-A810-27D0C5EC064A}"/>
    <cellStyle name="Normal 5 2 2 2 5 2 2" xfId="5159" xr:uid="{7CA9D2BC-9587-4FC7-9A52-A3F0DDE5832A}"/>
    <cellStyle name="Normal 5 2 2 2 5 3" xfId="1886" xr:uid="{0C098C09-004B-419C-B53D-AA179EDE2FE0}"/>
    <cellStyle name="Normal 5 2 2 2 5 3 2" xfId="4403" xr:uid="{65248DC2-3A47-4852-ADE0-43D0781278D2}"/>
    <cellStyle name="Normal 5 2 2 2 5 4" xfId="3624" xr:uid="{A2E2E20E-C58A-4ED9-8F4F-761D2342AFCD}"/>
    <cellStyle name="Normal 5 2 2 2 6" xfId="2482" xr:uid="{6A5F0431-D6B8-4361-AC16-4E0E19434E81}"/>
    <cellStyle name="Normal 5 2 2 2 6 2" xfId="4917" xr:uid="{CE3D85D0-9861-41CB-9DE5-57F63FD37D29}"/>
    <cellStyle name="Normal 5 2 2 2 7" xfId="1454" xr:uid="{716D35EE-6F6E-4F2A-8711-9B21DE7CEA3D}"/>
    <cellStyle name="Normal 5 2 2 2 7 2" xfId="4047" xr:uid="{8436EEED-4B50-47AB-931D-789BCA3B26A6}"/>
    <cellStyle name="Normal 5 2 2 2 8" xfId="3400" xr:uid="{117AD9E3-7B9A-4025-9907-D715521E1E2A}"/>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2 2 2" xfId="3816" xr:uid="{D3CED024-50D6-43B5-BAC8-86F59B5E8700}"/>
    <cellStyle name="Normal 5 2 2 3 2 2 2 3" xfId="2897" xr:uid="{FD99C5EC-B4FD-4E60-82F5-B14BFFBA1920}"/>
    <cellStyle name="Normal 5 2 2 3 2 2 2 3 2" xfId="5332" xr:uid="{E2895CA9-09D2-404C-AAC2-7038C9B5EE77}"/>
    <cellStyle name="Normal 5 2 2 3 2 2 2 4" xfId="3607" xr:uid="{6E0E5B58-79F3-493C-84A0-58D869FDA727}"/>
    <cellStyle name="Normal 5 2 2 3 2 2 3" xfId="778" xr:uid="{00000000-0005-0000-0000-0000D0010000}"/>
    <cellStyle name="Normal 5 2 2 3 2 2 3 2" xfId="3711" xr:uid="{85CE1A1F-8F38-423A-B6E0-B425548F6CD2}"/>
    <cellStyle name="Normal 5 2 2 3 2 2 4" xfId="2059" xr:uid="{C639309B-B139-4ABB-8EA4-B9A48EBB2EEC}"/>
    <cellStyle name="Normal 5 2 2 3 2 2 4 2" xfId="4576" xr:uid="{9B57CDAE-1CB7-4A24-81D5-6EB47608003B}"/>
    <cellStyle name="Normal 5 2 2 3 2 2 5" xfId="3497" xr:uid="{D87EB986-41B4-4739-B715-160210582542}"/>
    <cellStyle name="Normal 5 2 2 3 2 3" xfId="621" xr:uid="{00000000-0005-0000-0000-0000D1010000}"/>
    <cellStyle name="Normal 5 2 2 3 2 3 2" xfId="832" xr:uid="{00000000-0005-0000-0000-0000D2010000}"/>
    <cellStyle name="Normal 5 2 2 3 2 3 2 2" xfId="3764" xr:uid="{BE30B3DF-2D08-4DA9-BC3A-0B7155040515}"/>
    <cellStyle name="Normal 5 2 2 3 2 3 3" xfId="2489" xr:uid="{9CFC7D29-396E-41FD-B4EE-1A0F7DD76644}"/>
    <cellStyle name="Normal 5 2 2 3 2 3 3 2" xfId="4924" xr:uid="{9113A60B-5656-40A7-808B-6278FA7899F7}"/>
    <cellStyle name="Normal 5 2 2 3 2 3 4" xfId="3555" xr:uid="{942D044B-0B1B-480C-83BC-0CCDC90B1296}"/>
    <cellStyle name="Normal 5 2 2 3 2 4" xfId="726" xr:uid="{00000000-0005-0000-0000-0000D3010000}"/>
    <cellStyle name="Normal 5 2 2 3 2 4 2" xfId="3659" xr:uid="{E22746E2-50F2-4C67-BE04-8E2DFD877A4A}"/>
    <cellStyle name="Normal 5 2 2 3 2 5" xfId="1461" xr:uid="{8C7F834B-B769-43A6-B67B-4DB9B911AB61}"/>
    <cellStyle name="Normal 5 2 2 3 2 5 2" xfId="4054" xr:uid="{F9324A4D-8C26-434A-A0FB-008FADB9D294}"/>
    <cellStyle name="Normal 5 2 2 3 2 6" xfId="3440" xr:uid="{B547A23C-8EDA-4BBF-B35E-C58B3250BDE8}"/>
    <cellStyle name="Normal 5 2 2 3 3" xfId="491" xr:uid="{00000000-0005-0000-0000-0000D4010000}"/>
    <cellStyle name="Normal 5 2 2 3 3 2" xfId="647" xr:uid="{00000000-0005-0000-0000-0000D5010000}"/>
    <cellStyle name="Normal 5 2 2 3 3 2 2" xfId="858" xr:uid="{00000000-0005-0000-0000-0000D6010000}"/>
    <cellStyle name="Normal 5 2 2 3 3 2 2 2" xfId="3790" xr:uid="{521FDC9B-04BE-4121-AFE2-63343361177C}"/>
    <cellStyle name="Normal 5 2 2 3 3 2 3" xfId="2727" xr:uid="{19CDFF11-7329-4AA1-9CBD-D750DB859E14}"/>
    <cellStyle name="Normal 5 2 2 3 3 2 3 2" xfId="5162" xr:uid="{36BD0FFF-4ED9-4DE8-B6CC-9180D4EC531E}"/>
    <cellStyle name="Normal 5 2 2 3 3 2 4" xfId="3581" xr:uid="{80EC74A9-A969-46E9-B087-72D678859F5F}"/>
    <cellStyle name="Normal 5 2 2 3 3 3" xfId="752" xr:uid="{00000000-0005-0000-0000-0000D7010000}"/>
    <cellStyle name="Normal 5 2 2 3 3 3 2" xfId="3685" xr:uid="{18755D40-EDC4-4C63-8F1C-64B2B5B79954}"/>
    <cellStyle name="Normal 5 2 2 3 3 4" xfId="1889" xr:uid="{8E38AF2D-15BE-4F4A-AD05-A70A49C70939}"/>
    <cellStyle name="Normal 5 2 2 3 3 4 2" xfId="4406" xr:uid="{C09C4194-CD3F-489A-A6CD-1B94C2EA2EF9}"/>
    <cellStyle name="Normal 5 2 2 3 3 5" xfId="3471" xr:uid="{7B36600F-49C3-4DCB-8627-0ECD2303CD0C}"/>
    <cellStyle name="Normal 5 2 2 3 4" xfId="595" xr:uid="{00000000-0005-0000-0000-0000D8010000}"/>
    <cellStyle name="Normal 5 2 2 3 4 2" xfId="806" xr:uid="{00000000-0005-0000-0000-0000D9010000}"/>
    <cellStyle name="Normal 5 2 2 3 4 2 2" xfId="3738" xr:uid="{0B43E596-105C-4AFB-92C4-284470C43713}"/>
    <cellStyle name="Normal 5 2 2 3 4 3" xfId="2488" xr:uid="{E0152DFB-6ECB-4ECA-85F6-5345BDB0D48F}"/>
    <cellStyle name="Normal 5 2 2 3 4 3 2" xfId="4923" xr:uid="{EB4E49FC-5CF7-491B-A1F9-0829F3683809}"/>
    <cellStyle name="Normal 5 2 2 3 4 4" xfId="3529" xr:uid="{6897B63D-8E8C-450F-827D-CF30492558F0}"/>
    <cellStyle name="Normal 5 2 2 3 5" xfId="700" xr:uid="{00000000-0005-0000-0000-0000DA010000}"/>
    <cellStyle name="Normal 5 2 2 3 5 2" xfId="3633" xr:uid="{D4B63850-C3DE-428D-9F43-1C17BBD0CCB4}"/>
    <cellStyle name="Normal 5 2 2 3 6" xfId="1460" xr:uid="{CE596074-7EF5-49B9-96D2-20D4AD617E7F}"/>
    <cellStyle name="Normal 5 2 2 3 6 2" xfId="4053" xr:uid="{79A55C5F-B415-43C1-B9F0-DFC331902371}"/>
    <cellStyle name="Normal 5 2 2 3 7" xfId="3409" xr:uid="{03644E33-BEBC-4FF4-9243-9D824235F204}"/>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2 2 2" xfId="2898" xr:uid="{8E1B9D7B-44A9-4872-975E-687590BAA135}"/>
    <cellStyle name="Normal 5 2 2 4 2 2 2 2 2" xfId="5333" xr:uid="{38B55BFB-FFF0-449A-8DD0-20845E3CF96B}"/>
    <cellStyle name="Normal 5 2 2 4 2 2 2 3" xfId="3799" xr:uid="{235E3133-FAC2-42FF-810D-457D0E925FF2}"/>
    <cellStyle name="Normal 5 2 2 4 2 2 3" xfId="2060" xr:uid="{A613A8DD-12E4-4476-9BC8-68B3598AEBFD}"/>
    <cellStyle name="Normal 5 2 2 4 2 2 3 2" xfId="4577" xr:uid="{864C769A-8AEB-42BE-90B4-ACC779A31E49}"/>
    <cellStyle name="Normal 5 2 2 4 2 2 4" xfId="3590" xr:uid="{3332B737-AD15-4BEA-8986-D6868AFF7321}"/>
    <cellStyle name="Normal 5 2 2 4 2 3" xfId="761" xr:uid="{00000000-0005-0000-0000-0000DF010000}"/>
    <cellStyle name="Normal 5 2 2 4 2 3 2" xfId="2491" xr:uid="{EC29C2D2-F545-47EB-8F97-24FBB613D7EB}"/>
    <cellStyle name="Normal 5 2 2 4 2 3 2 2" xfId="4926" xr:uid="{9E89E6E8-4324-4CB4-8362-83B7CC755667}"/>
    <cellStyle name="Normal 5 2 2 4 2 3 3" xfId="3694" xr:uid="{0B75829B-6B3A-463C-B1E7-5B27A2A95D3D}"/>
    <cellStyle name="Normal 5 2 2 4 2 4" xfId="1463" xr:uid="{55773854-0F61-4763-8936-45520294D14C}"/>
    <cellStyle name="Normal 5 2 2 4 2 4 2" xfId="4056" xr:uid="{6AE5FB35-B317-4145-B67E-A4460781AB08}"/>
    <cellStyle name="Normal 5 2 2 4 2 5" xfId="3480" xr:uid="{FE936D7E-2A95-4195-8A61-B2CB66651FB2}"/>
    <cellStyle name="Normal 5 2 2 4 3" xfId="604" xr:uid="{00000000-0005-0000-0000-0000E0010000}"/>
    <cellStyle name="Normal 5 2 2 4 3 2" xfId="815" xr:uid="{00000000-0005-0000-0000-0000E1010000}"/>
    <cellStyle name="Normal 5 2 2 4 3 2 2" xfId="2728" xr:uid="{D873E091-CA3D-4277-9DD5-8510F3F3B477}"/>
    <cellStyle name="Normal 5 2 2 4 3 2 2 2" xfId="5163" xr:uid="{A2AE0BD9-0C70-48B7-9687-28026C340D9D}"/>
    <cellStyle name="Normal 5 2 2 4 3 2 3" xfId="3747" xr:uid="{CF97BED2-CD09-42FB-90C3-7DF613BD86F3}"/>
    <cellStyle name="Normal 5 2 2 4 3 3" xfId="1890" xr:uid="{14B122AF-6F28-430B-B68F-4A9C0B1D9364}"/>
    <cellStyle name="Normal 5 2 2 4 3 3 2" xfId="4407" xr:uid="{9A45687B-C70F-4910-ACFE-2F91344D62FC}"/>
    <cellStyle name="Normal 5 2 2 4 3 4" xfId="3538" xr:uid="{C057A4E5-636A-42D7-AD83-6DA21C8439C9}"/>
    <cellStyle name="Normal 5 2 2 4 4" xfId="709" xr:uid="{00000000-0005-0000-0000-0000E2010000}"/>
    <cellStyle name="Normal 5 2 2 4 4 2" xfId="2490" xr:uid="{DBAE2489-BA0B-4A10-B155-43E4BFF94EB8}"/>
    <cellStyle name="Normal 5 2 2 4 4 2 2" xfId="4925" xr:uid="{C6F847A3-E0E6-4932-B678-04A0A07A8378}"/>
    <cellStyle name="Normal 5 2 2 4 4 3" xfId="3642" xr:uid="{28C24A7C-4194-4165-BEDC-E1969F90051B}"/>
    <cellStyle name="Normal 5 2 2 4 5" xfId="1462" xr:uid="{53C56C6B-3807-42CD-AEE7-ED48643937CE}"/>
    <cellStyle name="Normal 5 2 2 4 5 2" xfId="4055" xr:uid="{8F40AA86-ADF7-45E5-8624-D3EFA5EAB17E}"/>
    <cellStyle name="Normal 5 2 2 4 6" xfId="3423" xr:uid="{45E9B84F-3AFA-4B9E-9C3F-9A2407635CAD}"/>
    <cellStyle name="Normal 5 2 2 5" xfId="474" xr:uid="{00000000-0005-0000-0000-0000E3010000}"/>
    <cellStyle name="Normal 5 2 2 5 2" xfId="630" xr:uid="{00000000-0005-0000-0000-0000E4010000}"/>
    <cellStyle name="Normal 5 2 2 5 2 2" xfId="841" xr:uid="{00000000-0005-0000-0000-0000E5010000}"/>
    <cellStyle name="Normal 5 2 2 5 2 2 2" xfId="2893" xr:uid="{9445987F-4A7F-46D4-90C3-60AAF6744221}"/>
    <cellStyle name="Normal 5 2 2 5 2 2 2 2" xfId="5328" xr:uid="{E2A5D8E5-4C4E-48AA-B99D-2333EE3DA40E}"/>
    <cellStyle name="Normal 5 2 2 5 2 2 3" xfId="3773" xr:uid="{C2307E29-ECC0-4E3F-B94C-9603A4933EAB}"/>
    <cellStyle name="Normal 5 2 2 5 2 3" xfId="2055" xr:uid="{98CFCF67-5644-4BA8-A8F8-8598294E4793}"/>
    <cellStyle name="Normal 5 2 2 5 2 3 2" xfId="4572" xr:uid="{434E401A-1EAE-45AA-9D1A-325DFC193911}"/>
    <cellStyle name="Normal 5 2 2 5 2 4" xfId="3564" xr:uid="{B1B03B6B-DC4B-4666-B481-05B419AA58A9}"/>
    <cellStyle name="Normal 5 2 2 5 3" xfId="735" xr:uid="{00000000-0005-0000-0000-0000E6010000}"/>
    <cellStyle name="Normal 5 2 2 5 3 2" xfId="2492" xr:uid="{55BCA6B3-668C-4329-9ADF-75153BD35FF5}"/>
    <cellStyle name="Normal 5 2 2 5 3 2 2" xfId="4927" xr:uid="{B2E617E2-6180-419C-B88B-BFB34B2CCCAF}"/>
    <cellStyle name="Normal 5 2 2 5 3 3" xfId="3668" xr:uid="{2D4BD89F-9AD9-4C7A-8C87-9B0D9729FE4E}"/>
    <cellStyle name="Normal 5 2 2 5 4" xfId="1464" xr:uid="{A943F9D7-3D30-4727-9D44-FCF0EC3B98DB}"/>
    <cellStyle name="Normal 5 2 2 5 4 2" xfId="4057" xr:uid="{8350EE27-C2CC-4F9A-8713-E37D5875CE53}"/>
    <cellStyle name="Normal 5 2 2 5 5" xfId="3454" xr:uid="{3A8CBA75-CF47-41AD-9277-6FCD93EC0562}"/>
    <cellStyle name="Normal 5 2 2 6" xfId="578" xr:uid="{00000000-0005-0000-0000-0000E7010000}"/>
    <cellStyle name="Normal 5 2 2 6 2" xfId="789" xr:uid="{00000000-0005-0000-0000-0000E8010000}"/>
    <cellStyle name="Normal 5 2 2 6 2 2" xfId="2723" xr:uid="{76F91FA2-98DD-4FC3-97C5-CFD981FFA9C0}"/>
    <cellStyle name="Normal 5 2 2 6 2 2 2" xfId="5158" xr:uid="{D6CD9AD9-4FD4-485D-B96E-84E8A30BCC67}"/>
    <cellStyle name="Normal 5 2 2 6 2 3" xfId="3721" xr:uid="{F57D9C80-4B6E-452E-8866-27DD34928E59}"/>
    <cellStyle name="Normal 5 2 2 6 3" xfId="1885" xr:uid="{19BF3FEB-DC84-4FEA-8C73-22B10A623EDD}"/>
    <cellStyle name="Normal 5 2 2 6 3 2" xfId="4402" xr:uid="{D9B79410-A5A5-4503-B186-3E7130410C81}"/>
    <cellStyle name="Normal 5 2 2 6 4" xfId="3512" xr:uid="{C1F5853A-1449-4B2E-B833-FB64DF28023F}"/>
    <cellStyle name="Normal 5 2 2 7" xfId="683" xr:uid="{00000000-0005-0000-0000-0000E9010000}"/>
    <cellStyle name="Normal 5 2 2 7 2" xfId="2481" xr:uid="{E4E7EE13-FDF7-4EF5-ABD8-C1FCB2D1DA56}"/>
    <cellStyle name="Normal 5 2 2 7 2 2" xfId="4916" xr:uid="{5BD57E08-F7FF-4530-A5A1-7EB725998F20}"/>
    <cellStyle name="Normal 5 2 2 7 3" xfId="3616" xr:uid="{33431643-6972-4F48-961B-9348212E470A}"/>
    <cellStyle name="Normal 5 2 2 8" xfId="1453" xr:uid="{D632EE85-A0F2-491A-9672-464194DBAD3C}"/>
    <cellStyle name="Normal 5 2 2 8 2" xfId="4046" xr:uid="{521051B5-5196-44C0-A851-8CA15F2E7D45}"/>
    <cellStyle name="Normal 5 2 2 9" xfId="3387" xr:uid="{18DFE633-B5A8-49AC-B34A-94DFDC79E4D7}"/>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2 2 2" xfId="2900" xr:uid="{E14A0736-AFDB-4A41-91D4-2345A1463277}"/>
    <cellStyle name="Normal 5 2 3 2 2 2 2 2 2" xfId="5335" xr:uid="{889AD993-88F6-4BBA-8069-48BC1FC9FFB3}"/>
    <cellStyle name="Normal 5 2 3 2 2 2 2 3" xfId="3803" xr:uid="{05BA25BB-D7D0-45DA-BCC4-13F234F25424}"/>
    <cellStyle name="Normal 5 2 3 2 2 2 3" xfId="2062" xr:uid="{6FAB7188-BD75-4E34-97F6-3FB67777CEA6}"/>
    <cellStyle name="Normal 5 2 3 2 2 2 3 2" xfId="4579" xr:uid="{A657C329-0102-4130-BE85-CF72560D9AEF}"/>
    <cellStyle name="Normal 5 2 3 2 2 2 4" xfId="3594" xr:uid="{F3CB0565-5629-4DFF-B818-C135B7196CA9}"/>
    <cellStyle name="Normal 5 2 3 2 2 3" xfId="765" xr:uid="{00000000-0005-0000-0000-0000EF010000}"/>
    <cellStyle name="Normal 5 2 3 2 2 3 2" xfId="2495" xr:uid="{0FAEE644-D693-428C-9BA0-4534B89238E3}"/>
    <cellStyle name="Normal 5 2 3 2 2 3 2 2" xfId="4930" xr:uid="{4AE10F76-4C4B-4DA8-9E2B-54D3895A3696}"/>
    <cellStyle name="Normal 5 2 3 2 2 3 3" xfId="3698" xr:uid="{88BCA0B0-5009-46E3-B547-AECD987867CC}"/>
    <cellStyle name="Normal 5 2 3 2 2 4" xfId="1467" xr:uid="{B7B1353A-80DD-4D43-98C9-6241D417B739}"/>
    <cellStyle name="Normal 5 2 3 2 2 4 2" xfId="4060" xr:uid="{13836D6E-AA2D-4844-8CDA-3962FC48B98F}"/>
    <cellStyle name="Normal 5 2 3 2 2 5" xfId="3484" xr:uid="{0286ADA9-D739-451A-9F11-AD23CF8521F6}"/>
    <cellStyle name="Normal 5 2 3 2 3" xfId="608" xr:uid="{00000000-0005-0000-0000-0000F0010000}"/>
    <cellStyle name="Normal 5 2 3 2 3 2" xfId="819" xr:uid="{00000000-0005-0000-0000-0000F1010000}"/>
    <cellStyle name="Normal 5 2 3 2 3 2 2" xfId="2730" xr:uid="{BAB908B1-CDCC-49B3-BAF7-7B1ADC3E19BC}"/>
    <cellStyle name="Normal 5 2 3 2 3 2 2 2" xfId="5165" xr:uid="{2E7A7FC9-0533-4457-AD7E-83C8C6CA032D}"/>
    <cellStyle name="Normal 5 2 3 2 3 2 3" xfId="3751" xr:uid="{71C1D3CA-D3F2-4D5D-A63D-0CAE35924B52}"/>
    <cellStyle name="Normal 5 2 3 2 3 3" xfId="1892" xr:uid="{B14FE6C6-813E-4DC4-9C17-C4D58B062315}"/>
    <cellStyle name="Normal 5 2 3 2 3 3 2" xfId="4409" xr:uid="{4A179152-1D7B-4D3E-B2EB-B58706DF4934}"/>
    <cellStyle name="Normal 5 2 3 2 3 4" xfId="3542" xr:uid="{546888E1-68BA-435D-8AA6-41DEEF057504}"/>
    <cellStyle name="Normal 5 2 3 2 4" xfId="713" xr:uid="{00000000-0005-0000-0000-0000F2010000}"/>
    <cellStyle name="Normal 5 2 3 2 4 2" xfId="2494" xr:uid="{2C7A1866-8A2E-4010-92C7-C0C7DE1E0A24}"/>
    <cellStyle name="Normal 5 2 3 2 4 2 2" xfId="4929" xr:uid="{1DFC547E-A69E-4F72-8D5E-F01879E9D619}"/>
    <cellStyle name="Normal 5 2 3 2 4 3" xfId="3646" xr:uid="{DB379001-622B-49F3-8659-63F8E84CDED7}"/>
    <cellStyle name="Normal 5 2 3 2 5" xfId="1466" xr:uid="{E1AFF7B3-330F-4BD8-B052-8C10BD2386AB}"/>
    <cellStyle name="Normal 5 2 3 2 5 2" xfId="4059" xr:uid="{6151294C-CE9B-4AA2-BA4C-F4A74A8813C4}"/>
    <cellStyle name="Normal 5 2 3 2 6" xfId="3427" xr:uid="{8A75F5A2-ED49-4AA3-8D6A-6DBAA25B11AF}"/>
    <cellStyle name="Normal 5 2 3 3" xfId="478" xr:uid="{00000000-0005-0000-0000-0000F3010000}"/>
    <cellStyle name="Normal 5 2 3 3 2" xfId="634" xr:uid="{00000000-0005-0000-0000-0000F4010000}"/>
    <cellStyle name="Normal 5 2 3 3 2 2" xfId="845" xr:uid="{00000000-0005-0000-0000-0000F5010000}"/>
    <cellStyle name="Normal 5 2 3 3 2 2 2" xfId="2901" xr:uid="{0F56C0AF-CA59-4436-857F-0B1268BA61B4}"/>
    <cellStyle name="Normal 5 2 3 3 2 2 2 2" xfId="5336" xr:uid="{1CC8F9A2-7A0D-4A12-B6CB-1BF35B1DF7FD}"/>
    <cellStyle name="Normal 5 2 3 3 2 2 3" xfId="2063" xr:uid="{12385839-BA24-4D08-81E4-A783971D5A87}"/>
    <cellStyle name="Normal 5 2 3 3 2 2 3 2" xfId="4580" xr:uid="{142BA18F-EC50-4C9E-B03D-95886FF80E4A}"/>
    <cellStyle name="Normal 5 2 3 3 2 2 4" xfId="3777" xr:uid="{CCA254A9-BCCA-486D-850C-6BA9A23AE2E0}"/>
    <cellStyle name="Normal 5 2 3 3 2 3" xfId="2497" xr:uid="{551F0BFE-190C-494C-B003-793F511C8BF2}"/>
    <cellStyle name="Normal 5 2 3 3 2 3 2" xfId="4932" xr:uid="{F6675142-69D1-42CF-8225-18223940CC22}"/>
    <cellStyle name="Normal 5 2 3 3 2 4" xfId="1469" xr:uid="{01B1780D-BDE4-4010-B61A-A998E93BBD32}"/>
    <cellStyle name="Normal 5 2 3 3 2 4 2" xfId="4062" xr:uid="{E542358A-349C-4D4F-BDF3-A00564211FD5}"/>
    <cellStyle name="Normal 5 2 3 3 2 5" xfId="3568" xr:uid="{A1400ACD-2C06-4C15-B43F-AAC9B324DA36}"/>
    <cellStyle name="Normal 5 2 3 3 3" xfId="739" xr:uid="{00000000-0005-0000-0000-0000F6010000}"/>
    <cellStyle name="Normal 5 2 3 3 3 2" xfId="2731" xr:uid="{79BA05C8-F209-4AB1-9CE1-D7B73E0290BC}"/>
    <cellStyle name="Normal 5 2 3 3 3 2 2" xfId="5166" xr:uid="{6307B17D-38ED-4C25-9682-944ACCF380DA}"/>
    <cellStyle name="Normal 5 2 3 3 3 3" xfId="1893" xr:uid="{7960F10D-F398-4F4D-A231-37B96929C42D}"/>
    <cellStyle name="Normal 5 2 3 3 3 3 2" xfId="4410" xr:uid="{BED82D36-EF01-486F-93F7-005302E11F00}"/>
    <cellStyle name="Normal 5 2 3 3 3 4" xfId="3672" xr:uid="{E9E7FDFE-FDC0-434D-9356-713E4F785E2E}"/>
    <cellStyle name="Normal 5 2 3 3 4" xfId="2496" xr:uid="{7FF56824-2E0C-4D6E-9A1F-DFC1080BF221}"/>
    <cellStyle name="Normal 5 2 3 3 4 2" xfId="4931" xr:uid="{D5A19FE6-671C-4909-B6CC-CD6577C8C729}"/>
    <cellStyle name="Normal 5 2 3 3 5" xfId="1468" xr:uid="{02BBD94B-7AF1-45F0-AD4E-70C9E3534BEA}"/>
    <cellStyle name="Normal 5 2 3 3 5 2" xfId="4061" xr:uid="{1782C697-CC19-4CE8-BD63-2899EDC0D8FA}"/>
    <cellStyle name="Normal 5 2 3 3 6" xfId="3458" xr:uid="{2402612A-BB92-46F8-B465-5A59A7F04F92}"/>
    <cellStyle name="Normal 5 2 3 4" xfId="582" xr:uid="{00000000-0005-0000-0000-0000F7010000}"/>
    <cellStyle name="Normal 5 2 3 4 2" xfId="793" xr:uid="{00000000-0005-0000-0000-0000F8010000}"/>
    <cellStyle name="Normal 5 2 3 4 2 2" xfId="2899" xr:uid="{ADE22372-0038-40A4-895E-F773DB310D85}"/>
    <cellStyle name="Normal 5 2 3 4 2 2 2" xfId="5334" xr:uid="{A831D065-2819-4B56-A55F-4E2C3B4D5B1B}"/>
    <cellStyle name="Normal 5 2 3 4 2 3" xfId="2061" xr:uid="{AE2DB97C-9F42-49C0-9EDF-8F8A786DDEC2}"/>
    <cellStyle name="Normal 5 2 3 4 2 3 2" xfId="4578" xr:uid="{7AA973A0-516B-4FC3-94DF-3214152AB7FB}"/>
    <cellStyle name="Normal 5 2 3 4 2 4" xfId="3725" xr:uid="{602BC9A0-5F24-4D27-8CA5-5103DA0FD5A1}"/>
    <cellStyle name="Normal 5 2 3 4 3" xfId="2498" xr:uid="{A926BB4D-B9D2-4C47-85B9-583224976F78}"/>
    <cellStyle name="Normal 5 2 3 4 3 2" xfId="4933" xr:uid="{A379A5BB-5A7E-422B-8BC3-977322D59C0D}"/>
    <cellStyle name="Normal 5 2 3 4 4" xfId="1470" xr:uid="{B538ECAA-5D7A-4AC0-9F26-E8D339DDD947}"/>
    <cellStyle name="Normal 5 2 3 4 4 2" xfId="4063" xr:uid="{595717E1-6D4E-4DA7-8DEA-B64189D05BDB}"/>
    <cellStyle name="Normal 5 2 3 4 5" xfId="3516" xr:uid="{04ABB4C8-A48A-4E6D-962C-958B8563AD14}"/>
    <cellStyle name="Normal 5 2 3 5" xfId="687" xr:uid="{00000000-0005-0000-0000-0000F9010000}"/>
    <cellStyle name="Normal 5 2 3 5 2" xfId="2729" xr:uid="{EAB7323E-7677-4D52-8D89-04DCDC32452A}"/>
    <cellStyle name="Normal 5 2 3 5 2 2" xfId="5164" xr:uid="{EF1E7CAD-8F8A-4A0E-A64E-B99BA2C0F88B}"/>
    <cellStyle name="Normal 5 2 3 5 3" xfId="1891" xr:uid="{9FEE6AA4-4934-498C-8DCB-D3192BCAE884}"/>
    <cellStyle name="Normal 5 2 3 5 3 2" xfId="4408" xr:uid="{23CF5A32-3768-45ED-AB92-29DF5060FD72}"/>
    <cellStyle name="Normal 5 2 3 5 4" xfId="3620" xr:uid="{21BE1BEE-278C-4A3B-8A82-E5C144C89FC8}"/>
    <cellStyle name="Normal 5 2 3 6" xfId="2493" xr:uid="{105B711D-991E-4290-9586-1764A7F6CC66}"/>
    <cellStyle name="Normal 5 2 3 6 2" xfId="4928" xr:uid="{DAA1355B-9049-4955-B915-E71066D54479}"/>
    <cellStyle name="Normal 5 2 3 7" xfId="1465" xr:uid="{27DE05A7-9A5F-4965-9ED5-00387DE8D8ED}"/>
    <cellStyle name="Normal 5 2 3 7 2" xfId="4058" xr:uid="{FC1D4EE4-10C8-42C4-9D78-30AAFBDA88B7}"/>
    <cellStyle name="Normal 5 2 3 8" xfId="3396" xr:uid="{0EDAAF67-EF9C-46DC-AB8F-40F37454E545}"/>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2 2 2" xfId="3812" xr:uid="{8B092008-F6FE-47E8-93CC-A3D8FC9E35B7}"/>
    <cellStyle name="Normal 5 2 4 2 2 2 3" xfId="2902" xr:uid="{F4BEC291-21C4-494A-BE59-8D0FA94FCC46}"/>
    <cellStyle name="Normal 5 2 4 2 2 2 3 2" xfId="5337" xr:uid="{A0A4265C-4BD5-4B8E-827C-E3103959052D}"/>
    <cellStyle name="Normal 5 2 4 2 2 2 4" xfId="3603" xr:uid="{D524336F-41DD-4344-A528-7CE593C1B3DF}"/>
    <cellStyle name="Normal 5 2 4 2 2 3" xfId="774" xr:uid="{00000000-0005-0000-0000-0000FF010000}"/>
    <cellStyle name="Normal 5 2 4 2 2 3 2" xfId="3707" xr:uid="{10DEEE57-A258-41CE-964A-48755EF8F25E}"/>
    <cellStyle name="Normal 5 2 4 2 2 4" xfId="2064" xr:uid="{7040AC77-29E5-423C-9DD2-40D38B367B5D}"/>
    <cellStyle name="Normal 5 2 4 2 2 4 2" xfId="4581" xr:uid="{C7364F5C-3F10-48EA-A272-BD0AA7BC3BC2}"/>
    <cellStyle name="Normal 5 2 4 2 2 5" xfId="3493" xr:uid="{143253EE-6EB4-4FC3-90EA-AE4FCC090FD8}"/>
    <cellStyle name="Normal 5 2 4 2 3" xfId="617" xr:uid="{00000000-0005-0000-0000-000000020000}"/>
    <cellStyle name="Normal 5 2 4 2 3 2" xfId="828" xr:uid="{00000000-0005-0000-0000-000001020000}"/>
    <cellStyle name="Normal 5 2 4 2 3 2 2" xfId="3760" xr:uid="{43D6B695-E30F-43B1-AC61-EE7A7C62B703}"/>
    <cellStyle name="Normal 5 2 4 2 3 3" xfId="2500" xr:uid="{378D6134-7E7D-4CEE-B7AD-FCD4B9ABBFD1}"/>
    <cellStyle name="Normal 5 2 4 2 3 3 2" xfId="4935" xr:uid="{87915DBE-713E-4BB8-88BC-FCEC0DA36F8A}"/>
    <cellStyle name="Normal 5 2 4 2 3 4" xfId="3551" xr:uid="{DCE2DE9A-3ACE-4E1C-A76D-353AB8C752B3}"/>
    <cellStyle name="Normal 5 2 4 2 4" xfId="722" xr:uid="{00000000-0005-0000-0000-000002020000}"/>
    <cellStyle name="Normal 5 2 4 2 4 2" xfId="3655" xr:uid="{0B550CF1-7FBC-4BF9-9E1C-CF68A99B012D}"/>
    <cellStyle name="Normal 5 2 4 2 5" xfId="1472" xr:uid="{530D4D26-EA88-4A82-8E36-C59BD14D4728}"/>
    <cellStyle name="Normal 5 2 4 2 5 2" xfId="4065" xr:uid="{D1296095-D805-490E-845B-371A065B3DC3}"/>
    <cellStyle name="Normal 5 2 4 2 6" xfId="3436" xr:uid="{18F54DA3-CBEA-4742-AA8A-A271B2C2FE29}"/>
    <cellStyle name="Normal 5 2 4 3" xfId="487" xr:uid="{00000000-0005-0000-0000-000003020000}"/>
    <cellStyle name="Normal 5 2 4 3 2" xfId="643" xr:uid="{00000000-0005-0000-0000-000004020000}"/>
    <cellStyle name="Normal 5 2 4 3 2 2" xfId="854" xr:uid="{00000000-0005-0000-0000-000005020000}"/>
    <cellStyle name="Normal 5 2 4 3 2 2 2" xfId="3786" xr:uid="{DA1A11C7-5DFE-49AB-AE72-B72036D6479D}"/>
    <cellStyle name="Normal 5 2 4 3 2 3" xfId="2732" xr:uid="{1B91A9A9-DD9D-47FF-8AA6-FBD83B801D17}"/>
    <cellStyle name="Normal 5 2 4 3 2 3 2" xfId="5167" xr:uid="{D08967A9-7623-4A4E-B6E9-118DB8F704DE}"/>
    <cellStyle name="Normal 5 2 4 3 2 4" xfId="3577" xr:uid="{C6D2BA8E-D3AD-49B3-95A3-BAA6A9495D3B}"/>
    <cellStyle name="Normal 5 2 4 3 3" xfId="748" xr:uid="{00000000-0005-0000-0000-000006020000}"/>
    <cellStyle name="Normal 5 2 4 3 3 2" xfId="3681" xr:uid="{32A2DD2D-DBA6-40BE-9A97-5B2C9354C100}"/>
    <cellStyle name="Normal 5 2 4 3 4" xfId="1894" xr:uid="{5075E8A1-04D4-41A5-92C8-FD152B4753FD}"/>
    <cellStyle name="Normal 5 2 4 3 4 2" xfId="4411" xr:uid="{CF3BF717-2E79-4072-8E18-CC3F6913CAD3}"/>
    <cellStyle name="Normal 5 2 4 3 5" xfId="3467" xr:uid="{93D3A17F-658E-44FD-9C84-C598AA71C30C}"/>
    <cellStyle name="Normal 5 2 4 4" xfId="591" xr:uid="{00000000-0005-0000-0000-000007020000}"/>
    <cellStyle name="Normal 5 2 4 4 2" xfId="802" xr:uid="{00000000-0005-0000-0000-000008020000}"/>
    <cellStyle name="Normal 5 2 4 4 2 2" xfId="3734" xr:uid="{D6314E6E-F039-4D68-A06B-4554DD91EC9E}"/>
    <cellStyle name="Normal 5 2 4 4 3" xfId="2499" xr:uid="{7905445C-7173-4222-940D-491365CEC5CC}"/>
    <cellStyle name="Normal 5 2 4 4 3 2" xfId="4934" xr:uid="{CB8E4F3F-4F3B-48FF-BB78-9D1AC81450EF}"/>
    <cellStyle name="Normal 5 2 4 4 4" xfId="3525" xr:uid="{DD72CDB2-48E0-47C3-9578-DF49D86A0975}"/>
    <cellStyle name="Normal 5 2 4 5" xfId="696" xr:uid="{00000000-0005-0000-0000-000009020000}"/>
    <cellStyle name="Normal 5 2 4 5 2" xfId="3629" xr:uid="{7F7E1832-561D-4DC8-BA12-192C2B669B94}"/>
    <cellStyle name="Normal 5 2 4 6" xfId="1471" xr:uid="{6F816BAF-DC2A-485A-8CE9-011043090C91}"/>
    <cellStyle name="Normal 5 2 4 6 2" xfId="4064" xr:uid="{E198249C-76FA-495E-9B14-A0C958B7F827}"/>
    <cellStyle name="Normal 5 2 4 7" xfId="3405" xr:uid="{39D04D92-5762-438F-A5AF-82E0EA96A4D7}"/>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2 2 2" xfId="2903" xr:uid="{BFF5B290-DFE5-4C51-9445-F1BA43F80494}"/>
    <cellStyle name="Normal 5 2 5 2 2 2 2 2" xfId="5338" xr:uid="{9AD1AC9B-53B0-4B64-A042-E31264786F7A}"/>
    <cellStyle name="Normal 5 2 5 2 2 2 3" xfId="3795" xr:uid="{70780112-DAF9-46A1-99CC-3EEDC861D096}"/>
    <cellStyle name="Normal 5 2 5 2 2 3" xfId="2065" xr:uid="{237DDF50-8DFC-44C5-85FA-F107F8015090}"/>
    <cellStyle name="Normal 5 2 5 2 2 3 2" xfId="4582" xr:uid="{ACDF1C31-39A6-4CBC-8269-31A6582329C1}"/>
    <cellStyle name="Normal 5 2 5 2 2 4" xfId="3586" xr:uid="{072824B8-6BC8-4CB8-AAD8-B627B4691327}"/>
    <cellStyle name="Normal 5 2 5 2 3" xfId="757" xr:uid="{00000000-0005-0000-0000-00000E020000}"/>
    <cellStyle name="Normal 5 2 5 2 3 2" xfId="2502" xr:uid="{F4AD6C79-4FF5-4886-83EF-DE9948101D29}"/>
    <cellStyle name="Normal 5 2 5 2 3 2 2" xfId="4937" xr:uid="{1D5FDD2B-0914-4701-9FC7-F30B28651631}"/>
    <cellStyle name="Normal 5 2 5 2 3 3" xfId="3690" xr:uid="{6CD6ABDE-A705-4863-895F-7A5C1E3B8E31}"/>
    <cellStyle name="Normal 5 2 5 2 4" xfId="1474" xr:uid="{6DF9288D-7D8C-4F63-9814-83BDADC6D391}"/>
    <cellStyle name="Normal 5 2 5 2 4 2" xfId="4067" xr:uid="{A1645CE5-2D1F-42C6-B3C8-851B1CD51EA4}"/>
    <cellStyle name="Normal 5 2 5 2 5" xfId="3476" xr:uid="{F9099F82-92FE-4020-9C2D-ED83ABB185A3}"/>
    <cellStyle name="Normal 5 2 5 3" xfId="600" xr:uid="{00000000-0005-0000-0000-00000F020000}"/>
    <cellStyle name="Normal 5 2 5 3 2" xfId="811" xr:uid="{00000000-0005-0000-0000-000010020000}"/>
    <cellStyle name="Normal 5 2 5 3 2 2" xfId="2733" xr:uid="{0ED8573C-830C-4EF9-9B77-100A675A52E7}"/>
    <cellStyle name="Normal 5 2 5 3 2 2 2" xfId="5168" xr:uid="{F5993DC7-17EA-4CC5-B159-00EB074A6400}"/>
    <cellStyle name="Normal 5 2 5 3 2 3" xfId="3743" xr:uid="{5B1CF1DF-2436-4E94-AB37-9E59D5E14307}"/>
    <cellStyle name="Normal 5 2 5 3 3" xfId="1895" xr:uid="{C3C9BC4C-5BFE-4DCD-9B9D-7C9DFC32ABBF}"/>
    <cellStyle name="Normal 5 2 5 3 3 2" xfId="4412" xr:uid="{7DEF2071-8367-43A2-A41E-E279F68F0296}"/>
    <cellStyle name="Normal 5 2 5 3 4" xfId="3534" xr:uid="{EE958E97-1617-4E57-A870-CE9BF78A63F3}"/>
    <cellStyle name="Normal 5 2 5 4" xfId="705" xr:uid="{00000000-0005-0000-0000-000011020000}"/>
    <cellStyle name="Normal 5 2 5 4 2" xfId="2501" xr:uid="{C3C45496-005B-4DCE-98F4-8BE72951ACFE}"/>
    <cellStyle name="Normal 5 2 5 4 2 2" xfId="4936" xr:uid="{EC5E35C3-CBCB-437B-9554-CEA1A55F466A}"/>
    <cellStyle name="Normal 5 2 5 4 3" xfId="3638" xr:uid="{002671B6-D18F-49F2-94C3-6101BB1AB807}"/>
    <cellStyle name="Normal 5 2 5 5" xfId="1473" xr:uid="{47AA79EE-E2E6-4564-B87A-215764F5B752}"/>
    <cellStyle name="Normal 5 2 5 5 2" xfId="4066" xr:uid="{464B02E2-F03C-4D81-96E1-90D98F8E94CB}"/>
    <cellStyle name="Normal 5 2 5 6" xfId="3419" xr:uid="{66CBA551-ADB4-4142-A72C-FEDD1C4271F7}"/>
    <cellStyle name="Normal 5 2 6" xfId="470" xr:uid="{00000000-0005-0000-0000-000012020000}"/>
    <cellStyle name="Normal 5 2 6 2" xfId="626" xr:uid="{00000000-0005-0000-0000-000013020000}"/>
    <cellStyle name="Normal 5 2 6 2 2" xfId="837" xr:uid="{00000000-0005-0000-0000-000014020000}"/>
    <cellStyle name="Normal 5 2 6 2 2 2" xfId="2892" xr:uid="{7E95CE7B-C326-4140-8E46-BCEE04FAC4E8}"/>
    <cellStyle name="Normal 5 2 6 2 2 2 2" xfId="5327" xr:uid="{11C766A4-DB08-4030-A7CB-4004EE4CE943}"/>
    <cellStyle name="Normal 5 2 6 2 2 3" xfId="3769" xr:uid="{06B39E04-DD27-4EB5-B61D-409CB1A60B7B}"/>
    <cellStyle name="Normal 5 2 6 2 3" xfId="2054" xr:uid="{94D1054A-7A84-43AD-AF06-243A17622208}"/>
    <cellStyle name="Normal 5 2 6 2 3 2" xfId="4571" xr:uid="{C025A754-68AE-4EE2-9F6E-5F30F8F654C0}"/>
    <cellStyle name="Normal 5 2 6 2 4" xfId="3560" xr:uid="{C86B6B0F-32A0-43FD-ADC4-4BAEB50D2BAD}"/>
    <cellStyle name="Normal 5 2 6 3" xfId="731" xr:uid="{00000000-0005-0000-0000-000015020000}"/>
    <cellStyle name="Normal 5 2 6 3 2" xfId="2503" xr:uid="{8B95027A-D8AD-446D-A18A-AD34CAD77CAC}"/>
    <cellStyle name="Normal 5 2 6 3 2 2" xfId="4938" xr:uid="{2C24BA2D-7CD6-4449-8AFE-CB570F0932BD}"/>
    <cellStyle name="Normal 5 2 6 3 3" xfId="3664" xr:uid="{EA10F2C1-394F-499C-B8C8-3613D4FD7EBD}"/>
    <cellStyle name="Normal 5 2 6 4" xfId="1475" xr:uid="{9C6705D3-00CD-4073-8793-4FD00BCAA3D2}"/>
    <cellStyle name="Normal 5 2 6 4 2" xfId="4068" xr:uid="{12BC2A45-68BF-4640-8496-6438CBC66AFB}"/>
    <cellStyle name="Normal 5 2 6 5" xfId="3450" xr:uid="{22177B6F-58DB-44C4-9A9F-9F588C79CBD8}"/>
    <cellStyle name="Normal 5 2 7" xfId="574" xr:uid="{00000000-0005-0000-0000-000016020000}"/>
    <cellStyle name="Normal 5 2 7 2" xfId="785" xr:uid="{00000000-0005-0000-0000-000017020000}"/>
    <cellStyle name="Normal 5 2 7 2 2" xfId="2722" xr:uid="{AB4D8A44-93B5-4874-9715-752218846DD1}"/>
    <cellStyle name="Normal 5 2 7 2 2 2" xfId="5157" xr:uid="{7C7079AB-8704-412C-8AFD-5844F607BF1A}"/>
    <cellStyle name="Normal 5 2 7 2 3" xfId="3717" xr:uid="{283A09AE-2BFB-418D-8518-7295346F727D}"/>
    <cellStyle name="Normal 5 2 7 3" xfId="1884" xr:uid="{ED964A47-6AE7-4CAC-9F2B-A37C894FB1BE}"/>
    <cellStyle name="Normal 5 2 7 3 2" xfId="4401" xr:uid="{9C78F819-3489-44B1-8CD7-272E7D8E396B}"/>
    <cellStyle name="Normal 5 2 7 4" xfId="3508" xr:uid="{64104E1D-DA1A-4C5B-900A-6BE482365EF7}"/>
    <cellStyle name="Normal 5 2 8" xfId="679" xr:uid="{00000000-0005-0000-0000-000018020000}"/>
    <cellStyle name="Normal 5 2 8 2" xfId="2240" xr:uid="{B0A293CB-FF2D-4A5D-93F3-5E715A409691}"/>
    <cellStyle name="Normal 5 2 8 2 2" xfId="4709" xr:uid="{E5D69235-35B5-42B6-B066-E51B113970D5}"/>
    <cellStyle name="Normal 5 2 8 3" xfId="3612" xr:uid="{A3B893BC-A167-4F81-A493-754657212D27}"/>
    <cellStyle name="Normal 5 2 9" xfId="2480" xr:uid="{0BD1D395-D750-4B79-BDC3-2221C8B12C4C}"/>
    <cellStyle name="Normal 5 2 9 2" xfId="4915" xr:uid="{D0C18FAA-F1B2-4E24-9C64-B9E50EA081E8}"/>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2 2 2" xfId="2905" xr:uid="{1462914D-4CA3-432E-A2B7-5BC1BCCE89C7}"/>
    <cellStyle name="Normal 5 3 2 2 2 2 2 2 2" xfId="5340" xr:uid="{E6F3AF95-2C7D-4658-ACBE-DF6EA354B06E}"/>
    <cellStyle name="Normal 5 3 2 2 2 2 2 3" xfId="3805" xr:uid="{98B77455-F9D9-4A74-85FD-68B10AEB7A7C}"/>
    <cellStyle name="Normal 5 3 2 2 2 2 3" xfId="2067" xr:uid="{E09FFE0B-2777-461D-9899-21B44832AC8F}"/>
    <cellStyle name="Normal 5 3 2 2 2 2 3 2" xfId="4584" xr:uid="{FFC63DE9-27BF-42CA-AC3B-740671586CA1}"/>
    <cellStyle name="Normal 5 3 2 2 2 2 4" xfId="3596" xr:uid="{32425F05-0ADF-4104-89AE-840F25763E56}"/>
    <cellStyle name="Normal 5 3 2 2 2 3" xfId="767" xr:uid="{00000000-0005-0000-0000-00001F020000}"/>
    <cellStyle name="Normal 5 3 2 2 2 3 2" xfId="2506" xr:uid="{34FEC0F5-93DF-4135-A598-DEB93123A834}"/>
    <cellStyle name="Normal 5 3 2 2 2 3 2 2" xfId="4941" xr:uid="{B82FE000-A159-484E-9B84-49E969E396F4}"/>
    <cellStyle name="Normal 5 3 2 2 2 3 3" xfId="3700" xr:uid="{BE25F62F-D6FF-49E0-9425-03E804D25967}"/>
    <cellStyle name="Normal 5 3 2 2 2 4" xfId="1479" xr:uid="{BF14F7C7-5188-4CAC-9026-E329AC71FA27}"/>
    <cellStyle name="Normal 5 3 2 2 2 4 2" xfId="4071" xr:uid="{F58C3A60-399E-4B69-8FDC-F6579321D29F}"/>
    <cellStyle name="Normal 5 3 2 2 2 5" xfId="3486" xr:uid="{CE38AE8A-22B4-40BE-BBDE-ECC305185C0D}"/>
    <cellStyle name="Normal 5 3 2 2 3" xfId="610" xr:uid="{00000000-0005-0000-0000-000020020000}"/>
    <cellStyle name="Normal 5 3 2 2 3 2" xfId="821" xr:uid="{00000000-0005-0000-0000-000021020000}"/>
    <cellStyle name="Normal 5 3 2 2 3 2 2" xfId="2735" xr:uid="{7007D841-94B8-4517-85FD-74259C3FBFD4}"/>
    <cellStyle name="Normal 5 3 2 2 3 2 2 2" xfId="5170" xr:uid="{306070FC-3F22-4F0F-A2A7-08D64FD056D8}"/>
    <cellStyle name="Normal 5 3 2 2 3 2 3" xfId="3753" xr:uid="{773C69CF-2DCD-4896-9E58-78C7543612BA}"/>
    <cellStyle name="Normal 5 3 2 2 3 3" xfId="1897" xr:uid="{557C8FD9-C67B-4272-957D-5F83EF5628CF}"/>
    <cellStyle name="Normal 5 3 2 2 3 3 2" xfId="4414" xr:uid="{947CB7B4-A075-4B6D-AED8-6A4DD99FBB93}"/>
    <cellStyle name="Normal 5 3 2 2 3 4" xfId="3544" xr:uid="{4F13872E-DD61-4114-AB5B-51081673EE9F}"/>
    <cellStyle name="Normal 5 3 2 2 4" xfId="715" xr:uid="{00000000-0005-0000-0000-000022020000}"/>
    <cellStyle name="Normal 5 3 2 2 4 2" xfId="2505" xr:uid="{C7B56D19-68FF-4E15-8FDF-15185B913AA5}"/>
    <cellStyle name="Normal 5 3 2 2 4 2 2" xfId="4940" xr:uid="{F1A40060-C09B-4698-94BF-253FE71AF9CE}"/>
    <cellStyle name="Normal 5 3 2 2 4 3" xfId="3648" xr:uid="{2E113CE6-C94C-4861-B096-78C49FED7766}"/>
    <cellStyle name="Normal 5 3 2 2 5" xfId="1478" xr:uid="{4D30AA7A-F3F3-4D69-9DC4-39729FB3F0BD}"/>
    <cellStyle name="Normal 5 3 2 2 5 2" xfId="4070" xr:uid="{A4B32921-460A-4E88-B889-8EE5912F0B8B}"/>
    <cellStyle name="Normal 5 3 2 2 6" xfId="3429" xr:uid="{A7D9400F-C898-4727-A3DA-189A5E39AEB1}"/>
    <cellStyle name="Normal 5 3 2 3" xfId="480" xr:uid="{00000000-0005-0000-0000-000023020000}"/>
    <cellStyle name="Normal 5 3 2 3 2" xfId="636" xr:uid="{00000000-0005-0000-0000-000024020000}"/>
    <cellStyle name="Normal 5 3 2 3 2 2" xfId="847" xr:uid="{00000000-0005-0000-0000-000025020000}"/>
    <cellStyle name="Normal 5 3 2 3 2 2 2" xfId="2906" xr:uid="{80190684-EBC7-4C91-819E-DDF479576E7C}"/>
    <cellStyle name="Normal 5 3 2 3 2 2 2 2" xfId="5341" xr:uid="{573361D3-EA69-4C8B-A2AC-C1B43D3C2C79}"/>
    <cellStyle name="Normal 5 3 2 3 2 2 3" xfId="2068" xr:uid="{15C865CF-3A72-4D3A-989D-60920341CAD2}"/>
    <cellStyle name="Normal 5 3 2 3 2 2 3 2" xfId="4585" xr:uid="{14E0B0B4-CC05-42CA-9069-ED18E2E8C93D}"/>
    <cellStyle name="Normal 5 3 2 3 2 2 4" xfId="3779" xr:uid="{CC7F0CFB-F642-4F1B-B55B-CCA5003E27FD}"/>
    <cellStyle name="Normal 5 3 2 3 2 3" xfId="2508" xr:uid="{88F943E9-7A07-44A8-852C-1F0A30D2836B}"/>
    <cellStyle name="Normal 5 3 2 3 2 3 2" xfId="4943" xr:uid="{20277A27-84F9-47F4-AE31-624D45463005}"/>
    <cellStyle name="Normal 5 3 2 3 2 4" xfId="1481" xr:uid="{32AFD444-0CA0-472D-BDF3-A537E1177792}"/>
    <cellStyle name="Normal 5 3 2 3 2 4 2" xfId="4073" xr:uid="{EF244EE6-A058-4E75-A626-C7822448421B}"/>
    <cellStyle name="Normal 5 3 2 3 2 5" xfId="3570" xr:uid="{755E65F1-9ABA-4E13-B200-7404FCB8D99A}"/>
    <cellStyle name="Normal 5 3 2 3 3" xfId="741" xr:uid="{00000000-0005-0000-0000-000026020000}"/>
    <cellStyle name="Normal 5 3 2 3 3 2" xfId="2736" xr:uid="{375AA0D8-A473-4155-AB4A-E537C10C84AA}"/>
    <cellStyle name="Normal 5 3 2 3 3 2 2" xfId="5171" xr:uid="{FA7635C9-97DC-4110-9EC4-E5E738870F0C}"/>
    <cellStyle name="Normal 5 3 2 3 3 3" xfId="1898" xr:uid="{72881647-2160-406C-83D5-018A9FCA8947}"/>
    <cellStyle name="Normal 5 3 2 3 3 3 2" xfId="4415" xr:uid="{D831C86C-1B61-44D2-8FCA-2F12BE1CE743}"/>
    <cellStyle name="Normal 5 3 2 3 3 4" xfId="3674" xr:uid="{72E90790-FBC4-442E-8B94-B37070BC9063}"/>
    <cellStyle name="Normal 5 3 2 3 4" xfId="2507" xr:uid="{E474728F-4506-4CE4-B5E8-E52249709289}"/>
    <cellStyle name="Normal 5 3 2 3 4 2" xfId="4942" xr:uid="{9598DC8F-6AF3-4F13-8BCB-3CA55D003B92}"/>
    <cellStyle name="Normal 5 3 2 3 5" xfId="1480" xr:uid="{76DE6850-9618-48F4-85E1-CB17C4019CD6}"/>
    <cellStyle name="Normal 5 3 2 3 5 2" xfId="4072" xr:uid="{62D01D13-3597-4ABE-9025-C7E10BF32A49}"/>
    <cellStyle name="Normal 5 3 2 3 6" xfId="3460" xr:uid="{4E2ED4B5-5472-458D-83B1-10BAB46483C3}"/>
    <cellStyle name="Normal 5 3 2 4" xfId="584" xr:uid="{00000000-0005-0000-0000-000027020000}"/>
    <cellStyle name="Normal 5 3 2 4 2" xfId="795" xr:uid="{00000000-0005-0000-0000-000028020000}"/>
    <cellStyle name="Normal 5 3 2 4 2 2" xfId="2904" xr:uid="{7B63F3B2-0691-4068-A879-FFF30213A5DF}"/>
    <cellStyle name="Normal 5 3 2 4 2 2 2" xfId="5339" xr:uid="{8270B2DF-9465-4932-953A-D0C964BDF50E}"/>
    <cellStyle name="Normal 5 3 2 4 2 3" xfId="2066" xr:uid="{F368123C-949C-4E23-8F48-A38105BB4DC5}"/>
    <cellStyle name="Normal 5 3 2 4 2 3 2" xfId="4583" xr:uid="{393CB28F-74B2-4ED9-AB44-7A2C82F42148}"/>
    <cellStyle name="Normal 5 3 2 4 2 4" xfId="3727" xr:uid="{DBD61F0A-FDA1-4B09-B519-B4678D55529A}"/>
    <cellStyle name="Normal 5 3 2 4 3" xfId="2509" xr:uid="{DE1A5BA0-F39C-4CC6-8BF5-BEEAA0495509}"/>
    <cellStyle name="Normal 5 3 2 4 3 2" xfId="4944" xr:uid="{62390541-F939-4DF4-9B2B-6B9380C512AB}"/>
    <cellStyle name="Normal 5 3 2 4 4" xfId="1482" xr:uid="{36C985FA-7A32-4D02-AB97-BDDCDC0BA53C}"/>
    <cellStyle name="Normal 5 3 2 4 4 2" xfId="4074" xr:uid="{83E8379F-DAAD-4497-BEBD-7CB48B15B1D8}"/>
    <cellStyle name="Normal 5 3 2 4 5" xfId="3518" xr:uid="{3458B768-FABF-4B86-90D3-2FFB3F9F082C}"/>
    <cellStyle name="Normal 5 3 2 5" xfId="689" xr:uid="{00000000-0005-0000-0000-000029020000}"/>
    <cellStyle name="Normal 5 3 2 5 2" xfId="2734" xr:uid="{1AD61E4E-A58E-4CD7-942C-8F46BAAEF4D6}"/>
    <cellStyle name="Normal 5 3 2 5 2 2" xfId="5169" xr:uid="{1F989ADE-7204-4343-9192-DC079E322BA9}"/>
    <cellStyle name="Normal 5 3 2 5 3" xfId="1896" xr:uid="{CEAD9501-2DAE-4A50-9098-86D9691B05F4}"/>
    <cellStyle name="Normal 5 3 2 5 3 2" xfId="4413" xr:uid="{FC3F15CA-460C-4884-A681-8AE2AFE69C8B}"/>
    <cellStyle name="Normal 5 3 2 5 4" xfId="3622" xr:uid="{77DCBA75-A44E-4F08-BF96-36EDED7DD757}"/>
    <cellStyle name="Normal 5 3 2 6" xfId="2504" xr:uid="{9F90B0C3-F749-44E7-BD2D-494D21FFD158}"/>
    <cellStyle name="Normal 5 3 2 6 2" xfId="4939" xr:uid="{D25E58FA-9A9A-41BE-A326-0ADFCB7C81DF}"/>
    <cellStyle name="Normal 5 3 2 7" xfId="1477" xr:uid="{A49D2BAE-4F77-4B6C-9AFB-584269182511}"/>
    <cellStyle name="Normal 5 3 2 7 2" xfId="4069" xr:uid="{0972C146-834A-4C96-AC38-996844D32B3D}"/>
    <cellStyle name="Normal 5 3 2 8" xfId="3398" xr:uid="{87EAD8F5-444E-48EB-A95C-020850ADF603}"/>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2 2 2" xfId="3814" xr:uid="{013EC4CE-C8DB-4487-B99B-87BF32A62960}"/>
    <cellStyle name="Normal 5 3 3 2 2 2 3" xfId="2907" xr:uid="{FED92EFF-F004-4AB8-A43E-9F87207F2477}"/>
    <cellStyle name="Normal 5 3 3 2 2 2 3 2" xfId="5342" xr:uid="{6D83AF9F-C44F-457A-AD20-652F23A6727A}"/>
    <cellStyle name="Normal 5 3 3 2 2 2 4" xfId="3605" xr:uid="{C4431531-734A-4EC5-96B4-066D33BFCA04}"/>
    <cellStyle name="Normal 5 3 3 2 2 3" xfId="776" xr:uid="{00000000-0005-0000-0000-00002F020000}"/>
    <cellStyle name="Normal 5 3 3 2 2 3 2" xfId="3709" xr:uid="{708B2318-0A06-4D91-A481-CBA3DC68714B}"/>
    <cellStyle name="Normal 5 3 3 2 2 4" xfId="2069" xr:uid="{9E8B92A4-0A24-448A-852A-61045F3C596D}"/>
    <cellStyle name="Normal 5 3 3 2 2 4 2" xfId="4586" xr:uid="{2F4F53B1-06A4-487E-BC77-98F78D9E9867}"/>
    <cellStyle name="Normal 5 3 3 2 2 5" xfId="3495" xr:uid="{171AE557-CD98-4CDF-8347-589566EF5C6E}"/>
    <cellStyle name="Normal 5 3 3 2 3" xfId="619" xr:uid="{00000000-0005-0000-0000-000030020000}"/>
    <cellStyle name="Normal 5 3 3 2 3 2" xfId="830" xr:uid="{00000000-0005-0000-0000-000031020000}"/>
    <cellStyle name="Normal 5 3 3 2 3 2 2" xfId="3762" xr:uid="{20E7DA11-F089-407E-BB29-375D998D23AF}"/>
    <cellStyle name="Normal 5 3 3 2 3 3" xfId="2511" xr:uid="{024C6A05-0961-4FC3-A988-0B39742B3598}"/>
    <cellStyle name="Normal 5 3 3 2 3 3 2" xfId="4946" xr:uid="{7E9B8577-35F8-4543-8D1F-C876DEE1CA80}"/>
    <cellStyle name="Normal 5 3 3 2 3 4" xfId="3553" xr:uid="{EE51077F-A852-4BBE-A2AC-48BCD7106AEE}"/>
    <cellStyle name="Normal 5 3 3 2 4" xfId="724" xr:uid="{00000000-0005-0000-0000-000032020000}"/>
    <cellStyle name="Normal 5 3 3 2 4 2" xfId="3657" xr:uid="{09EC7F46-5535-4F1E-84F6-ABD996892624}"/>
    <cellStyle name="Normal 5 3 3 2 5" xfId="1484" xr:uid="{43A2333E-70CD-4505-8A17-87D483D1A922}"/>
    <cellStyle name="Normal 5 3 3 2 5 2" xfId="4076" xr:uid="{A56AF537-6EFB-477F-93A4-244234E71A9E}"/>
    <cellStyle name="Normal 5 3 3 2 6" xfId="3438" xr:uid="{554C963E-80FF-487B-80D0-17651C4F172E}"/>
    <cellStyle name="Normal 5 3 3 3" xfId="489" xr:uid="{00000000-0005-0000-0000-000033020000}"/>
    <cellStyle name="Normal 5 3 3 3 2" xfId="645" xr:uid="{00000000-0005-0000-0000-000034020000}"/>
    <cellStyle name="Normal 5 3 3 3 2 2" xfId="856" xr:uid="{00000000-0005-0000-0000-000035020000}"/>
    <cellStyle name="Normal 5 3 3 3 2 2 2" xfId="3788" xr:uid="{D6B43BB2-4E3D-47B2-A5C0-716417BD8619}"/>
    <cellStyle name="Normal 5 3 3 3 2 3" xfId="2737" xr:uid="{BB94A5AA-624C-4B1D-AB1B-207FE5713B44}"/>
    <cellStyle name="Normal 5 3 3 3 2 3 2" xfId="5172" xr:uid="{93754057-D0C6-4178-97E3-473F882BA685}"/>
    <cellStyle name="Normal 5 3 3 3 2 4" xfId="3579" xr:uid="{EBECB9AC-0A89-434D-BCCE-FADA023198A9}"/>
    <cellStyle name="Normal 5 3 3 3 3" xfId="750" xr:uid="{00000000-0005-0000-0000-000036020000}"/>
    <cellStyle name="Normal 5 3 3 3 3 2" xfId="3683" xr:uid="{CBD2EE80-2020-465B-A993-1ACF6B8D88F8}"/>
    <cellStyle name="Normal 5 3 3 3 4" xfId="1899" xr:uid="{DB271AFA-8958-463E-9AD1-F485EBEA4ED2}"/>
    <cellStyle name="Normal 5 3 3 3 4 2" xfId="4416" xr:uid="{CFC41BCE-A323-4CCC-93B4-9F86370B9B8F}"/>
    <cellStyle name="Normal 5 3 3 3 5" xfId="3469" xr:uid="{339B4A1E-20BC-4CBE-97A7-1961F7A00ED9}"/>
    <cellStyle name="Normal 5 3 3 4" xfId="593" xr:uid="{00000000-0005-0000-0000-000037020000}"/>
    <cellStyle name="Normal 5 3 3 4 2" xfId="804" xr:uid="{00000000-0005-0000-0000-000038020000}"/>
    <cellStyle name="Normal 5 3 3 4 2 2" xfId="3736" xr:uid="{93D8BF51-FC8A-4D6B-8E7B-D4ABC7D2CE20}"/>
    <cellStyle name="Normal 5 3 3 4 3" xfId="2510" xr:uid="{CC5DF59F-77FA-404B-B029-61BBD5AA8FD3}"/>
    <cellStyle name="Normal 5 3 3 4 3 2" xfId="4945" xr:uid="{94C266A2-D540-439F-9CEF-6F2FD88275C0}"/>
    <cellStyle name="Normal 5 3 3 4 4" xfId="3527" xr:uid="{AFA84220-1AC3-463C-BCAB-5EA3B21B58BC}"/>
    <cellStyle name="Normal 5 3 3 5" xfId="698" xr:uid="{00000000-0005-0000-0000-000039020000}"/>
    <cellStyle name="Normal 5 3 3 5 2" xfId="3631" xr:uid="{E503A876-E0ED-4923-9E8A-064F116F59CE}"/>
    <cellStyle name="Normal 5 3 3 6" xfId="1483" xr:uid="{CC7440F1-8296-4789-86A6-DBE83A3D07BB}"/>
    <cellStyle name="Normal 5 3 3 6 2" xfId="4075" xr:uid="{1F8B4526-D182-4037-A062-26138B4AF34C}"/>
    <cellStyle name="Normal 5 3 3 7" xfId="3407" xr:uid="{A26CFC70-D21A-484B-AF8B-F8866493B99A}"/>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2 2 2" xfId="2908" xr:uid="{BE0A0989-9C7C-40FD-ABA9-2329FDB26A33}"/>
    <cellStyle name="Normal 5 3 4 2 2 2 2 2" xfId="5343" xr:uid="{2EBDEB99-702F-4DFD-ADDC-2FF629D2AC43}"/>
    <cellStyle name="Normal 5 3 4 2 2 2 3" xfId="3797" xr:uid="{3FAFFEB0-42BD-4772-A552-F2F4BA66C7A4}"/>
    <cellStyle name="Normal 5 3 4 2 2 3" xfId="2070" xr:uid="{C3E83E2E-3F04-4258-9AC4-1B58536583F4}"/>
    <cellStyle name="Normal 5 3 4 2 2 3 2" xfId="4587" xr:uid="{2B3EA774-ED90-4D22-9A40-5840FA76F273}"/>
    <cellStyle name="Normal 5 3 4 2 2 4" xfId="3588" xr:uid="{242D05B6-1B87-4D25-A620-5AC8F364A041}"/>
    <cellStyle name="Normal 5 3 4 2 3" xfId="759" xr:uid="{00000000-0005-0000-0000-00003E020000}"/>
    <cellStyle name="Normal 5 3 4 2 3 2" xfId="2513" xr:uid="{83F99F57-A20D-47FE-9F4D-E9C0800104CD}"/>
    <cellStyle name="Normal 5 3 4 2 3 2 2" xfId="4948" xr:uid="{4FC5D091-B074-4779-9123-ED2ED69B90C6}"/>
    <cellStyle name="Normal 5 3 4 2 3 3" xfId="3692" xr:uid="{13119780-3215-489D-82A7-B4B3A4DA93A1}"/>
    <cellStyle name="Normal 5 3 4 2 4" xfId="1486" xr:uid="{352165A9-24B5-473A-A091-F65ED06A582B}"/>
    <cellStyle name="Normal 5 3 4 2 4 2" xfId="4078" xr:uid="{D53137F5-2B87-4EE2-8475-E8ECD142F665}"/>
    <cellStyle name="Normal 5 3 4 2 5" xfId="3478" xr:uid="{B4107C85-9BFC-4B4D-BCB6-8A09E078E668}"/>
    <cellStyle name="Normal 5 3 4 3" xfId="602" xr:uid="{00000000-0005-0000-0000-00003F020000}"/>
    <cellStyle name="Normal 5 3 4 3 2" xfId="813" xr:uid="{00000000-0005-0000-0000-000040020000}"/>
    <cellStyle name="Normal 5 3 4 3 2 2" xfId="2738" xr:uid="{072ABA06-D777-436C-992C-50BF2F955C11}"/>
    <cellStyle name="Normal 5 3 4 3 2 2 2" xfId="5173" xr:uid="{264E8F9D-A1D6-41A6-8952-51FD1C7CE46E}"/>
    <cellStyle name="Normal 5 3 4 3 2 3" xfId="3745" xr:uid="{1CA79868-D92A-41EB-98CC-7BA6F33D2B9F}"/>
    <cellStyle name="Normal 5 3 4 3 3" xfId="1900" xr:uid="{1FB3B786-FD6E-4FE1-9937-2F5B17B1FBFE}"/>
    <cellStyle name="Normal 5 3 4 3 3 2" xfId="4417" xr:uid="{61B4C065-E582-46A7-BBFD-F1B928D5165C}"/>
    <cellStyle name="Normal 5 3 4 3 4" xfId="3536" xr:uid="{91F3260D-5AF7-4751-815F-BECA5EDDE651}"/>
    <cellStyle name="Normal 5 3 4 4" xfId="707" xr:uid="{00000000-0005-0000-0000-000041020000}"/>
    <cellStyle name="Normal 5 3 4 4 2" xfId="2512" xr:uid="{504D2D35-891C-4D52-9900-66D415EA56EB}"/>
    <cellStyle name="Normal 5 3 4 4 2 2" xfId="4947" xr:uid="{082936C2-9C7E-41B7-ACEA-54FE3305CBED}"/>
    <cellStyle name="Normal 5 3 4 4 3" xfId="3640" xr:uid="{BCAF62F3-106A-4EFF-8CA0-F34451DD5233}"/>
    <cellStyle name="Normal 5 3 4 5" xfId="1485" xr:uid="{D9C185C2-2A79-4627-A634-AF26022777D6}"/>
    <cellStyle name="Normal 5 3 4 5 2" xfId="4077" xr:uid="{6C64F58F-D36F-4DED-9309-E06D2139757A}"/>
    <cellStyle name="Normal 5 3 4 6" xfId="3421" xr:uid="{84595A46-9F93-4350-9DF5-42DE6AD6446D}"/>
    <cellStyle name="Normal 5 3 5" xfId="472" xr:uid="{00000000-0005-0000-0000-000042020000}"/>
    <cellStyle name="Normal 5 3 5 2" xfId="628" xr:uid="{00000000-0005-0000-0000-000043020000}"/>
    <cellStyle name="Normal 5 3 5 2 2" xfId="839" xr:uid="{00000000-0005-0000-0000-000044020000}"/>
    <cellStyle name="Normal 5 3 5 2 2 2" xfId="3771" xr:uid="{88101F3A-9311-45F8-B9A9-407F69A50D60}"/>
    <cellStyle name="Normal 5 3 5 2 3" xfId="3562" xr:uid="{E896FD4C-19B7-4538-AFF0-631C4AD8FEFD}"/>
    <cellStyle name="Normal 5 3 5 3" xfId="733" xr:uid="{00000000-0005-0000-0000-000045020000}"/>
    <cellStyle name="Normal 5 3 5 3 2" xfId="3666" xr:uid="{30089712-67D4-4849-A08B-1A0BEF991120}"/>
    <cellStyle name="Normal 5 3 5 4" xfId="3452" xr:uid="{93EE1D20-ACBB-4C9E-8BB9-F1D85FACEE88}"/>
    <cellStyle name="Normal 5 3 6" xfId="576" xr:uid="{00000000-0005-0000-0000-000046020000}"/>
    <cellStyle name="Normal 5 3 6 2" xfId="787" xr:uid="{00000000-0005-0000-0000-000047020000}"/>
    <cellStyle name="Normal 5 3 6 2 2" xfId="3719" xr:uid="{5CEDFEB8-B0EB-4240-A9D1-2F5394581FF1}"/>
    <cellStyle name="Normal 5 3 6 3" xfId="3510" xr:uid="{B0978FD5-4E4A-4CFF-A8FD-19FCF0991D81}"/>
    <cellStyle name="Normal 5 3 7" xfId="681" xr:uid="{00000000-0005-0000-0000-000048020000}"/>
    <cellStyle name="Normal 5 3 7 2" xfId="3614" xr:uid="{6A1EADA9-BCAC-4222-A1CF-00178AE4F1B6}"/>
    <cellStyle name="Normal 5 3 8" xfId="1476" xr:uid="{C3F50E7A-3478-4DC5-BA1E-02C9D0E00766}"/>
    <cellStyle name="Normal 5 3 9" xfId="3385" xr:uid="{5AD14DD2-2831-47F1-9861-447F29D5690C}"/>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2 2 2" xfId="2910" xr:uid="{C7DD388E-1F64-4B37-8F30-A539F4B2052E}"/>
    <cellStyle name="Normal 5 4 2 2 2 2 2 2" xfId="5345" xr:uid="{72CFCC00-97F1-4040-BE61-2E773F73D472}"/>
    <cellStyle name="Normal 5 4 2 2 2 2 3" xfId="3801" xr:uid="{E2B1B1B8-AA0A-4840-9511-8C144F08C161}"/>
    <cellStyle name="Normal 5 4 2 2 2 3" xfId="2072" xr:uid="{F9DB3EE8-0281-47DA-9C51-4378067B762D}"/>
    <cellStyle name="Normal 5 4 2 2 2 3 2" xfId="4589" xr:uid="{B4CB63AB-6BB5-4A02-BCED-852A00375C24}"/>
    <cellStyle name="Normal 5 4 2 2 2 4" xfId="3592" xr:uid="{D707225E-ACB1-4344-B1A7-7F676411F15D}"/>
    <cellStyle name="Normal 5 4 2 2 3" xfId="763" xr:uid="{00000000-0005-0000-0000-00004E020000}"/>
    <cellStyle name="Normal 5 4 2 2 3 2" xfId="2516" xr:uid="{9271B195-2F52-4C31-B5C5-FC128F73FD0F}"/>
    <cellStyle name="Normal 5 4 2 2 3 2 2" xfId="4951" xr:uid="{65521D9A-A5F7-4647-A8F9-B125891C5D48}"/>
    <cellStyle name="Normal 5 4 2 2 3 3" xfId="3696" xr:uid="{A061AA24-75F1-4914-B977-2AFC9E4801D9}"/>
    <cellStyle name="Normal 5 4 2 2 4" xfId="1489" xr:uid="{F241C311-FF85-44A8-AE00-4BAE74186B2D}"/>
    <cellStyle name="Normal 5 4 2 2 4 2" xfId="4081" xr:uid="{07D3E3ED-644C-477B-BDBF-6EB185855EE8}"/>
    <cellStyle name="Normal 5 4 2 2 5" xfId="3482" xr:uid="{824D5C97-7F60-4A4F-9814-FE7C8AF10A9B}"/>
    <cellStyle name="Normal 5 4 2 3" xfId="606" xr:uid="{00000000-0005-0000-0000-00004F020000}"/>
    <cellStyle name="Normal 5 4 2 3 2" xfId="817" xr:uid="{00000000-0005-0000-0000-000050020000}"/>
    <cellStyle name="Normal 5 4 2 3 2 2" xfId="2740" xr:uid="{C223F2EA-3F07-40C4-B9DB-ECCB0616C835}"/>
    <cellStyle name="Normal 5 4 2 3 2 2 2" xfId="5175" xr:uid="{EB5C5E0A-E4F0-49A3-9F49-DA0AEE302224}"/>
    <cellStyle name="Normal 5 4 2 3 2 3" xfId="3749" xr:uid="{21FD96A3-4AF8-48BE-A9C2-EA2376C0D4E8}"/>
    <cellStyle name="Normal 5 4 2 3 3" xfId="1902" xr:uid="{066410FA-ADBC-48F0-8790-6132C90ACA5C}"/>
    <cellStyle name="Normal 5 4 2 3 3 2" xfId="4419" xr:uid="{542EE0A3-1A34-4CD9-BBDC-FBF7B393F52A}"/>
    <cellStyle name="Normal 5 4 2 3 4" xfId="3540" xr:uid="{E15A762F-86DB-42F9-944A-CA9ED7092FEF}"/>
    <cellStyle name="Normal 5 4 2 4" xfId="711" xr:uid="{00000000-0005-0000-0000-000051020000}"/>
    <cellStyle name="Normal 5 4 2 4 2" xfId="2515" xr:uid="{A9192333-71A5-46B8-951E-CE8E503D9410}"/>
    <cellStyle name="Normal 5 4 2 4 2 2" xfId="4950" xr:uid="{5B52CAED-5892-44E5-A60A-55F4B68571D6}"/>
    <cellStyle name="Normal 5 4 2 4 3" xfId="3644" xr:uid="{38B057DE-6F03-42EA-8292-82112E45E02A}"/>
    <cellStyle name="Normal 5 4 2 5" xfId="1488" xr:uid="{16EB2FD0-81CA-4228-A80D-1EC951C46819}"/>
    <cellStyle name="Normal 5 4 2 5 2" xfId="4080" xr:uid="{B3A7C1DE-C048-4E85-97E1-8676EAE355C6}"/>
    <cellStyle name="Normal 5 4 2 6" xfId="3425" xr:uid="{0767D1E1-C5A4-456E-924C-9EF4D4EABB6F}"/>
    <cellStyle name="Normal 5 4 3" xfId="476" xr:uid="{00000000-0005-0000-0000-000052020000}"/>
    <cellStyle name="Normal 5 4 3 2" xfId="632" xr:uid="{00000000-0005-0000-0000-000053020000}"/>
    <cellStyle name="Normal 5 4 3 2 2" xfId="843" xr:uid="{00000000-0005-0000-0000-000054020000}"/>
    <cellStyle name="Normal 5 4 3 2 2 2" xfId="2911" xr:uid="{67E0E1A1-CF76-42C6-ABE5-322E0C0133B3}"/>
    <cellStyle name="Normal 5 4 3 2 2 2 2" xfId="5346" xr:uid="{97B1559C-97C1-47EF-BE24-70B88D5B4E15}"/>
    <cellStyle name="Normal 5 4 3 2 2 3" xfId="2073" xr:uid="{95AC8AD6-C4F2-4E58-8045-1257E1394637}"/>
    <cellStyle name="Normal 5 4 3 2 2 3 2" xfId="4590" xr:uid="{928F68BD-8D5C-406E-8E13-C64DE3FD67C4}"/>
    <cellStyle name="Normal 5 4 3 2 2 4" xfId="3775" xr:uid="{D1D89F05-4C08-4594-97E8-AB1B7D2C5646}"/>
    <cellStyle name="Normal 5 4 3 2 3" xfId="2518" xr:uid="{92073405-172E-4DED-AE07-3E02CBDABFEF}"/>
    <cellStyle name="Normal 5 4 3 2 3 2" xfId="4953" xr:uid="{7D0B383F-2C7D-4B7D-9D35-067E03B7AE36}"/>
    <cellStyle name="Normal 5 4 3 2 4" xfId="1491" xr:uid="{F0930CDE-8ED7-4F50-8BD8-A15A4FD2EA6E}"/>
    <cellStyle name="Normal 5 4 3 2 4 2" xfId="4083" xr:uid="{1CC27694-D28E-4124-AC30-25BF5D4B700D}"/>
    <cellStyle name="Normal 5 4 3 2 5" xfId="3566" xr:uid="{50A47D47-505F-44CC-8252-1D3C2CE339B2}"/>
    <cellStyle name="Normal 5 4 3 3" xfId="737" xr:uid="{00000000-0005-0000-0000-000055020000}"/>
    <cellStyle name="Normal 5 4 3 3 2" xfId="2741" xr:uid="{33FD0741-219E-451D-BAF2-E3C738270A4E}"/>
    <cellStyle name="Normal 5 4 3 3 2 2" xfId="5176" xr:uid="{A4248972-25E7-4708-B021-3209C4069BF0}"/>
    <cellStyle name="Normal 5 4 3 3 3" xfId="1903" xr:uid="{D28835A3-66DB-447D-A306-B31935B79B1C}"/>
    <cellStyle name="Normal 5 4 3 3 3 2" xfId="4420" xr:uid="{F0716DD1-D59F-492C-BA89-233AFBA59226}"/>
    <cellStyle name="Normal 5 4 3 3 4" xfId="3670" xr:uid="{EF27FFCC-B43C-401B-A772-C5D87E60623D}"/>
    <cellStyle name="Normal 5 4 3 4" xfId="2517" xr:uid="{7636130F-C454-48F8-83A7-AA22A7854ACA}"/>
    <cellStyle name="Normal 5 4 3 4 2" xfId="4952" xr:uid="{E6BECA4A-324E-442A-8178-C040EE837127}"/>
    <cellStyle name="Normal 5 4 3 5" xfId="1490" xr:uid="{268F588D-E882-484F-A634-7BF4FB73BD11}"/>
    <cellStyle name="Normal 5 4 3 5 2" xfId="4082" xr:uid="{AFC9D66E-2E28-4659-BDA9-A6BA3CB8152A}"/>
    <cellStyle name="Normal 5 4 3 6" xfId="3456" xr:uid="{89851139-57CD-4D37-B77B-F73B2ABAF4C9}"/>
    <cellStyle name="Normal 5 4 4" xfId="580" xr:uid="{00000000-0005-0000-0000-000056020000}"/>
    <cellStyle name="Normal 5 4 4 2" xfId="791" xr:uid="{00000000-0005-0000-0000-000057020000}"/>
    <cellStyle name="Normal 5 4 4 2 2" xfId="2909" xr:uid="{F1B3D911-7A4D-4D33-932A-2148E35B932F}"/>
    <cellStyle name="Normal 5 4 4 2 2 2" xfId="5344" xr:uid="{8A376ACF-C367-48D3-97F4-9FB3C689A361}"/>
    <cellStyle name="Normal 5 4 4 2 3" xfId="2071" xr:uid="{90DE3BFB-F936-4D0A-BD49-412DF87AD4AF}"/>
    <cellStyle name="Normal 5 4 4 2 3 2" xfId="4588" xr:uid="{F1F0B58E-B835-4C76-9AAA-62B5317236A5}"/>
    <cellStyle name="Normal 5 4 4 2 4" xfId="3723" xr:uid="{A6BBF485-3BB0-44BE-B4C5-85E6F50D526C}"/>
    <cellStyle name="Normal 5 4 4 3" xfId="2519" xr:uid="{6814017C-57C0-43A6-817B-CE9F052428D8}"/>
    <cellStyle name="Normal 5 4 4 3 2" xfId="4954" xr:uid="{95E1077E-E2D0-4E48-A9DD-3EE0FBCB62BF}"/>
    <cellStyle name="Normal 5 4 4 4" xfId="1492" xr:uid="{F447ECC3-C3F3-4636-BC04-E2EA26EE7D7A}"/>
    <cellStyle name="Normal 5 4 4 4 2" xfId="4084" xr:uid="{6F2AAFDC-35F6-43C5-BDD0-03A53B622004}"/>
    <cellStyle name="Normal 5 4 4 5" xfId="3514" xr:uid="{E37D0188-790F-4010-B671-A411CE835F96}"/>
    <cellStyle name="Normal 5 4 5" xfId="685" xr:uid="{00000000-0005-0000-0000-000058020000}"/>
    <cellStyle name="Normal 5 4 5 2" xfId="2739" xr:uid="{92231D32-5EB9-4D24-BA32-648CFFC008A2}"/>
    <cellStyle name="Normal 5 4 5 2 2" xfId="5174" xr:uid="{4F75F9D5-489F-42F9-B544-14D2E4A9C97F}"/>
    <cellStyle name="Normal 5 4 5 3" xfId="1901" xr:uid="{30A82EDE-386F-4AA1-AA19-5E0326A9B9B1}"/>
    <cellStyle name="Normal 5 4 5 3 2" xfId="4418" xr:uid="{9FF0C2C1-563A-4E6C-B6AA-92C34A6BB950}"/>
    <cellStyle name="Normal 5 4 5 4" xfId="3618" xr:uid="{C5AC8584-5DF3-452A-99E3-0ACC6FA6434A}"/>
    <cellStyle name="Normal 5 4 6" xfId="2514" xr:uid="{AF37760F-22D0-4079-AFEE-53ACE454A607}"/>
    <cellStyle name="Normal 5 4 6 2" xfId="4949" xr:uid="{62BCB0FB-BDB9-4A11-897D-9A3BDA83675A}"/>
    <cellStyle name="Normal 5 4 7" xfId="1487" xr:uid="{5CC29D29-3D6A-4DCA-BD06-7776078B1745}"/>
    <cellStyle name="Normal 5 4 7 2" xfId="4079" xr:uid="{EC38B195-779D-40F8-895E-EDFFB304096E}"/>
    <cellStyle name="Normal 5 4 8" xfId="3394" xr:uid="{0762F9FC-F8FD-4895-AB21-454193C0C01E}"/>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2 2 2" xfId="3810" xr:uid="{84A12033-2C44-4367-B819-70C1156563A8}"/>
    <cellStyle name="Normal 5 5 2 2 2 3" xfId="2912" xr:uid="{FAC68542-9D5A-4ABD-89B3-9DAD38D1AE7B}"/>
    <cellStyle name="Normal 5 5 2 2 2 3 2" xfId="5347" xr:uid="{876948BA-D5ED-488D-B522-DD94C319F192}"/>
    <cellStyle name="Normal 5 5 2 2 2 4" xfId="3601" xr:uid="{B8CD09DB-2698-431C-99F1-49106EFF267D}"/>
    <cellStyle name="Normal 5 5 2 2 3" xfId="772" xr:uid="{00000000-0005-0000-0000-00005E020000}"/>
    <cellStyle name="Normal 5 5 2 2 3 2" xfId="3705" xr:uid="{C2E56B0C-1817-4A99-B6F4-70D80224355F}"/>
    <cellStyle name="Normal 5 5 2 2 4" xfId="2074" xr:uid="{CF8E40F2-3337-44ED-867E-43C195C3EB78}"/>
    <cellStyle name="Normal 5 5 2 2 4 2" xfId="4591" xr:uid="{2C22D7E2-C27A-4E86-B101-BC2D99767134}"/>
    <cellStyle name="Normal 5 5 2 2 5" xfId="3491" xr:uid="{982957A5-B7DA-469C-96AF-9F16F66B9D24}"/>
    <cellStyle name="Normal 5 5 2 3" xfId="615" xr:uid="{00000000-0005-0000-0000-00005F020000}"/>
    <cellStyle name="Normal 5 5 2 3 2" xfId="826" xr:uid="{00000000-0005-0000-0000-000060020000}"/>
    <cellStyle name="Normal 5 5 2 3 2 2" xfId="3758" xr:uid="{CE11337F-6EE3-4E2C-AD80-D9FE9890E7FA}"/>
    <cellStyle name="Normal 5 5 2 3 3" xfId="2521" xr:uid="{6C6AD6E1-4874-4E7F-A3CB-F11D9D03C97A}"/>
    <cellStyle name="Normal 5 5 2 3 3 2" xfId="4956" xr:uid="{8D12666C-3A9B-4E19-AABA-AF4D44DE5A24}"/>
    <cellStyle name="Normal 5 5 2 3 4" xfId="3549" xr:uid="{FF65434A-B419-4CD5-B111-1E5B9129CFFD}"/>
    <cellStyle name="Normal 5 5 2 4" xfId="720" xr:uid="{00000000-0005-0000-0000-000061020000}"/>
    <cellStyle name="Normal 5 5 2 4 2" xfId="3653" xr:uid="{01C18986-5C8C-436A-8753-9F4DAA42234A}"/>
    <cellStyle name="Normal 5 5 2 5" xfId="1494" xr:uid="{8AD0CF6C-7647-4823-8EA4-1FC1E9A6C3DF}"/>
    <cellStyle name="Normal 5 5 2 5 2" xfId="4086" xr:uid="{25BB85DC-9AA5-4E17-B564-680AA947FD32}"/>
    <cellStyle name="Normal 5 5 2 6" xfId="3434" xr:uid="{CF52C87A-B79A-485D-A82C-B065C40474EC}"/>
    <cellStyle name="Normal 5 5 3" xfId="485" xr:uid="{00000000-0005-0000-0000-000062020000}"/>
    <cellStyle name="Normal 5 5 3 2" xfId="641" xr:uid="{00000000-0005-0000-0000-000063020000}"/>
    <cellStyle name="Normal 5 5 3 2 2" xfId="852" xr:uid="{00000000-0005-0000-0000-000064020000}"/>
    <cellStyle name="Normal 5 5 3 2 2 2" xfId="3784" xr:uid="{EE3B6E67-70F5-4819-BE4D-87B0E479C711}"/>
    <cellStyle name="Normal 5 5 3 2 3" xfId="2742" xr:uid="{21D6E47F-79B8-4BDC-BB46-A14E6024A082}"/>
    <cellStyle name="Normal 5 5 3 2 3 2" xfId="5177" xr:uid="{3AB073A1-F7EF-49A2-AD8D-5464A6AC31FA}"/>
    <cellStyle name="Normal 5 5 3 2 4" xfId="3575" xr:uid="{5998EEB5-57C0-496C-8EB4-D84057AE40DB}"/>
    <cellStyle name="Normal 5 5 3 3" xfId="746" xr:uid="{00000000-0005-0000-0000-000065020000}"/>
    <cellStyle name="Normal 5 5 3 3 2" xfId="3679" xr:uid="{34E31BB0-1377-40F0-8373-586F30EB6611}"/>
    <cellStyle name="Normal 5 5 3 4" xfId="1904" xr:uid="{D5331FB5-55C0-4466-AF25-13293DFCE74C}"/>
    <cellStyle name="Normal 5 5 3 4 2" xfId="4421" xr:uid="{4A3202ED-6A10-449E-BDBB-152CFC84BB23}"/>
    <cellStyle name="Normal 5 5 3 5" xfId="3465" xr:uid="{8B8F2FD5-AC68-4C24-94B2-B47CA725BF24}"/>
    <cellStyle name="Normal 5 5 4" xfId="589" xr:uid="{00000000-0005-0000-0000-000066020000}"/>
    <cellStyle name="Normal 5 5 4 2" xfId="800" xr:uid="{00000000-0005-0000-0000-000067020000}"/>
    <cellStyle name="Normal 5 5 4 2 2" xfId="3732" xr:uid="{6FD6D423-31CD-4B82-99F1-DC0F43E845D1}"/>
    <cellStyle name="Normal 5 5 4 3" xfId="2520" xr:uid="{75A4EAC1-FCA2-4E01-A31D-182C89B3FB30}"/>
    <cellStyle name="Normal 5 5 4 3 2" xfId="4955" xr:uid="{334DA73B-E673-4E7C-8E6C-99C35D5E33D1}"/>
    <cellStyle name="Normal 5 5 4 4" xfId="3523" xr:uid="{1F47D833-5763-4AAB-B2C1-FD74E64CE473}"/>
    <cellStyle name="Normal 5 5 5" xfId="694" xr:uid="{00000000-0005-0000-0000-000068020000}"/>
    <cellStyle name="Normal 5 5 5 2" xfId="3627" xr:uid="{0B1F08A3-F030-4543-A5C0-DB4FC02EFE97}"/>
    <cellStyle name="Normal 5 5 6" xfId="1493" xr:uid="{0589E20A-E694-4DD2-A0F1-EC4B19B36CB0}"/>
    <cellStyle name="Normal 5 5 6 2" xfId="4085" xr:uid="{373F2523-C897-40F0-9743-32B78B13A56B}"/>
    <cellStyle name="Normal 5 5 7" xfId="3403" xr:uid="{807ED598-A50B-4381-A8AE-2F7F6FEEBEFB}"/>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2 2 2" xfId="2913" xr:uid="{B87F0862-F432-4EDE-B120-34B58D968D55}"/>
    <cellStyle name="Normal 5 6 2 2 2 2 2" xfId="5348" xr:uid="{960E15C0-F8E3-4D48-A988-28A15A28A763}"/>
    <cellStyle name="Normal 5 6 2 2 2 3" xfId="3793" xr:uid="{EFB918F9-E12A-47EE-AAF6-CAA2C42D2234}"/>
    <cellStyle name="Normal 5 6 2 2 3" xfId="2075" xr:uid="{D4B326A8-7A81-44B8-A134-86C56035AD14}"/>
    <cellStyle name="Normal 5 6 2 2 3 2" xfId="4592" xr:uid="{6D2657EE-75DA-4627-8B44-F7B52087228E}"/>
    <cellStyle name="Normal 5 6 2 2 4" xfId="3584" xr:uid="{F98A66A2-1AAF-4A9C-9899-05176331A5EA}"/>
    <cellStyle name="Normal 5 6 2 3" xfId="755" xr:uid="{00000000-0005-0000-0000-00006D020000}"/>
    <cellStyle name="Normal 5 6 2 3 2" xfId="2523" xr:uid="{7844FDEE-F9C8-4E5B-867D-499D80C66FB4}"/>
    <cellStyle name="Normal 5 6 2 3 2 2" xfId="4958" xr:uid="{3F742839-3495-4908-A7B7-3695A41EB524}"/>
    <cellStyle name="Normal 5 6 2 3 3" xfId="3688" xr:uid="{2FF2E0A2-B2CF-45C6-A140-16259520A242}"/>
    <cellStyle name="Normal 5 6 2 4" xfId="1496" xr:uid="{97B75A6C-FE5F-4E28-A126-D413DC7FC06F}"/>
    <cellStyle name="Normal 5 6 2 4 2" xfId="4088" xr:uid="{F44659EA-7FB2-4720-8145-BC49B8012FEF}"/>
    <cellStyle name="Normal 5 6 2 5" xfId="3474" xr:uid="{B807D9A7-5DC1-450E-9790-3E6ED9BEB3E1}"/>
    <cellStyle name="Normal 5 6 3" xfId="598" xr:uid="{00000000-0005-0000-0000-00006E020000}"/>
    <cellStyle name="Normal 5 6 3 2" xfId="809" xr:uid="{00000000-0005-0000-0000-00006F020000}"/>
    <cellStyle name="Normal 5 6 3 2 2" xfId="2743" xr:uid="{F9986922-E9C5-45E0-81D2-10A86938AF85}"/>
    <cellStyle name="Normal 5 6 3 2 2 2" xfId="5178" xr:uid="{C90B1AE0-6E67-469F-B40E-9417C1A9ADF7}"/>
    <cellStyle name="Normal 5 6 3 2 3" xfId="3741" xr:uid="{7CE80913-AA17-43C5-97D8-DE7C920FF8C9}"/>
    <cellStyle name="Normal 5 6 3 3" xfId="1905" xr:uid="{CE0F1612-016C-401E-A376-2537748F9161}"/>
    <cellStyle name="Normal 5 6 3 3 2" xfId="4422" xr:uid="{A17BCC16-B749-45B3-B083-F94886FE6D8D}"/>
    <cellStyle name="Normal 5 6 3 4" xfId="3532" xr:uid="{9F782522-11EB-4BF6-8A82-621087B6C51A}"/>
    <cellStyle name="Normal 5 6 4" xfId="703" xr:uid="{00000000-0005-0000-0000-000070020000}"/>
    <cellStyle name="Normal 5 6 4 2" xfId="2522" xr:uid="{C13A9F9D-A83C-4DF6-B4A2-4C79F614A7E1}"/>
    <cellStyle name="Normal 5 6 4 2 2" xfId="4957" xr:uid="{2406A4A1-46F9-46AD-9F9D-814C968E5207}"/>
    <cellStyle name="Normal 5 6 4 3" xfId="3636" xr:uid="{8E402B69-147A-4ABD-8615-A47FADECC4E2}"/>
    <cellStyle name="Normal 5 6 5" xfId="1495" xr:uid="{73CD29BA-490F-4735-87FF-525905859A1F}"/>
    <cellStyle name="Normal 5 6 5 2" xfId="4087" xr:uid="{1405DA90-B4AC-4142-896E-DF0108C1DD4C}"/>
    <cellStyle name="Normal 5 6 6" xfId="3417" xr:uid="{D54B6000-D8C2-44D4-B809-E12FD608F047}"/>
    <cellStyle name="Normal 5 7" xfId="468" xr:uid="{00000000-0005-0000-0000-000071020000}"/>
    <cellStyle name="Normal 5 7 2" xfId="624" xr:uid="{00000000-0005-0000-0000-000072020000}"/>
    <cellStyle name="Normal 5 7 2 2" xfId="835" xr:uid="{00000000-0005-0000-0000-000073020000}"/>
    <cellStyle name="Normal 5 7 2 2 2" xfId="3767" xr:uid="{0572ADA6-8F3E-41D6-BC73-69D8D9C6D121}"/>
    <cellStyle name="Normal 5 7 2 3" xfId="3558" xr:uid="{47C5F13D-1F78-403B-AD53-8123CD336297}"/>
    <cellStyle name="Normal 5 7 3" xfId="729" xr:uid="{00000000-0005-0000-0000-000074020000}"/>
    <cellStyle name="Normal 5 7 3 2" xfId="3662" xr:uid="{96220A67-0E93-49CF-A507-333568380905}"/>
    <cellStyle name="Normal 5 7 4" xfId="1497" xr:uid="{5098B03F-6A2D-4EE0-BC68-F54757DCDED8}"/>
    <cellStyle name="Normal 5 7 5" xfId="3448" xr:uid="{63703A5A-37C6-4373-B80B-95C3F56C2548}"/>
    <cellStyle name="Normal 5 8" xfId="572" xr:uid="{00000000-0005-0000-0000-000075020000}"/>
    <cellStyle name="Normal 5 8 2" xfId="783" xr:uid="{00000000-0005-0000-0000-000076020000}"/>
    <cellStyle name="Normal 5 8 2 2" xfId="2812" xr:uid="{0EA57876-853F-401D-A5E4-70DD2F355931}"/>
    <cellStyle name="Normal 5 8 2 2 2" xfId="5247" xr:uid="{2935563B-5EEF-492C-99BC-96386E48A406}"/>
    <cellStyle name="Normal 5 8 2 3" xfId="1974" xr:uid="{6ACA11BA-0DC2-4D9C-9B56-0B67B589ABB9}"/>
    <cellStyle name="Normal 5 8 2 3 2" xfId="4491" xr:uid="{AAFA1C9E-33E4-40BA-BA2F-E43EFD736D58}"/>
    <cellStyle name="Normal 5 8 2 4" xfId="3715" xr:uid="{3A656338-1231-4804-930D-54F70255F310}"/>
    <cellStyle name="Normal 5 8 3" xfId="2524" xr:uid="{8039D7E4-68C7-44BD-91C6-B3D7DE62B34F}"/>
    <cellStyle name="Normal 5 8 3 2" xfId="4959" xr:uid="{BB52F716-909E-40B5-AB7E-81A3101C9CDD}"/>
    <cellStyle name="Normal 5 8 4" xfId="1498" xr:uid="{1EAC24C0-7E06-4761-8AE2-8DD9E0CE0352}"/>
    <cellStyle name="Normal 5 8 4 2" xfId="4089" xr:uid="{781B6DA0-43E2-4833-8C2C-4E189F45A360}"/>
    <cellStyle name="Normal 5 8 5" xfId="3506" xr:uid="{84C829F0-9868-4B9F-82CB-9CF5C5E9B047}"/>
    <cellStyle name="Normal 5 9" xfId="677" xr:uid="{00000000-0005-0000-0000-000077020000}"/>
    <cellStyle name="Normal 5 9 2" xfId="2642" xr:uid="{F19C7CE9-04FF-4870-B70E-4182BED088C8}"/>
    <cellStyle name="Normal 5 9 2 2" xfId="5077" xr:uid="{2029E742-E24C-46FB-B61E-6B2C53AF8EA5}"/>
    <cellStyle name="Normal 5 9 3" xfId="1804" xr:uid="{5BAF390E-0FFB-4949-ADE7-FBCEB345FC9A}"/>
    <cellStyle name="Normal 5 9 3 2" xfId="4321" xr:uid="{D8136910-C433-4376-A3A8-537BC10144E2}"/>
    <cellStyle name="Normal 5 9 4" xfId="3610" xr:uid="{0BCA892A-442C-4CE8-8473-9479AF5B32B7}"/>
    <cellStyle name="Normal 50" xfId="2193" xr:uid="{4F2DD672-E2AA-4E3A-9D96-86E6E3204156}"/>
    <cellStyle name="Normal 50 2" xfId="3004" xr:uid="{16883C40-8B7D-431A-9F26-A3FBBAC4C40D}"/>
    <cellStyle name="Normal 51" xfId="2187" xr:uid="{0FB9BCFD-4602-4039-AAD6-9A20E5B23E55}"/>
    <cellStyle name="Normal 51 2" xfId="2998" xr:uid="{BD42ACF9-FE2E-4ACC-8F56-00A6FD7B23C1}"/>
    <cellStyle name="Normal 52" xfId="2194" xr:uid="{38252F6D-87E9-47CA-B170-F4FEF42E54A4}"/>
    <cellStyle name="Normal 52 2" xfId="3005" xr:uid="{88180F90-5A28-4687-AD70-8355BF27108A}"/>
    <cellStyle name="Normal 53" xfId="2249" xr:uid="{2BE0F7EB-F0B1-4F53-AD12-7A542DDCF705}"/>
    <cellStyle name="Normal 53 2" xfId="3010" xr:uid="{8B2F7280-15CD-40D9-902D-1A6D7FCBA840}"/>
    <cellStyle name="Normal 54" xfId="2195" xr:uid="{64E29325-9C52-4BC7-83ED-383BD3B788FF}"/>
    <cellStyle name="Normal 54 2" xfId="3006" xr:uid="{0A207D0A-590B-4689-98CD-C31B3FDE2481}"/>
    <cellStyle name="Normal 55" xfId="2251" xr:uid="{DD30FE0E-1D1F-4582-B974-3D2B105ECDFF}"/>
    <cellStyle name="Normal 55 2" xfId="3011" xr:uid="{F872A964-A1B1-4FD5-A8C8-C67C6800E2DE}"/>
    <cellStyle name="Normal 56" xfId="2252" xr:uid="{5BA9D083-19E7-4641-A32A-355526DED581}"/>
    <cellStyle name="Normal 56 2" xfId="3012" xr:uid="{0C64C5EB-622B-45D4-8EA5-0193B8D6AD8F}"/>
    <cellStyle name="Normal 57" xfId="2222" xr:uid="{B5CDCA6B-FAE4-4374-942C-6954A53880E5}"/>
    <cellStyle name="Normal 57 2" xfId="3008" xr:uid="{4D308352-9880-4752-BA07-F21EB58DABAC}"/>
    <cellStyle name="Normal 58" xfId="2248" xr:uid="{B82D9C84-B67A-4737-B85A-595BB733E5E2}"/>
    <cellStyle name="Normal 58 2" xfId="3009" xr:uid="{D0E946F8-2417-498E-B4EB-8143EEC4D475}"/>
    <cellStyle name="Normal 59" xfId="2202" xr:uid="{D1DC36EA-B939-4BB2-B47D-73469B840DE9}"/>
    <cellStyle name="Normal 59 2" xfId="3007" xr:uid="{1CCE8361-45F5-4536-A774-1C37E9926548}"/>
    <cellStyle name="Normal 6" xfId="194" xr:uid="{00000000-0005-0000-0000-000078020000}"/>
    <cellStyle name="Normal 6 2" xfId="286" xr:uid="{00000000-0005-0000-0000-000079020000}"/>
    <cellStyle name="Normal 6 2 2" xfId="2204" xr:uid="{89F3B39F-2B73-44EB-938F-253A2DBA171D}"/>
    <cellStyle name="Normal 6 2 2 2" xfId="4694" xr:uid="{3E54271C-A7B4-422A-83EF-7E5C6C78C895}"/>
    <cellStyle name="Normal 6 3" xfId="2241" xr:uid="{92F6EC70-3EEE-4EB1-ACE9-ADBC7D9101FA}"/>
    <cellStyle name="Normal 6 4" xfId="2196" xr:uid="{DCA6CCCF-ECC6-4ECF-B906-FD8CABC3258B}"/>
    <cellStyle name="Normal 6 4 2" xfId="4687" xr:uid="{73D05088-4E50-43C2-8FC7-951854C2707B}"/>
    <cellStyle name="Normal 6 5" xfId="1499" xr:uid="{07EF34A9-14A9-473B-BB61-793E2ADF0E0B}"/>
    <cellStyle name="Normal 60" xfId="2253" xr:uid="{974A9DE9-5C67-46AA-9D96-70440993F364}"/>
    <cellStyle name="Normal 60 2" xfId="3013" xr:uid="{1E877462-A8BD-4866-BFD9-FA7B201E7160}"/>
    <cellStyle name="Normal 61" xfId="2258" xr:uid="{B5CB05CA-E5F6-4AB7-9619-2B8E410A7F78}"/>
    <cellStyle name="Normal 61 2" xfId="3018" xr:uid="{54CEB182-573E-472A-AC7D-D16190A631D6}"/>
    <cellStyle name="Normal 62" xfId="2256" xr:uid="{7525F1D8-C5A8-49DD-B62A-1033022F9291}"/>
    <cellStyle name="Normal 62 2" xfId="3016" xr:uid="{0EE95083-4A04-4979-BD89-FCA7E3B1040A}"/>
    <cellStyle name="Normal 63" xfId="2259" xr:uid="{1A3F92C2-1DEA-4507-9534-F29D66D62264}"/>
    <cellStyle name="Normal 63 2" xfId="3019" xr:uid="{AA2807D8-CBD7-4ED6-BB30-EA81D67B1BC1}"/>
    <cellStyle name="Normal 64" xfId="2255" xr:uid="{1633A203-7FA1-45F1-A03B-07BF86676F8A}"/>
    <cellStyle name="Normal 64 2" xfId="3015" xr:uid="{9C2A14DB-1559-4875-A7D8-CD75C5474A47}"/>
    <cellStyle name="Normal 65" xfId="2257" xr:uid="{D05FE19A-BDA4-40FA-AA6B-3D27F12F38F5}"/>
    <cellStyle name="Normal 65 2" xfId="3017" xr:uid="{16F79F4D-C435-46A4-8310-C708B3F4D429}"/>
    <cellStyle name="Normal 66" xfId="2260" xr:uid="{0E11A5B7-8A5A-4143-A697-147A64982391}"/>
    <cellStyle name="Normal 66 2" xfId="3020" xr:uid="{35D6B959-91F8-4F2E-BAC7-20325517E3BF}"/>
    <cellStyle name="Normal 67" xfId="2254" xr:uid="{06D28F35-81BA-476F-A760-B3EB2B5DEA2B}"/>
    <cellStyle name="Normal 67 2" xfId="3014" xr:uid="{1E780544-C144-4B3D-90BC-7049AA0D06D1}"/>
    <cellStyle name="Normal 68" xfId="2261" xr:uid="{0B139AA4-6A35-456E-B738-C99A91BB55E7}"/>
    <cellStyle name="Normal 68 2" xfId="3021" xr:uid="{C39F8648-8C63-4B12-B243-587284E48E7D}"/>
    <cellStyle name="Normal 69" xfId="2265" xr:uid="{94548A4C-B5C1-425D-AD33-F96F421F9ADC}"/>
    <cellStyle name="Normal 69 2" xfId="3025" xr:uid="{42765E69-73DD-4C86-8E82-A8A16FA66B2B}"/>
    <cellStyle name="Normal 7" xfId="193" xr:uid="{00000000-0005-0000-0000-00007A020000}"/>
    <cellStyle name="Normal 7 10" xfId="3372" xr:uid="{0088F05D-C384-4D31-98A4-DF1C35AD4775}"/>
    <cellStyle name="Normal 7 2" xfId="285" xr:uid="{00000000-0005-0000-0000-00007B020000}"/>
    <cellStyle name="Normal 7 2 10" xfId="1501" xr:uid="{3E22D180-AB06-417C-892A-A2A2B4E83A81}"/>
    <cellStyle name="Normal 7 2 10 2" xfId="4091" xr:uid="{C4F82569-2A38-4B65-BC78-7C0C2B9C89AA}"/>
    <cellStyle name="Normal 7 2 11" xfId="3386" xr:uid="{75A50536-488D-4AA9-9F2D-43AFA6B1BD85}"/>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2 2 2" xfId="2918" xr:uid="{72DD0CC9-5FAC-4220-93C1-43EDABBB73E4}"/>
    <cellStyle name="Normal 7 2 2 2 2 2 2 2 2" xfId="5353" xr:uid="{1B6A31C4-7DD6-4104-955E-E6B7A7BDEBB5}"/>
    <cellStyle name="Normal 7 2 2 2 2 2 2 3" xfId="2080" xr:uid="{E1318643-47C0-4C88-9CB1-725229B4C11D}"/>
    <cellStyle name="Normal 7 2 2 2 2 2 2 3 2" xfId="4597" xr:uid="{C42C2ACA-E277-4A6F-8958-2CE22797002A}"/>
    <cellStyle name="Normal 7 2 2 2 2 2 2 4" xfId="3806" xr:uid="{90894113-7EC6-451E-9893-EF912DE15C05}"/>
    <cellStyle name="Normal 7 2 2 2 2 2 3" xfId="2530" xr:uid="{09B2417E-CC8A-4902-8C3F-10772BADE0F6}"/>
    <cellStyle name="Normal 7 2 2 2 2 2 3 2" xfId="4965" xr:uid="{53816C23-B8BB-46DA-8878-EFD6C9EFDF69}"/>
    <cellStyle name="Normal 7 2 2 2 2 2 4" xfId="1505" xr:uid="{31DD99B3-9FE1-46B3-B53D-0CB925F5297F}"/>
    <cellStyle name="Normal 7 2 2 2 2 2 4 2" xfId="4095" xr:uid="{FBF8712A-4EB6-4477-A675-0F6635BA2098}"/>
    <cellStyle name="Normal 7 2 2 2 2 2 5" xfId="3597" xr:uid="{FF828BD1-F117-4AFE-8FF4-6D311E643C84}"/>
    <cellStyle name="Normal 7 2 2 2 2 3" xfId="768" xr:uid="{00000000-0005-0000-0000-000081020000}"/>
    <cellStyle name="Normal 7 2 2 2 2 3 2" xfId="2748" xr:uid="{7AFB6E98-2504-4B19-BCC9-8217DD579D72}"/>
    <cellStyle name="Normal 7 2 2 2 2 3 2 2" xfId="5183" xr:uid="{56DD7224-F789-4F15-BF5E-8990B96B2DF3}"/>
    <cellStyle name="Normal 7 2 2 2 2 3 3" xfId="1910" xr:uid="{66327C3C-2E42-4121-A710-E397C9C550C0}"/>
    <cellStyle name="Normal 7 2 2 2 2 3 3 2" xfId="4427" xr:uid="{03D92820-F1B1-4852-A6D6-CEF5983E04DB}"/>
    <cellStyle name="Normal 7 2 2 2 2 3 4" xfId="3701" xr:uid="{9B57D3D2-954F-4FDB-8888-4FB8F819782A}"/>
    <cellStyle name="Normal 7 2 2 2 2 4" xfId="2529" xr:uid="{A4B12FEA-FFFE-42E1-931D-6510D30074D8}"/>
    <cellStyle name="Normal 7 2 2 2 2 4 2" xfId="4964" xr:uid="{4D585A6E-C0B0-4113-9911-83D84292C2B0}"/>
    <cellStyle name="Normal 7 2 2 2 2 5" xfId="1504" xr:uid="{49D71751-B5AA-4465-B3E9-9DB538809195}"/>
    <cellStyle name="Normal 7 2 2 2 2 5 2" xfId="4094" xr:uid="{2770918F-9A2B-456F-BCFF-AED7D66E46B5}"/>
    <cellStyle name="Normal 7 2 2 2 2 6" xfId="3487" xr:uid="{F9C7540C-2B95-4F74-883F-9661F68EC074}"/>
    <cellStyle name="Normal 7 2 2 2 3" xfId="611" xr:uid="{00000000-0005-0000-0000-000082020000}"/>
    <cellStyle name="Normal 7 2 2 2 3 2" xfId="822" xr:uid="{00000000-0005-0000-0000-000083020000}"/>
    <cellStyle name="Normal 7 2 2 2 3 2 2" xfId="2081" xr:uid="{FFD58D77-E44E-43FC-9D3B-7BCEDA22008D}"/>
    <cellStyle name="Normal 7 2 2 2 3 2 2 2" xfId="2919" xr:uid="{20A18B04-0071-4A2D-9471-D27F1E11D00E}"/>
    <cellStyle name="Normal 7 2 2 2 3 2 2 2 2" xfId="5354" xr:uid="{1077583B-B992-4A3F-AF2F-DA7DA730E2E5}"/>
    <cellStyle name="Normal 7 2 2 2 3 2 2 3" xfId="4598" xr:uid="{655C76C1-A50E-45BF-946C-00328BF41E90}"/>
    <cellStyle name="Normal 7 2 2 2 3 2 3" xfId="2532" xr:uid="{0112B907-AFDF-4CDE-A285-DF5857EA588B}"/>
    <cellStyle name="Normal 7 2 2 2 3 2 3 2" xfId="4967" xr:uid="{D67CA705-3C75-4AD8-8E5A-BF3BF4C11BD2}"/>
    <cellStyle name="Normal 7 2 2 2 3 2 4" xfId="1507" xr:uid="{BEA9D9C7-08D8-4160-8EA8-2DF9B7DEF552}"/>
    <cellStyle name="Normal 7 2 2 2 3 2 4 2" xfId="4097" xr:uid="{1AFA831C-C37A-4FFA-AA86-DDED9F178042}"/>
    <cellStyle name="Normal 7 2 2 2 3 2 5" xfId="3754" xr:uid="{9E424CE7-DE2D-4C46-9026-BE1194FFA002}"/>
    <cellStyle name="Normal 7 2 2 2 3 3" xfId="1911" xr:uid="{188CEB77-AEE9-4312-BC8C-AEACDDEEA738}"/>
    <cellStyle name="Normal 7 2 2 2 3 3 2" xfId="2749" xr:uid="{533540D2-8E0C-4281-A32F-3EECAFEC08DC}"/>
    <cellStyle name="Normal 7 2 2 2 3 3 2 2" xfId="5184" xr:uid="{421324CB-CF89-4388-AFD8-44A2522DC945}"/>
    <cellStyle name="Normal 7 2 2 2 3 3 3" xfId="4428" xr:uid="{08327272-129F-405B-9E0B-DFA2D90754F9}"/>
    <cellStyle name="Normal 7 2 2 2 3 4" xfId="2531" xr:uid="{C0355EF4-579C-4BB1-9DF6-EED1140B4323}"/>
    <cellStyle name="Normal 7 2 2 2 3 4 2" xfId="4966" xr:uid="{DDBE6074-FF39-4844-8398-847D5029BF6B}"/>
    <cellStyle name="Normal 7 2 2 2 3 5" xfId="1506" xr:uid="{4C7E692D-9197-4C02-A159-F945FB0100E0}"/>
    <cellStyle name="Normal 7 2 2 2 3 5 2" xfId="4096" xr:uid="{6B67DABF-BB2F-43B6-84E7-9F394CDE7C18}"/>
    <cellStyle name="Normal 7 2 2 2 3 6" xfId="3545" xr:uid="{F2FC11FE-2902-4935-AC6F-649C11C1433D}"/>
    <cellStyle name="Normal 7 2 2 2 4" xfId="716" xr:uid="{00000000-0005-0000-0000-000084020000}"/>
    <cellStyle name="Normal 7 2 2 2 4 2" xfId="2079" xr:uid="{2736967C-923E-4241-89BA-D27DB61D803E}"/>
    <cellStyle name="Normal 7 2 2 2 4 2 2" xfId="2917" xr:uid="{293AAD51-E6C8-4CE5-8F79-79C8555F157D}"/>
    <cellStyle name="Normal 7 2 2 2 4 2 2 2" xfId="5352" xr:uid="{E35F4678-415D-4C78-9BEC-A0E009FFCE71}"/>
    <cellStyle name="Normal 7 2 2 2 4 2 3" xfId="4596" xr:uid="{70C4AE27-1C40-4288-8E5A-7DC6B59C33A6}"/>
    <cellStyle name="Normal 7 2 2 2 4 3" xfId="2533" xr:uid="{4E0C7ADE-462D-489A-B0FB-F502190D906A}"/>
    <cellStyle name="Normal 7 2 2 2 4 3 2" xfId="4968" xr:uid="{BAA56ABA-28FA-4B19-9D3D-366669B47297}"/>
    <cellStyle name="Normal 7 2 2 2 4 4" xfId="1508" xr:uid="{CBFC41F6-3D98-4F56-87EA-58228CB31555}"/>
    <cellStyle name="Normal 7 2 2 2 4 4 2" xfId="4098" xr:uid="{9E6AB46E-B8D4-4900-83DA-576EE39245E8}"/>
    <cellStyle name="Normal 7 2 2 2 4 5" xfId="3649" xr:uid="{EDAADA6E-700C-4879-A48B-86FFF1ECF8FC}"/>
    <cellStyle name="Normal 7 2 2 2 5" xfId="1909" xr:uid="{F45D7E83-1C3C-4010-B698-2294F7412AF7}"/>
    <cellStyle name="Normal 7 2 2 2 5 2" xfId="2747" xr:uid="{6CD64317-4E46-4F03-80D3-2AC14B0F8DF1}"/>
    <cellStyle name="Normal 7 2 2 2 5 2 2" xfId="5182" xr:uid="{488ABA5A-35B5-422A-9D60-20F18657398D}"/>
    <cellStyle name="Normal 7 2 2 2 5 3" xfId="4426" xr:uid="{45A1CCED-861F-4D7B-8326-4E55D0A32776}"/>
    <cellStyle name="Normal 7 2 2 2 6" xfId="2528" xr:uid="{E4B09D5A-DD5F-4147-B159-093FA50905ED}"/>
    <cellStyle name="Normal 7 2 2 2 6 2" xfId="4963" xr:uid="{BA45E8B3-2829-40FF-BB73-C5A6EE7D101C}"/>
    <cellStyle name="Normal 7 2 2 2 7" xfId="1503" xr:uid="{8E340732-1F9A-4982-BC44-EBF853C09BCF}"/>
    <cellStyle name="Normal 7 2 2 2 7 2" xfId="4093" xr:uid="{133C26EB-4C20-4F92-B5A1-0D4F2623EB0A}"/>
    <cellStyle name="Normal 7 2 2 2 8" xfId="3430" xr:uid="{62A81902-DBDB-4241-A4ED-F4DA98CD2CFF}"/>
    <cellStyle name="Normal 7 2 2 3" xfId="481" xr:uid="{00000000-0005-0000-0000-000085020000}"/>
    <cellStyle name="Normal 7 2 2 3 2" xfId="637" xr:uid="{00000000-0005-0000-0000-000086020000}"/>
    <cellStyle name="Normal 7 2 2 3 2 2" xfId="848" xr:uid="{00000000-0005-0000-0000-000087020000}"/>
    <cellStyle name="Normal 7 2 2 3 2 2 2" xfId="2920" xr:uid="{D3E03C1C-FFC3-40BA-AFF7-1C4A34CF80AA}"/>
    <cellStyle name="Normal 7 2 2 3 2 2 2 2" xfId="5355" xr:uid="{1A708968-6BEF-4907-9AB7-68891269A783}"/>
    <cellStyle name="Normal 7 2 2 3 2 2 3" xfId="2082" xr:uid="{E7230597-33AF-4936-8279-8DCA226DD1D3}"/>
    <cellStyle name="Normal 7 2 2 3 2 2 3 2" xfId="4599" xr:uid="{6BB297D5-C965-4132-973B-591A9783282D}"/>
    <cellStyle name="Normal 7 2 2 3 2 2 4" xfId="3780" xr:uid="{61E2D7B2-B45E-4D8E-9670-DD0812C3B80A}"/>
    <cellStyle name="Normal 7 2 2 3 2 3" xfId="2535" xr:uid="{B791DECD-F77E-42B7-837E-2E130DDFFA51}"/>
    <cellStyle name="Normal 7 2 2 3 2 3 2" xfId="4970" xr:uid="{1FC4883D-094A-41F1-B5FA-A3237CD20CD0}"/>
    <cellStyle name="Normal 7 2 2 3 2 4" xfId="1510" xr:uid="{F26D6CDD-9921-411E-AE2B-FB7EAD58BBD6}"/>
    <cellStyle name="Normal 7 2 2 3 2 4 2" xfId="4100" xr:uid="{B474900C-C832-418C-88E2-97E3872A8898}"/>
    <cellStyle name="Normal 7 2 2 3 2 5" xfId="3571" xr:uid="{E1F570C7-4EAC-4250-99CC-3BA901828867}"/>
    <cellStyle name="Normal 7 2 2 3 3" xfId="742" xr:uid="{00000000-0005-0000-0000-000088020000}"/>
    <cellStyle name="Normal 7 2 2 3 3 2" xfId="2750" xr:uid="{7A3A6583-9421-4C5E-88A7-067FFE3BA592}"/>
    <cellStyle name="Normal 7 2 2 3 3 2 2" xfId="5185" xr:uid="{2D608E39-0995-4EB2-9087-6A8D513C1A5B}"/>
    <cellStyle name="Normal 7 2 2 3 3 3" xfId="1912" xr:uid="{CEE145F0-7983-43B5-8747-0FDF7E2F98A5}"/>
    <cellStyle name="Normal 7 2 2 3 3 3 2" xfId="4429" xr:uid="{90C8CA4C-A7D2-4007-98AA-4FB4BC0E3C85}"/>
    <cellStyle name="Normal 7 2 2 3 3 4" xfId="3675" xr:uid="{F6D9F8FD-B64E-4292-AE16-3BACEBB92270}"/>
    <cellStyle name="Normal 7 2 2 3 4" xfId="2534" xr:uid="{8F8A2865-E778-47FF-B844-4A552EF9043C}"/>
    <cellStyle name="Normal 7 2 2 3 4 2" xfId="4969" xr:uid="{071A36F5-147C-4084-B73B-854C79B6919F}"/>
    <cellStyle name="Normal 7 2 2 3 5" xfId="1509" xr:uid="{60CD7728-1148-4724-A65C-1CFAD97C991B}"/>
    <cellStyle name="Normal 7 2 2 3 5 2" xfId="4099" xr:uid="{B17529BA-F5A0-4FE8-8212-CC289C45747A}"/>
    <cellStyle name="Normal 7 2 2 3 6" xfId="3461" xr:uid="{7034C886-0955-4519-A8AD-B0A8B5DF3704}"/>
    <cellStyle name="Normal 7 2 2 4" xfId="585" xr:uid="{00000000-0005-0000-0000-000089020000}"/>
    <cellStyle name="Normal 7 2 2 4 2" xfId="796" xr:uid="{00000000-0005-0000-0000-00008A020000}"/>
    <cellStyle name="Normal 7 2 2 4 2 2" xfId="2083" xr:uid="{9434F960-79CB-485F-81F2-890BF79754DC}"/>
    <cellStyle name="Normal 7 2 2 4 2 2 2" xfId="2921" xr:uid="{6B314D81-AF47-4D22-BC86-95AD5E0AA3C8}"/>
    <cellStyle name="Normal 7 2 2 4 2 2 2 2" xfId="5356" xr:uid="{96073E0F-2502-40D3-93FC-EEBDF4CFCC95}"/>
    <cellStyle name="Normal 7 2 2 4 2 2 3" xfId="4600" xr:uid="{DD507AF4-3BFD-4483-BCCA-55AB31F81978}"/>
    <cellStyle name="Normal 7 2 2 4 2 3" xfId="2537" xr:uid="{FE6E0B36-BBC0-4119-AA19-6C404D5C92EB}"/>
    <cellStyle name="Normal 7 2 2 4 2 3 2" xfId="4972" xr:uid="{55C0432B-6744-4AF2-8A35-ED8BC7188041}"/>
    <cellStyle name="Normal 7 2 2 4 2 4" xfId="1512" xr:uid="{C179CFD3-D58C-4B81-A729-F7267B3277FB}"/>
    <cellStyle name="Normal 7 2 2 4 2 4 2" xfId="4102" xr:uid="{1A44D7C1-6634-4E30-ADB0-9CBB23D9616C}"/>
    <cellStyle name="Normal 7 2 2 4 2 5" xfId="3728" xr:uid="{2169F9C6-0C32-4F29-AE29-FCD49C184395}"/>
    <cellStyle name="Normal 7 2 2 4 3" xfId="1913" xr:uid="{FE8FF2B4-1A6B-4DB5-B870-D28DA542F121}"/>
    <cellStyle name="Normal 7 2 2 4 3 2" xfId="2751" xr:uid="{B5581DF4-127C-4782-AFB3-C7CA62B5034D}"/>
    <cellStyle name="Normal 7 2 2 4 3 2 2" xfId="5186" xr:uid="{8D7D038E-E644-4F79-9C9B-0EE340134A40}"/>
    <cellStyle name="Normal 7 2 2 4 3 3" xfId="4430" xr:uid="{E6B9BD92-9ADF-4CDD-ABE3-C6A4D9B40E14}"/>
    <cellStyle name="Normal 7 2 2 4 4" xfId="2536" xr:uid="{26B10B33-858E-43EB-A8FD-B81A3ADCD0FB}"/>
    <cellStyle name="Normal 7 2 2 4 4 2" xfId="4971" xr:uid="{22437904-F2E4-49B8-B979-BE4A3B60A416}"/>
    <cellStyle name="Normal 7 2 2 4 5" xfId="1511" xr:uid="{873B1081-45B7-471F-831A-67AFA1DEDC81}"/>
    <cellStyle name="Normal 7 2 2 4 5 2" xfId="4101" xr:uid="{F71579A0-CC0B-46B3-A7FD-675ABFEF7E58}"/>
    <cellStyle name="Normal 7 2 2 4 6" xfId="3519" xr:uid="{6E05703E-51BA-4728-85FA-B9BD0C5770AF}"/>
    <cellStyle name="Normal 7 2 2 5" xfId="690" xr:uid="{00000000-0005-0000-0000-00008B020000}"/>
    <cellStyle name="Normal 7 2 2 5 2" xfId="2078" xr:uid="{E9ABF06A-F496-425F-A131-A75277BC9895}"/>
    <cellStyle name="Normal 7 2 2 5 2 2" xfId="2916" xr:uid="{1D9DCEE4-801E-441A-A397-2D2482830C9F}"/>
    <cellStyle name="Normal 7 2 2 5 2 2 2" xfId="5351" xr:uid="{BCC749BA-7571-4A66-903F-282287378E41}"/>
    <cellStyle name="Normal 7 2 2 5 2 3" xfId="4595" xr:uid="{5F99F1DA-8B86-4DDD-AEB4-468DE9D2629F}"/>
    <cellStyle name="Normal 7 2 2 5 3" xfId="2538" xr:uid="{7E2EE2A6-D367-42D2-B1C7-DD08AE6732CC}"/>
    <cellStyle name="Normal 7 2 2 5 3 2" xfId="4973" xr:uid="{4E3625B1-A34C-450E-9685-667A50B939FE}"/>
    <cellStyle name="Normal 7 2 2 5 4" xfId="1513" xr:uid="{729ACD88-BB82-4332-897B-AD17C0FE3876}"/>
    <cellStyle name="Normal 7 2 2 5 4 2" xfId="4103" xr:uid="{9445889B-C7B7-4ACF-B878-A915C615B840}"/>
    <cellStyle name="Normal 7 2 2 5 5" xfId="3623" xr:uid="{84DC1333-3DBC-44F1-B8B4-01F4791BF02B}"/>
    <cellStyle name="Normal 7 2 2 6" xfId="1908" xr:uid="{92FCA010-431D-4F21-9490-F3A78C32733D}"/>
    <cellStyle name="Normal 7 2 2 6 2" xfId="2746" xr:uid="{A862FDCD-E311-4BD1-97CA-AF110E0DD198}"/>
    <cellStyle name="Normal 7 2 2 6 2 2" xfId="5181" xr:uid="{3FEE11AF-50B1-4404-9746-10E121CEAEBB}"/>
    <cellStyle name="Normal 7 2 2 6 3" xfId="4425" xr:uid="{0479110B-78FF-4A51-A470-DF9DB1BCBCF1}"/>
    <cellStyle name="Normal 7 2 2 7" xfId="2527" xr:uid="{C3724462-9953-47AB-9143-2210DB07C7EF}"/>
    <cellStyle name="Normal 7 2 2 7 2" xfId="4962" xr:uid="{6FD7432F-6AB9-4E19-8F28-0D733CA558A2}"/>
    <cellStyle name="Normal 7 2 2 8" xfId="1502" xr:uid="{C57153C2-4980-41FE-AB16-4AB389ACB17F}"/>
    <cellStyle name="Normal 7 2 2 8 2" xfId="4092" xr:uid="{F61BE46C-B827-426C-A830-22CF18DC5F12}"/>
    <cellStyle name="Normal 7 2 2 9" xfId="3399" xr:uid="{B511134D-1FC0-4DEF-82EB-CA132C50D681}"/>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2 2 2" xfId="2923" xr:uid="{83A15F96-87E5-4084-812F-74D7F6CEB96F}"/>
    <cellStyle name="Normal 7 2 3 2 2 2 2 2 2" xfId="5358" xr:uid="{36DA06E9-5365-49C0-AC9F-A28C8D0A532E}"/>
    <cellStyle name="Normal 7 2 3 2 2 2 2 3" xfId="3815" xr:uid="{4F6E0990-78D6-48C8-9380-05B001189AD6}"/>
    <cellStyle name="Normal 7 2 3 2 2 2 3" xfId="2085" xr:uid="{31777AF6-547C-4E22-A7AB-E0CF28F8DFF4}"/>
    <cellStyle name="Normal 7 2 3 2 2 2 3 2" xfId="4602" xr:uid="{593142DB-3E1F-4622-B1C1-4C244AA14BA4}"/>
    <cellStyle name="Normal 7 2 3 2 2 2 4" xfId="3606" xr:uid="{CFD648D3-6243-4724-B95F-834F77C5DD99}"/>
    <cellStyle name="Normal 7 2 3 2 2 3" xfId="777" xr:uid="{00000000-0005-0000-0000-000091020000}"/>
    <cellStyle name="Normal 7 2 3 2 2 3 2" xfId="2541" xr:uid="{4913081D-7C1E-4062-84B5-469BF379D018}"/>
    <cellStyle name="Normal 7 2 3 2 2 3 2 2" xfId="4976" xr:uid="{F85255B0-B599-4A49-87A4-C0BE43ED20D6}"/>
    <cellStyle name="Normal 7 2 3 2 2 3 3" xfId="3710" xr:uid="{11554787-F372-4B09-BF4C-C129D4D45878}"/>
    <cellStyle name="Normal 7 2 3 2 2 4" xfId="1516" xr:uid="{FC54B5A1-D5F2-48FE-BDC6-64A339EA390B}"/>
    <cellStyle name="Normal 7 2 3 2 2 4 2" xfId="4106" xr:uid="{2C612BEA-96AD-4892-9A80-7FC41B8878DE}"/>
    <cellStyle name="Normal 7 2 3 2 2 5" xfId="3496" xr:uid="{7A517437-E2D2-4106-B2E2-B096E7A4B172}"/>
    <cellStyle name="Normal 7 2 3 2 3" xfId="620" xr:uid="{00000000-0005-0000-0000-000092020000}"/>
    <cellStyle name="Normal 7 2 3 2 3 2" xfId="831" xr:uid="{00000000-0005-0000-0000-000093020000}"/>
    <cellStyle name="Normal 7 2 3 2 3 2 2" xfId="2753" xr:uid="{448DE24B-D6BF-41E6-828A-EA4A2AD9600F}"/>
    <cellStyle name="Normal 7 2 3 2 3 2 2 2" xfId="5188" xr:uid="{71F64FF8-4AED-4E89-82B8-53A6C483C08F}"/>
    <cellStyle name="Normal 7 2 3 2 3 2 3" xfId="3763" xr:uid="{A030EEF8-936E-4811-9A3F-293559403439}"/>
    <cellStyle name="Normal 7 2 3 2 3 3" xfId="1915" xr:uid="{C24AB6A7-383C-456C-AC17-B2397BBE2A94}"/>
    <cellStyle name="Normal 7 2 3 2 3 3 2" xfId="4432" xr:uid="{D43D4258-1D8E-4A59-88CD-680FAA1EC3E3}"/>
    <cellStyle name="Normal 7 2 3 2 3 4" xfId="3554" xr:uid="{3078802E-A2DC-47F5-9558-40DAD24C819E}"/>
    <cellStyle name="Normal 7 2 3 2 4" xfId="725" xr:uid="{00000000-0005-0000-0000-000094020000}"/>
    <cellStyle name="Normal 7 2 3 2 4 2" xfId="2540" xr:uid="{D2A14B17-C7BD-4470-A8BA-96E86D15FB76}"/>
    <cellStyle name="Normal 7 2 3 2 4 2 2" xfId="4975" xr:uid="{43E48794-A4A2-4E91-A863-5EBE6844DF98}"/>
    <cellStyle name="Normal 7 2 3 2 4 3" xfId="3658" xr:uid="{6032EE3F-CB79-4938-B988-4CC826D38A15}"/>
    <cellStyle name="Normal 7 2 3 2 5" xfId="1515" xr:uid="{BF3F2EFF-149B-4035-894C-97AAABABCEE1}"/>
    <cellStyle name="Normal 7 2 3 2 5 2" xfId="4105" xr:uid="{351BF63B-F4B2-48AE-AC53-E9D1CFC8A4B7}"/>
    <cellStyle name="Normal 7 2 3 2 6" xfId="3439" xr:uid="{8C058CBA-2A98-4F3E-93C5-37D8C569746E}"/>
    <cellStyle name="Normal 7 2 3 3" xfId="490" xr:uid="{00000000-0005-0000-0000-000095020000}"/>
    <cellStyle name="Normal 7 2 3 3 2" xfId="646" xr:uid="{00000000-0005-0000-0000-000096020000}"/>
    <cellStyle name="Normal 7 2 3 3 2 2" xfId="857" xr:uid="{00000000-0005-0000-0000-000097020000}"/>
    <cellStyle name="Normal 7 2 3 3 2 2 2" xfId="2924" xr:uid="{8669CACD-97C0-4F2C-A5DF-37B5E1DFD095}"/>
    <cellStyle name="Normal 7 2 3 3 2 2 2 2" xfId="5359" xr:uid="{3B09C7C5-2792-4785-B176-2E3C7922A402}"/>
    <cellStyle name="Normal 7 2 3 3 2 2 3" xfId="2086" xr:uid="{01BEA39F-33A0-4240-942F-C8B6EB5ED2C8}"/>
    <cellStyle name="Normal 7 2 3 3 2 2 3 2" xfId="4603" xr:uid="{CC24EEE0-C29D-4C2F-9BFA-A9ED33937714}"/>
    <cellStyle name="Normal 7 2 3 3 2 2 4" xfId="3789" xr:uid="{7325CB9D-9315-457E-99C2-26148F5D3C01}"/>
    <cellStyle name="Normal 7 2 3 3 2 3" xfId="2543" xr:uid="{C2B9D790-1BA6-4EED-A76D-CE714BBAB8D1}"/>
    <cellStyle name="Normal 7 2 3 3 2 3 2" xfId="4978" xr:uid="{B323DB63-6793-46E9-96BD-92FBC6086627}"/>
    <cellStyle name="Normal 7 2 3 3 2 4" xfId="1518" xr:uid="{D4EC1113-F2AE-4915-83B7-548E98C0A128}"/>
    <cellStyle name="Normal 7 2 3 3 2 4 2" xfId="4108" xr:uid="{0CAE9F22-A904-4054-A80F-3E2444E27147}"/>
    <cellStyle name="Normal 7 2 3 3 2 5" xfId="3580" xr:uid="{6D4AA02A-4746-4475-815D-0B2F810C3FBB}"/>
    <cellStyle name="Normal 7 2 3 3 3" xfId="751" xr:uid="{00000000-0005-0000-0000-000098020000}"/>
    <cellStyle name="Normal 7 2 3 3 3 2" xfId="2754" xr:uid="{7E627745-8D0E-43B4-BAB6-B73C69804B21}"/>
    <cellStyle name="Normal 7 2 3 3 3 2 2" xfId="5189" xr:uid="{222EDB7B-96FB-460D-9A71-680685CABC44}"/>
    <cellStyle name="Normal 7 2 3 3 3 3" xfId="1916" xr:uid="{70DA1A41-615A-47BB-A4C4-B1C7A5ADCB0D}"/>
    <cellStyle name="Normal 7 2 3 3 3 3 2" xfId="4433" xr:uid="{16E84F08-04FD-4990-B64A-106046985FE4}"/>
    <cellStyle name="Normal 7 2 3 3 3 4" xfId="3684" xr:uid="{DCE6D7B7-EA44-4F8B-B169-988E0086427E}"/>
    <cellStyle name="Normal 7 2 3 3 4" xfId="2542" xr:uid="{6AC7B227-3D74-4D73-B03C-35639078200A}"/>
    <cellStyle name="Normal 7 2 3 3 4 2" xfId="4977" xr:uid="{EB933BF2-587F-4430-BEF2-59AEE6AF24F6}"/>
    <cellStyle name="Normal 7 2 3 3 5" xfId="1517" xr:uid="{4C3E6189-057F-4087-8641-3FA2AC0D4CE0}"/>
    <cellStyle name="Normal 7 2 3 3 5 2" xfId="4107" xr:uid="{C9287C94-4B99-4FDA-9735-C7DEA66A37D9}"/>
    <cellStyle name="Normal 7 2 3 3 6" xfId="3470" xr:uid="{D752DC88-A60F-442C-9B07-2E732DA1981A}"/>
    <cellStyle name="Normal 7 2 3 4" xfId="594" xr:uid="{00000000-0005-0000-0000-000099020000}"/>
    <cellStyle name="Normal 7 2 3 4 2" xfId="805" xr:uid="{00000000-0005-0000-0000-00009A020000}"/>
    <cellStyle name="Normal 7 2 3 4 2 2" xfId="2922" xr:uid="{375E5929-7F82-4610-AB35-15D4C1C54328}"/>
    <cellStyle name="Normal 7 2 3 4 2 2 2" xfId="5357" xr:uid="{A4A06E76-CB5C-422A-8743-D1BEA7C67C49}"/>
    <cellStyle name="Normal 7 2 3 4 2 3" xfId="2084" xr:uid="{18E20465-4FAB-415D-845E-EDAAC833DC99}"/>
    <cellStyle name="Normal 7 2 3 4 2 3 2" xfId="4601" xr:uid="{2A38362F-CECF-4730-8A25-1DAF8B0CA0E9}"/>
    <cellStyle name="Normal 7 2 3 4 2 4" xfId="3737" xr:uid="{6EAA6142-6111-471E-AE29-E29FE13AFE18}"/>
    <cellStyle name="Normal 7 2 3 4 3" xfId="2544" xr:uid="{70A44431-884A-4020-8493-ADEFF3C16599}"/>
    <cellStyle name="Normal 7 2 3 4 3 2" xfId="4979" xr:uid="{5B18BF04-189B-4718-9CFF-E17FA1AD9CA3}"/>
    <cellStyle name="Normal 7 2 3 4 4" xfId="1519" xr:uid="{FDCABD45-3ECA-4A08-ADB2-912F15EF9D17}"/>
    <cellStyle name="Normal 7 2 3 4 4 2" xfId="4109" xr:uid="{D7E218B2-1146-4CAA-9377-4A2D09F8C34D}"/>
    <cellStyle name="Normal 7 2 3 4 5" xfId="3528" xr:uid="{FCB88532-9828-4F57-9BEC-A05532F66A31}"/>
    <cellStyle name="Normal 7 2 3 5" xfId="699" xr:uid="{00000000-0005-0000-0000-00009B020000}"/>
    <cellStyle name="Normal 7 2 3 5 2" xfId="2752" xr:uid="{06637E35-D224-4235-94CE-EE72570AE2CE}"/>
    <cellStyle name="Normal 7 2 3 5 2 2" xfId="5187" xr:uid="{40041532-C4E1-4D4E-97A2-CFFB824503B6}"/>
    <cellStyle name="Normal 7 2 3 5 3" xfId="1914" xr:uid="{AFE5FEAF-1A76-463F-B8BD-A09F39426D5C}"/>
    <cellStyle name="Normal 7 2 3 5 3 2" xfId="4431" xr:uid="{352CD10D-B51C-407C-A1DE-8B6D0861D88D}"/>
    <cellStyle name="Normal 7 2 3 5 4" xfId="3632" xr:uid="{A3D94A90-1882-4647-80A3-4F3ABB866DAC}"/>
    <cellStyle name="Normal 7 2 3 6" xfId="2539" xr:uid="{78AEEC5C-DC44-46F7-90B8-A65071BD1F4B}"/>
    <cellStyle name="Normal 7 2 3 6 2" xfId="4974" xr:uid="{F27B9826-9C13-4699-BD23-7A64DD25AD5B}"/>
    <cellStyle name="Normal 7 2 3 7" xfId="1514" xr:uid="{E544DC39-34B1-48A8-9393-912C107EC011}"/>
    <cellStyle name="Normal 7 2 3 7 2" xfId="4104" xr:uid="{08681E4F-BC4B-4DB9-8B1A-29592D7283E4}"/>
    <cellStyle name="Normal 7 2 3 8" xfId="3408" xr:uid="{5A1A077B-761C-489F-8915-9850F4E151F1}"/>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2 2 2" xfId="2925" xr:uid="{9B57D398-C0D3-449B-B563-2F97DB90934B}"/>
    <cellStyle name="Normal 7 2 4 2 2 2 2 2" xfId="5360" xr:uid="{CFFD207F-45BB-4F5F-97FF-EFBF4551605D}"/>
    <cellStyle name="Normal 7 2 4 2 2 2 3" xfId="3798" xr:uid="{F5FBDDC4-9DE6-4FC1-9333-41224870E65D}"/>
    <cellStyle name="Normal 7 2 4 2 2 3" xfId="2087" xr:uid="{3A428BD1-ED3A-4B71-9EC1-206B9053BA68}"/>
    <cellStyle name="Normal 7 2 4 2 2 3 2" xfId="4604" xr:uid="{8CD29A17-1B84-46AC-87B8-BAB78B72AF45}"/>
    <cellStyle name="Normal 7 2 4 2 2 4" xfId="3589" xr:uid="{73C6312E-2305-4C65-B642-FF4B3335303C}"/>
    <cellStyle name="Normal 7 2 4 2 3" xfId="760" xr:uid="{00000000-0005-0000-0000-0000A0020000}"/>
    <cellStyle name="Normal 7 2 4 2 3 2" xfId="2546" xr:uid="{F4F4B31F-69E9-4405-8C10-D3E35C192C04}"/>
    <cellStyle name="Normal 7 2 4 2 3 2 2" xfId="4981" xr:uid="{41E1CB45-E4B6-4958-A261-4C2871E9EB72}"/>
    <cellStyle name="Normal 7 2 4 2 3 3" xfId="3693" xr:uid="{CD513717-3661-4A96-A66D-2BEEC7DD32CE}"/>
    <cellStyle name="Normal 7 2 4 2 4" xfId="1521" xr:uid="{BF969319-36B5-4D1C-98FD-8A37E544124F}"/>
    <cellStyle name="Normal 7 2 4 2 4 2" xfId="4111" xr:uid="{2215314C-1301-46B0-A816-341FAF0A080C}"/>
    <cellStyle name="Normal 7 2 4 2 5" xfId="3479" xr:uid="{1942E8E9-16B3-4DC6-9F91-53DC537EE114}"/>
    <cellStyle name="Normal 7 2 4 3" xfId="603" xr:uid="{00000000-0005-0000-0000-0000A1020000}"/>
    <cellStyle name="Normal 7 2 4 3 2" xfId="814" xr:uid="{00000000-0005-0000-0000-0000A2020000}"/>
    <cellStyle name="Normal 7 2 4 3 2 2" xfId="2755" xr:uid="{DF685F57-1B51-4AFD-A10B-518C9CDEB3F3}"/>
    <cellStyle name="Normal 7 2 4 3 2 2 2" xfId="5190" xr:uid="{BBF40B6D-B1AA-402D-A483-D277831F5274}"/>
    <cellStyle name="Normal 7 2 4 3 2 3" xfId="3746" xr:uid="{10661BC6-1290-4B8F-A9C6-6C0C2C9A03B9}"/>
    <cellStyle name="Normal 7 2 4 3 3" xfId="1917" xr:uid="{3ED883D4-9624-4A96-A079-C5C2539B9E09}"/>
    <cellStyle name="Normal 7 2 4 3 3 2" xfId="4434" xr:uid="{3DF3E32B-1212-45F5-B088-7158A397F1BB}"/>
    <cellStyle name="Normal 7 2 4 3 4" xfId="3537" xr:uid="{6728B0BD-8EEF-47BB-AEA6-F679448F6DCE}"/>
    <cellStyle name="Normal 7 2 4 4" xfId="708" xr:uid="{00000000-0005-0000-0000-0000A3020000}"/>
    <cellStyle name="Normal 7 2 4 4 2" xfId="2545" xr:uid="{3ECB07E1-9B22-4756-ABF6-0E9AD6661976}"/>
    <cellStyle name="Normal 7 2 4 4 2 2" xfId="4980" xr:uid="{AF5CE6FA-BCEA-4C3B-B022-B7799DBB4039}"/>
    <cellStyle name="Normal 7 2 4 4 3" xfId="3641" xr:uid="{DC030146-10D9-4140-B9FE-FB3125A80662}"/>
    <cellStyle name="Normal 7 2 4 5" xfId="1520" xr:uid="{CED3EA18-9883-4629-AFAA-784449E07978}"/>
    <cellStyle name="Normal 7 2 4 5 2" xfId="4110" xr:uid="{0E015F02-32C5-418F-9595-DBDA5819CEE4}"/>
    <cellStyle name="Normal 7 2 4 6" xfId="3422" xr:uid="{551E63A3-C401-4123-A370-60868EC7DF59}"/>
    <cellStyle name="Normal 7 2 5" xfId="473" xr:uid="{00000000-0005-0000-0000-0000A4020000}"/>
    <cellStyle name="Normal 7 2 5 2" xfId="629" xr:uid="{00000000-0005-0000-0000-0000A5020000}"/>
    <cellStyle name="Normal 7 2 5 2 2" xfId="840" xr:uid="{00000000-0005-0000-0000-0000A6020000}"/>
    <cellStyle name="Normal 7 2 5 2 2 2" xfId="2926" xr:uid="{3A3A3C87-EFF6-4DC2-A262-08432FEA9D72}"/>
    <cellStyle name="Normal 7 2 5 2 2 2 2" xfId="5361" xr:uid="{50BAAF7B-3F72-45CB-BDF2-99A85E8BAF32}"/>
    <cellStyle name="Normal 7 2 5 2 2 3" xfId="2088" xr:uid="{B4C340F0-A9AC-4696-BB3F-6562B98633EB}"/>
    <cellStyle name="Normal 7 2 5 2 2 3 2" xfId="4605" xr:uid="{0BCA99DF-EBB4-47D3-A73D-1F2B424B22ED}"/>
    <cellStyle name="Normal 7 2 5 2 2 4" xfId="3772" xr:uid="{1C5CBEB3-162A-4A95-94AD-5503F0E7FC19}"/>
    <cellStyle name="Normal 7 2 5 2 3" xfId="2548" xr:uid="{0D9B9E60-AE1B-4915-9217-F64E6516FD6A}"/>
    <cellStyle name="Normal 7 2 5 2 3 2" xfId="4983" xr:uid="{18EBB1C6-D4BE-4445-9948-7422D50E73C4}"/>
    <cellStyle name="Normal 7 2 5 2 4" xfId="1523" xr:uid="{9FBE66B9-775C-4206-BF40-B9B56FA73D9C}"/>
    <cellStyle name="Normal 7 2 5 2 4 2" xfId="4113" xr:uid="{DA626F47-E734-4EA5-BAA1-955D47B6DB9E}"/>
    <cellStyle name="Normal 7 2 5 2 5" xfId="3563" xr:uid="{BD9D7CF6-AA9D-440B-A867-06FF9F650F21}"/>
    <cellStyle name="Normal 7 2 5 3" xfId="734" xr:uid="{00000000-0005-0000-0000-0000A7020000}"/>
    <cellStyle name="Normal 7 2 5 3 2" xfId="2756" xr:uid="{7F6D365B-4583-425B-BB28-313855D313C6}"/>
    <cellStyle name="Normal 7 2 5 3 2 2" xfId="5191" xr:uid="{9E1A89DE-37B4-4232-B4AD-6A05FC95A243}"/>
    <cellStyle name="Normal 7 2 5 3 3" xfId="1918" xr:uid="{8B64D760-0759-4739-9FA7-8061387C23A2}"/>
    <cellStyle name="Normal 7 2 5 3 3 2" xfId="4435" xr:uid="{2B32E873-5A48-4E79-AB86-E914C7291705}"/>
    <cellStyle name="Normal 7 2 5 3 4" xfId="3667" xr:uid="{6FCE58C4-49DD-4530-B712-9B54CE3BF347}"/>
    <cellStyle name="Normal 7 2 5 4" xfId="2547" xr:uid="{F1FB447C-5FB7-45BC-874E-D03AE9B87426}"/>
    <cellStyle name="Normal 7 2 5 4 2" xfId="4982" xr:uid="{965E3DD6-1BFF-4902-8115-7095E3AA1D1D}"/>
    <cellStyle name="Normal 7 2 5 5" xfId="1522" xr:uid="{C3483F77-242A-4B7E-AFCB-E80C9D7466C0}"/>
    <cellStyle name="Normal 7 2 5 5 2" xfId="4112" xr:uid="{8D06AAE5-6FF7-4BE7-8C8C-B289B57EC983}"/>
    <cellStyle name="Normal 7 2 5 6" xfId="3453" xr:uid="{46620A1F-8DB6-4F65-9B12-007362AB12FC}"/>
    <cellStyle name="Normal 7 2 6" xfId="577" xr:uid="{00000000-0005-0000-0000-0000A8020000}"/>
    <cellStyle name="Normal 7 2 6 2" xfId="788" xr:uid="{00000000-0005-0000-0000-0000A9020000}"/>
    <cellStyle name="Normal 7 2 6 2 2" xfId="2915" xr:uid="{13B0B70D-88B4-4E92-8EA3-C5A2A5A201E9}"/>
    <cellStyle name="Normal 7 2 6 2 2 2" xfId="5350" xr:uid="{B64BA4AB-E6C0-470C-9E6B-37FC996A141C}"/>
    <cellStyle name="Normal 7 2 6 2 3" xfId="2077" xr:uid="{7C70CBA0-CC29-45BA-88E2-8B4CE3E566EE}"/>
    <cellStyle name="Normal 7 2 6 2 3 2" xfId="4594" xr:uid="{F9AB2204-E4A1-4900-B1E3-8577A7804F98}"/>
    <cellStyle name="Normal 7 2 6 2 4" xfId="3720" xr:uid="{7DDD3A65-B1BC-45A7-A0AC-FACF0D00DBC9}"/>
    <cellStyle name="Normal 7 2 6 3" xfId="2549" xr:uid="{3336F64D-C370-457F-B436-CD6AACE2B16D}"/>
    <cellStyle name="Normal 7 2 6 3 2" xfId="4984" xr:uid="{10C43159-6296-4F32-81E6-23EE0F2893EC}"/>
    <cellStyle name="Normal 7 2 6 4" xfId="1524" xr:uid="{9E70955A-CC7A-4CBC-A328-998D8D32C397}"/>
    <cellStyle name="Normal 7 2 6 4 2" xfId="4114" xr:uid="{8000E96B-4E83-4443-AF4A-D5CAAA230A76}"/>
    <cellStyle name="Normal 7 2 6 5" xfId="3511" xr:uid="{9FC7C760-65A1-4471-8663-25C5B445F4CE}"/>
    <cellStyle name="Normal 7 2 7" xfId="682" xr:uid="{00000000-0005-0000-0000-0000AA020000}"/>
    <cellStyle name="Normal 7 2 7 2" xfId="2745" xr:uid="{1429E987-9F9C-49B0-BE0C-66A6110FDBC4}"/>
    <cellStyle name="Normal 7 2 7 2 2" xfId="5180" xr:uid="{F6B81F8B-386E-4104-8DB6-D9A1887ADE0E}"/>
    <cellStyle name="Normal 7 2 7 3" xfId="1907" xr:uid="{DF6487A3-B16C-4763-B277-E14AA969AC6F}"/>
    <cellStyle name="Normal 7 2 7 3 2" xfId="4424" xr:uid="{49E191F3-07A5-46DE-8CAD-E9A7952B1576}"/>
    <cellStyle name="Normal 7 2 7 4" xfId="3615" xr:uid="{BEF5DBAE-5F88-4A69-9A04-908114D96780}"/>
    <cellStyle name="Normal 7 2 8" xfId="2243" xr:uid="{893C0F17-42D6-42EB-A481-B44527DFEA5D}"/>
    <cellStyle name="Normal 7 2 8 2" xfId="4711" xr:uid="{10B67621-591C-48B3-A26F-7C35E9FBC303}"/>
    <cellStyle name="Normal 7 2 9" xfId="2526" xr:uid="{9388EAAC-FA57-49AC-B418-3E70B450DF63}"/>
    <cellStyle name="Normal 7 2 9 2" xfId="4961" xr:uid="{4D912E7B-EE2C-4526-AD80-0CD03D3F37D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2 2 2" xfId="3802" xr:uid="{2819A437-1C4F-4A12-AA0E-3217401B34AB}"/>
    <cellStyle name="Normal 7 3 2 2 2 3" xfId="3593" xr:uid="{A1DEF198-B119-4387-9590-B7127AD32D01}"/>
    <cellStyle name="Normal 7 3 2 2 3" xfId="764" xr:uid="{00000000-0005-0000-0000-0000B0020000}"/>
    <cellStyle name="Normal 7 3 2 2 3 2" xfId="3697" xr:uid="{9193ED8A-FB01-45E9-892F-BC540CF0889C}"/>
    <cellStyle name="Normal 7 3 2 2 4" xfId="3483" xr:uid="{C2B352D2-980C-4F10-BFE2-22528CE76179}"/>
    <cellStyle name="Normal 7 3 2 3" xfId="607" xr:uid="{00000000-0005-0000-0000-0000B1020000}"/>
    <cellStyle name="Normal 7 3 2 3 2" xfId="818" xr:uid="{00000000-0005-0000-0000-0000B2020000}"/>
    <cellStyle name="Normal 7 3 2 3 2 2" xfId="3750" xr:uid="{28B5999F-2B54-4A54-8866-6D15BD4AE79D}"/>
    <cellStyle name="Normal 7 3 2 3 3" xfId="3541" xr:uid="{50A882EF-9EB7-4732-A3C3-488C4362458A}"/>
    <cellStyle name="Normal 7 3 2 4" xfId="712" xr:uid="{00000000-0005-0000-0000-0000B3020000}"/>
    <cellStyle name="Normal 7 3 2 4 2" xfId="3645" xr:uid="{B86786E1-24E9-4B55-A9F5-4C3AF5BF2330}"/>
    <cellStyle name="Normal 7 3 2 5" xfId="3426" xr:uid="{14B4ACD1-EC4C-48C4-BA71-92CB5AD226D6}"/>
    <cellStyle name="Normal 7 3 3" xfId="477" xr:uid="{00000000-0005-0000-0000-0000B4020000}"/>
    <cellStyle name="Normal 7 3 3 2" xfId="633" xr:uid="{00000000-0005-0000-0000-0000B5020000}"/>
    <cellStyle name="Normal 7 3 3 2 2" xfId="844" xr:uid="{00000000-0005-0000-0000-0000B6020000}"/>
    <cellStyle name="Normal 7 3 3 2 2 2" xfId="3776" xr:uid="{F782EDA4-C040-444E-91F0-EE31D31E5CE2}"/>
    <cellStyle name="Normal 7 3 3 2 3" xfId="3567" xr:uid="{A7B48E1B-AF25-425D-87E1-7A1B15C2D546}"/>
    <cellStyle name="Normal 7 3 3 3" xfId="738" xr:uid="{00000000-0005-0000-0000-0000B7020000}"/>
    <cellStyle name="Normal 7 3 3 3 2" xfId="3671" xr:uid="{74A044C8-51C8-451F-A0E8-3A3FBDE4B12C}"/>
    <cellStyle name="Normal 7 3 3 4" xfId="3457" xr:uid="{E9384372-CF23-46C2-8BA6-C60B01475893}"/>
    <cellStyle name="Normal 7 3 4" xfId="581" xr:uid="{00000000-0005-0000-0000-0000B8020000}"/>
    <cellStyle name="Normal 7 3 4 2" xfId="792" xr:uid="{00000000-0005-0000-0000-0000B9020000}"/>
    <cellStyle name="Normal 7 3 4 2 2" xfId="3724" xr:uid="{797BCF25-5FB5-4FE7-8A94-BAA924AC499C}"/>
    <cellStyle name="Normal 7 3 4 3" xfId="3515" xr:uid="{3D145D96-71F8-44F2-A43C-901834ED1F08}"/>
    <cellStyle name="Normal 7 3 5" xfId="686" xr:uid="{00000000-0005-0000-0000-0000BA020000}"/>
    <cellStyle name="Normal 7 3 5 2" xfId="3619" xr:uid="{60C27510-20DE-4713-9F57-16251EB9347F}"/>
    <cellStyle name="Normal 7 3 6" xfId="1525" xr:uid="{89C30F3D-5D83-4DC4-8B7A-1397405C42FE}"/>
    <cellStyle name="Normal 7 3 7" xfId="3395" xr:uid="{9CD7D53B-EE82-4A11-B9B0-482667AAEF67}"/>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2 2 2" xfId="3811" xr:uid="{597E7413-CBE6-431E-84CE-6DDDBE64FA01}"/>
    <cellStyle name="Normal 7 4 2 2 2 3" xfId="3602" xr:uid="{CD8E2BE4-58EE-4DAF-818A-7DA8BC121616}"/>
    <cellStyle name="Normal 7 4 2 2 3" xfId="773" xr:uid="{00000000-0005-0000-0000-0000C0020000}"/>
    <cellStyle name="Normal 7 4 2 2 3 2" xfId="3706" xr:uid="{19D93A45-148D-49A9-9D3D-23278F6FD346}"/>
    <cellStyle name="Normal 7 4 2 2 4" xfId="3492" xr:uid="{752FE8A3-CA24-4979-BC5B-6F2E6C2FE274}"/>
    <cellStyle name="Normal 7 4 2 3" xfId="616" xr:uid="{00000000-0005-0000-0000-0000C1020000}"/>
    <cellStyle name="Normal 7 4 2 3 2" xfId="827" xr:uid="{00000000-0005-0000-0000-0000C2020000}"/>
    <cellStyle name="Normal 7 4 2 3 2 2" xfId="3759" xr:uid="{708E816A-D164-4CEC-8D48-3A66EB627F72}"/>
    <cellStyle name="Normal 7 4 2 3 3" xfId="3550" xr:uid="{9B487D8A-7367-4212-BCFC-7B7439EB9361}"/>
    <cellStyle name="Normal 7 4 2 4" xfId="721" xr:uid="{00000000-0005-0000-0000-0000C3020000}"/>
    <cellStyle name="Normal 7 4 2 4 2" xfId="3654" xr:uid="{B985090B-15F7-4BB3-A942-B8CB208D9B49}"/>
    <cellStyle name="Normal 7 4 2 5" xfId="3435" xr:uid="{75661E8E-E85A-413A-870C-336787BC185E}"/>
    <cellStyle name="Normal 7 4 3" xfId="486" xr:uid="{00000000-0005-0000-0000-0000C4020000}"/>
    <cellStyle name="Normal 7 4 3 2" xfId="642" xr:uid="{00000000-0005-0000-0000-0000C5020000}"/>
    <cellStyle name="Normal 7 4 3 2 2" xfId="853" xr:uid="{00000000-0005-0000-0000-0000C6020000}"/>
    <cellStyle name="Normal 7 4 3 2 2 2" xfId="3785" xr:uid="{5A39BE03-CA51-4021-BB0A-237DE855272E}"/>
    <cellStyle name="Normal 7 4 3 2 3" xfId="3576" xr:uid="{FD74064B-1DBD-4256-AF86-36831DD6801F}"/>
    <cellStyle name="Normal 7 4 3 3" xfId="747" xr:uid="{00000000-0005-0000-0000-0000C7020000}"/>
    <cellStyle name="Normal 7 4 3 3 2" xfId="3680" xr:uid="{6DB5FD83-2A59-4284-B13A-C66FE42E2418}"/>
    <cellStyle name="Normal 7 4 3 4" xfId="3466" xr:uid="{0D694AB8-95A1-48EE-8CA0-1DBC206C4A8F}"/>
    <cellStyle name="Normal 7 4 4" xfId="590" xr:uid="{00000000-0005-0000-0000-0000C8020000}"/>
    <cellStyle name="Normal 7 4 4 2" xfId="801" xr:uid="{00000000-0005-0000-0000-0000C9020000}"/>
    <cellStyle name="Normal 7 4 4 2 2" xfId="3733" xr:uid="{8E09E1B9-63B2-445E-B678-FB8122CCCA19}"/>
    <cellStyle name="Normal 7 4 4 3" xfId="3524" xr:uid="{B2AE0530-D53E-4A31-92D4-2001F3F77712}"/>
    <cellStyle name="Normal 7 4 5" xfId="695" xr:uid="{00000000-0005-0000-0000-0000CA020000}"/>
    <cellStyle name="Normal 7 4 5 2" xfId="3628" xr:uid="{7D74D3B6-D765-4A60-BDAE-12F484150ABC}"/>
    <cellStyle name="Normal 7 4 6" xfId="1526" xr:uid="{3F9DF255-B212-404E-B7E3-F74B39CAE464}"/>
    <cellStyle name="Normal 7 4 7" xfId="3404" xr:uid="{464D0028-E6D5-42C4-8710-2F3BDB0A7A56}"/>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2 2 2" xfId="3794" xr:uid="{96AD2447-013D-4F50-977B-C56A9B5ADFCA}"/>
    <cellStyle name="Normal 7 5 2 2 3" xfId="2914" xr:uid="{E506C560-97B5-4166-B2AC-533FD9BD7C60}"/>
    <cellStyle name="Normal 7 5 2 2 3 2" xfId="5349" xr:uid="{3CE2D7C1-32DB-4908-9846-63A77676034C}"/>
    <cellStyle name="Normal 7 5 2 2 4" xfId="3585" xr:uid="{D2031F57-711C-46F6-AC99-149CBD0FC027}"/>
    <cellStyle name="Normal 7 5 2 3" xfId="756" xr:uid="{00000000-0005-0000-0000-0000CF020000}"/>
    <cellStyle name="Normal 7 5 2 3 2" xfId="3689" xr:uid="{05B8987F-8F3B-4A00-8301-D225CD7516F5}"/>
    <cellStyle name="Normal 7 5 2 4" xfId="2076" xr:uid="{3953BDF3-BF94-4F7A-AB7E-03C6D4FD3704}"/>
    <cellStyle name="Normal 7 5 2 4 2" xfId="4593" xr:uid="{4D67A351-0B71-4E31-9355-E98419E9DA3E}"/>
    <cellStyle name="Normal 7 5 2 5" xfId="3475" xr:uid="{E0BA755D-EC14-4E87-B07F-F09176630922}"/>
    <cellStyle name="Normal 7 5 3" xfId="599" xr:uid="{00000000-0005-0000-0000-0000D0020000}"/>
    <cellStyle name="Normal 7 5 3 2" xfId="810" xr:uid="{00000000-0005-0000-0000-0000D1020000}"/>
    <cellStyle name="Normal 7 5 3 2 2" xfId="3742" xr:uid="{7084ABC8-B42E-4F92-A98B-CDFB317C7E82}"/>
    <cellStyle name="Normal 7 5 3 3" xfId="2550" xr:uid="{1C9155E2-49A2-4AA7-8CF1-B8B1276919B7}"/>
    <cellStyle name="Normal 7 5 3 3 2" xfId="4985" xr:uid="{145E3244-DFDA-4D39-AA83-687C8359C0FF}"/>
    <cellStyle name="Normal 7 5 3 4" xfId="3533" xr:uid="{37DD618C-6498-492E-946B-0066BB2C887E}"/>
    <cellStyle name="Normal 7 5 4" xfId="704" xr:uid="{00000000-0005-0000-0000-0000D2020000}"/>
    <cellStyle name="Normal 7 5 4 2" xfId="3637" xr:uid="{39D1B6D0-389D-491B-884A-F430B7AEB868}"/>
    <cellStyle name="Normal 7 5 5" xfId="1527" xr:uid="{D1C42708-A040-476D-A32A-B1E3F5C7A120}"/>
    <cellStyle name="Normal 7 5 5 2" xfId="4115" xr:uid="{37E69361-0E11-4A10-A133-ABC18E3BDD5D}"/>
    <cellStyle name="Normal 7 5 6" xfId="3418" xr:uid="{989FFFBD-CB8C-484E-A108-02AF0FDBD3CD}"/>
    <cellStyle name="Normal 7 6" xfId="469" xr:uid="{00000000-0005-0000-0000-0000D3020000}"/>
    <cellStyle name="Normal 7 6 2" xfId="625" xr:uid="{00000000-0005-0000-0000-0000D4020000}"/>
    <cellStyle name="Normal 7 6 2 2" xfId="836" xr:uid="{00000000-0005-0000-0000-0000D5020000}"/>
    <cellStyle name="Normal 7 6 2 2 2" xfId="3768" xr:uid="{A00DA7CA-6A72-4F93-8C5C-5D1E198012E5}"/>
    <cellStyle name="Normal 7 6 2 3" xfId="2744" xr:uid="{A11BA143-981A-443C-88C4-D2F1C2054CCF}"/>
    <cellStyle name="Normal 7 6 2 3 2" xfId="5179" xr:uid="{AD879398-4909-4D2B-A2C8-9A71283A181F}"/>
    <cellStyle name="Normal 7 6 2 4" xfId="3559" xr:uid="{128F1541-770E-447D-9318-BD5583337B0B}"/>
    <cellStyle name="Normal 7 6 3" xfId="730" xr:uid="{00000000-0005-0000-0000-0000D6020000}"/>
    <cellStyle name="Normal 7 6 3 2" xfId="3663" xr:uid="{FE3739B4-8958-4AB5-8065-6293FB2719AC}"/>
    <cellStyle name="Normal 7 6 4" xfId="1906" xr:uid="{A594E3BE-C14F-4B4C-A81E-5438885CB2F4}"/>
    <cellStyle name="Normal 7 6 4 2" xfId="4423" xr:uid="{1C19210B-70E2-411E-8E6C-020FD2D306C0}"/>
    <cellStyle name="Normal 7 6 5" xfId="3449" xr:uid="{FE337D58-B5A7-4D69-8693-012DB9479B85}"/>
    <cellStyle name="Normal 7 7" xfId="573" xr:uid="{00000000-0005-0000-0000-0000D7020000}"/>
    <cellStyle name="Normal 7 7 2" xfId="784" xr:uid="{00000000-0005-0000-0000-0000D8020000}"/>
    <cellStyle name="Normal 7 7 2 2" xfId="3716" xr:uid="{8C73611C-B572-4536-80AD-3302A450DF7B}"/>
    <cellStyle name="Normal 7 7 3" xfId="2242" xr:uid="{D13D8FB6-7692-4C7F-A788-4DA09E09AE3A}"/>
    <cellStyle name="Normal 7 7 3 2" xfId="4710" xr:uid="{98CD2EB5-640D-4648-92BA-511539D3B0C1}"/>
    <cellStyle name="Normal 7 7 4" xfId="3507" xr:uid="{690CE31E-468C-4724-8CDE-22AD24066A6D}"/>
    <cellStyle name="Normal 7 8" xfId="678" xr:uid="{00000000-0005-0000-0000-0000D9020000}"/>
    <cellStyle name="Normal 7 8 2" xfId="2525" xr:uid="{307702F0-915A-45DC-8EAA-52BC1DCD88E3}"/>
    <cellStyle name="Normal 7 8 2 2" xfId="4960" xr:uid="{56604B3D-7F53-44CE-B839-F0052EF025F8}"/>
    <cellStyle name="Normal 7 8 3" xfId="3611" xr:uid="{7C44EECB-B656-483D-A12E-5EC1275FEBEB}"/>
    <cellStyle name="Normal 7 9" xfId="1500" xr:uid="{D57F8E0A-E2ED-4FC7-A49E-A7169DADE1DC}"/>
    <cellStyle name="Normal 7 9 2" xfId="4090" xr:uid="{3D1A896C-6C91-4753-AAB4-688960279892}"/>
    <cellStyle name="Normal 70" xfId="2266" xr:uid="{4D80699D-190B-4EC3-8B1F-6FC1A24BA506}"/>
    <cellStyle name="Normal 70 2" xfId="3026" xr:uid="{CE11F7DD-7FDD-42F1-A6F3-CB646B64CE77}"/>
    <cellStyle name="Normal 71" xfId="2263" xr:uid="{FDE35B72-C261-427A-9BC0-4B0CBC38B2C1}"/>
    <cellStyle name="Normal 71 2" xfId="3023" xr:uid="{3056DC73-458C-48E2-A870-C361A9FAB473}"/>
    <cellStyle name="Normal 72" xfId="2267" xr:uid="{B30D53F8-92F6-486C-B974-E17672AB0310}"/>
    <cellStyle name="Normal 72 2" xfId="3027" xr:uid="{BF4D77F3-96DC-40D4-A52C-E8F4F34628EA}"/>
    <cellStyle name="Normal 73" xfId="2262" xr:uid="{0280285B-24B7-40A2-B35B-224AFD92064C}"/>
    <cellStyle name="Normal 73 2" xfId="3022" xr:uid="{F5BBE184-A9CC-4215-A453-3D5F5123DAA7}"/>
    <cellStyle name="Normal 74" xfId="2264" xr:uid="{FADAF6CE-ABBA-418C-9B01-1C1C76F918A2}"/>
    <cellStyle name="Normal 74 2" xfId="3024" xr:uid="{FB9661B7-E7EF-4297-9B01-ECFBBD25F8A9}"/>
    <cellStyle name="Normal 75" xfId="2270" xr:uid="{AC9CDF47-A781-4CD7-8182-1797A09AA6FE}"/>
    <cellStyle name="Normal 75 2" xfId="3028" xr:uid="{7693C5B5-6614-4053-86FC-8CB65268E388}"/>
    <cellStyle name="Normal 76" xfId="2274" xr:uid="{D1CF41F6-0F9B-46BB-96A9-0715896FB3FE}"/>
    <cellStyle name="Normal 76 2" xfId="3032" xr:uid="{016DFEF8-8D6D-4494-946B-EA27F7564B57}"/>
    <cellStyle name="Normal 77" xfId="2272" xr:uid="{7ADE2F67-3E72-4B54-A080-A52C103C53DD}"/>
    <cellStyle name="Normal 77 2" xfId="3030" xr:uid="{8DB482A4-C732-4FDA-8C8C-7209F0B40011}"/>
    <cellStyle name="Normal 78" xfId="2275" xr:uid="{DBF36640-AC2B-4A0F-9C27-F8FBAFB0BB3F}"/>
    <cellStyle name="Normal 78 2" xfId="3033" xr:uid="{91A91DD0-A065-48EF-BDAF-D6D38001E21E}"/>
    <cellStyle name="Normal 79" xfId="2271" xr:uid="{0B0B58F9-0271-49B9-B3E2-29A6FBFC9F5F}"/>
    <cellStyle name="Normal 79 2" xfId="3029" xr:uid="{7FD78583-AD1C-446C-B055-AD2C873345D6}"/>
    <cellStyle name="Normal 8" xfId="240" xr:uid="{00000000-0005-0000-0000-0000DA020000}"/>
    <cellStyle name="Normal 8 2" xfId="524" xr:uid="{00000000-0005-0000-0000-0000DB020000}"/>
    <cellStyle name="Normal 8 2 2" xfId="1530" xr:uid="{72950C60-50B2-4ADF-B0EE-F61A5A1FDE6F}"/>
    <cellStyle name="Normal 8 2 2 2" xfId="1531" xr:uid="{C0E26989-9E68-4542-A678-F17E9D7539ED}"/>
    <cellStyle name="Normal 8 2 2 2 2" xfId="2091" xr:uid="{14C28E59-AE5B-4272-89EB-E9E4E455B4FE}"/>
    <cellStyle name="Normal 8 2 2 2 2 2" xfId="2929" xr:uid="{293E9B8B-DD9A-4F74-87F5-2A625CCD5AD4}"/>
    <cellStyle name="Normal 8 2 2 2 2 2 2" xfId="5364" xr:uid="{40C0794F-39AC-4A22-B333-F72AB0F80731}"/>
    <cellStyle name="Normal 8 2 2 2 2 3" xfId="4608" xr:uid="{34E14FBB-2058-4AA4-81C3-1F3326E33916}"/>
    <cellStyle name="Normal 8 2 2 2 3" xfId="2554" xr:uid="{F10B9456-7231-444D-B946-055649E5F1E1}"/>
    <cellStyle name="Normal 8 2 2 2 3 2" xfId="4989" xr:uid="{3514900E-CB51-481D-A7B3-6139F0685D08}"/>
    <cellStyle name="Normal 8 2 2 2 4" xfId="4119" xr:uid="{3A91AB09-90E1-4CCB-9EC7-3725D0FA4092}"/>
    <cellStyle name="Normal 8 2 2 3" xfId="1921" xr:uid="{88D377B0-EFC1-476B-A607-4C1584248006}"/>
    <cellStyle name="Normal 8 2 2 3 2" xfId="2759" xr:uid="{5B58BBF9-03A2-4F04-80CD-00A99E1E8245}"/>
    <cellStyle name="Normal 8 2 2 3 2 2" xfId="5194" xr:uid="{4D01309D-7585-49C8-A6E0-AC810C326B28}"/>
    <cellStyle name="Normal 8 2 2 3 3" xfId="4438" xr:uid="{280FEB0A-88FC-4DFB-988C-1E831F9417D9}"/>
    <cellStyle name="Normal 8 2 2 4" xfId="2553" xr:uid="{7BED0038-A156-4411-BB8D-A4B1B41A8244}"/>
    <cellStyle name="Normal 8 2 2 4 2" xfId="4988" xr:uid="{8490C167-EFFB-45EC-9717-D78C90CEE873}"/>
    <cellStyle name="Normal 8 2 2 5" xfId="4118" xr:uid="{5F93E948-47D6-40BC-A85B-07F3D506D2E3}"/>
    <cellStyle name="Normal 8 2 3" xfId="1532" xr:uid="{3722C380-EF16-4423-A35B-A67028DB423E}"/>
    <cellStyle name="Normal 8 2 3 2" xfId="1533" xr:uid="{F4E2F80C-B083-4AEB-A61D-5442C5BE37FC}"/>
    <cellStyle name="Normal 8 2 3 2 2" xfId="2092" xr:uid="{991F5F08-5C6C-4DEA-9C07-FEDCB86DC481}"/>
    <cellStyle name="Normal 8 2 3 2 2 2" xfId="2930" xr:uid="{E643B80C-5C39-4C08-B52B-334DCC6C4003}"/>
    <cellStyle name="Normal 8 2 3 2 2 2 2" xfId="5365" xr:uid="{2CBD1E40-C6AB-4681-BDD1-BF60775A4741}"/>
    <cellStyle name="Normal 8 2 3 2 2 3" xfId="4609" xr:uid="{4EB83086-FF4F-4A44-AF3C-CBDE22C4889C}"/>
    <cellStyle name="Normal 8 2 3 2 3" xfId="2556" xr:uid="{6EE82F89-8A9F-4044-A9AB-0E5A080064C3}"/>
    <cellStyle name="Normal 8 2 3 2 3 2" xfId="4991" xr:uid="{C1477C92-DC3B-4172-93FF-C166DC32436F}"/>
    <cellStyle name="Normal 8 2 3 2 4" xfId="4121" xr:uid="{155ADE1F-E4E0-49D8-8B1A-565B6A8CF3FC}"/>
    <cellStyle name="Normal 8 2 3 3" xfId="1922" xr:uid="{0B0D46D4-C369-4BD9-8A90-754E20DE686B}"/>
    <cellStyle name="Normal 8 2 3 3 2" xfId="2760" xr:uid="{F24464ED-9587-41BB-A952-6578F8F25107}"/>
    <cellStyle name="Normal 8 2 3 3 2 2" xfId="5195" xr:uid="{5EF19745-6D10-4C5E-844B-1E3D024DC84F}"/>
    <cellStyle name="Normal 8 2 3 3 3" xfId="4439" xr:uid="{48840FC2-4AA3-4FCD-BE1D-45224D7999E9}"/>
    <cellStyle name="Normal 8 2 3 4" xfId="2555" xr:uid="{915E1339-F927-4101-BA61-D216CEDFD08C}"/>
    <cellStyle name="Normal 8 2 3 4 2" xfId="4990" xr:uid="{69C4AD85-E3D9-48D2-9DBE-7B054147AD66}"/>
    <cellStyle name="Normal 8 2 3 5" xfId="4120" xr:uid="{E5A0C7CB-F563-4208-BC8F-DC1E4F45A80B}"/>
    <cellStyle name="Normal 8 2 4" xfId="1534" xr:uid="{D006C071-D198-49CF-90FC-A96B554E0920}"/>
    <cellStyle name="Normal 8 2 4 2" xfId="2090" xr:uid="{6F538240-B100-4448-8199-26587A0D054F}"/>
    <cellStyle name="Normal 8 2 4 2 2" xfId="2928" xr:uid="{40559DE5-F40F-42DA-8E34-6D9C5B311BCC}"/>
    <cellStyle name="Normal 8 2 4 2 2 2" xfId="5363" xr:uid="{A34B67A1-5B4A-4278-BC5E-BDB249F82B2B}"/>
    <cellStyle name="Normal 8 2 4 2 3" xfId="4607" xr:uid="{291B68CD-F8BA-40CF-8325-1B5BCFCDDDF1}"/>
    <cellStyle name="Normal 8 2 4 3" xfId="2557" xr:uid="{69EA9506-9EC8-445E-94A8-7797C51F1D71}"/>
    <cellStyle name="Normal 8 2 4 3 2" xfId="4992" xr:uid="{4BD2EB6D-D37B-469B-A61B-9579E0572662}"/>
    <cellStyle name="Normal 8 2 4 4" xfId="4122" xr:uid="{2A84D46F-8045-4301-8103-A420A430B54C}"/>
    <cellStyle name="Normal 8 2 5" xfId="1920" xr:uid="{E2EEABFE-CB2A-47BA-A28C-2306E53B78CE}"/>
    <cellStyle name="Normal 8 2 5 2" xfId="2758" xr:uid="{241CD68D-A374-4F8E-A74D-36139FBC7C0B}"/>
    <cellStyle name="Normal 8 2 5 2 2" xfId="5193" xr:uid="{82DFCCBD-0E7D-45DC-82F9-CF6F22C6B2A2}"/>
    <cellStyle name="Normal 8 2 5 3" xfId="4437" xr:uid="{C1928C89-4EE1-4011-A84C-9FDA4166048E}"/>
    <cellStyle name="Normal 8 2 6" xfId="2245" xr:uid="{993412EA-D78C-47E5-A8B9-7DD005E8613C}"/>
    <cellStyle name="Normal 8 2 6 2" xfId="4713" xr:uid="{647455BB-A74A-4170-BB35-C0C7196A2104}"/>
    <cellStyle name="Normal 8 2 7" xfId="2552" xr:uid="{E84FB534-ED10-47AB-B85F-48E2B9DF01E5}"/>
    <cellStyle name="Normal 8 2 7 2" xfId="4987" xr:uid="{3FC1FA3C-C28D-4ED8-93A6-CF187918CB56}"/>
    <cellStyle name="Normal 8 2 8" xfId="1529" xr:uid="{BDB9A11D-A2E9-42F0-852C-4C8FCB2359F7}"/>
    <cellStyle name="Normal 8 2 8 2" xfId="4117" xr:uid="{71F63154-E95B-459D-9559-44A6659BD5FB}"/>
    <cellStyle name="Normal 8 3" xfId="1535" xr:uid="{C04C6E3A-CCE5-4C2E-83D9-884E8DE4459E}"/>
    <cellStyle name="Normal 8 3 2" xfId="1536" xr:uid="{0BDF85EE-6D30-4053-B254-622861112A78}"/>
    <cellStyle name="Normal 8 3 2 2" xfId="2093" xr:uid="{B71A621D-6F74-47F4-848C-297E56D49774}"/>
    <cellStyle name="Normal 8 3 2 2 2" xfId="2931" xr:uid="{D3A95855-DB72-4BA0-A612-D54C474C6329}"/>
    <cellStyle name="Normal 8 3 2 2 2 2" xfId="5366" xr:uid="{95007E7E-570A-4F44-AD35-431A61844D57}"/>
    <cellStyle name="Normal 8 3 2 2 3" xfId="4610" xr:uid="{F151F13B-DA2E-498F-97EB-D9EE9D619131}"/>
    <cellStyle name="Normal 8 3 2 3" xfId="2559" xr:uid="{B9E13225-E94F-45BE-A760-A5D10B3C42A5}"/>
    <cellStyle name="Normal 8 3 2 3 2" xfId="4994" xr:uid="{7DE9C860-59B1-49ED-9204-757732495F9E}"/>
    <cellStyle name="Normal 8 3 2 4" xfId="4124" xr:uid="{238622E7-B120-43B2-9E94-29B2E26D1F00}"/>
    <cellStyle name="Normal 8 3 3" xfId="1923" xr:uid="{47F1BC2B-8B65-45E8-8B4C-02D3B364CA83}"/>
    <cellStyle name="Normal 8 3 3 2" xfId="2761" xr:uid="{C4C74741-79AF-4381-9585-98EADB1DF708}"/>
    <cellStyle name="Normal 8 3 3 2 2" xfId="5196" xr:uid="{5B6422BA-04F3-4887-BFD5-B7C0110F18E5}"/>
    <cellStyle name="Normal 8 3 3 3" xfId="4440" xr:uid="{B2BA9242-F64D-4277-A52F-8FB9D7B8950C}"/>
    <cellStyle name="Normal 8 3 4" xfId="2558" xr:uid="{803D7582-2419-4E06-A526-945DE127505C}"/>
    <cellStyle name="Normal 8 3 4 2" xfId="4993" xr:uid="{10B7F9F4-9F3C-462F-965D-4954C277D0B8}"/>
    <cellStyle name="Normal 8 3 5" xfId="4123" xr:uid="{3C068339-EEB9-4BE1-B2F7-78C87CA14406}"/>
    <cellStyle name="Normal 8 4" xfId="1537" xr:uid="{62CCB820-1721-4617-A7F2-71AC71FF06BB}"/>
    <cellStyle name="Normal 8 4 2" xfId="1538" xr:uid="{F034BD01-9664-473A-9708-BED8DEDE8EA8}"/>
    <cellStyle name="Normal 8 4 2 2" xfId="2094" xr:uid="{8200B082-C132-40A0-8529-5E13A84BA6B6}"/>
    <cellStyle name="Normal 8 4 2 2 2" xfId="2932" xr:uid="{5ECD662D-3F64-47B1-80AC-09BDDD36A49E}"/>
    <cellStyle name="Normal 8 4 2 2 2 2" xfId="5367" xr:uid="{A4602990-5753-40C6-BF6C-CC646C771836}"/>
    <cellStyle name="Normal 8 4 2 2 3" xfId="4611" xr:uid="{E82EBD7B-9AF0-4672-9C2A-B96FC9025F19}"/>
    <cellStyle name="Normal 8 4 2 3" xfId="2561" xr:uid="{083A2605-4306-4547-9C63-09802E48865D}"/>
    <cellStyle name="Normal 8 4 2 3 2" xfId="4996" xr:uid="{9774F1F3-7601-4598-A4F2-0F54DD7A9C05}"/>
    <cellStyle name="Normal 8 4 2 4" xfId="4126" xr:uid="{8F7D7348-E37E-4563-9379-CF774AC09130}"/>
    <cellStyle name="Normal 8 4 3" xfId="1924" xr:uid="{CCA79CA0-1C31-4160-8CEF-1409DA89ABAF}"/>
    <cellStyle name="Normal 8 4 3 2" xfId="2762" xr:uid="{32BC2F2F-FCC4-4E68-97D9-FF88273FAAF4}"/>
    <cellStyle name="Normal 8 4 3 2 2" xfId="5197" xr:uid="{2EB2E6B2-0CE0-402A-9743-59675A566609}"/>
    <cellStyle name="Normal 8 4 3 3" xfId="4441" xr:uid="{8DC5BDFA-0DB6-45B4-B3AB-51A77DB1F664}"/>
    <cellStyle name="Normal 8 4 4" xfId="2560" xr:uid="{BE65E5DF-355D-4D81-9B0D-0B7CA3A9604D}"/>
    <cellStyle name="Normal 8 4 4 2" xfId="4995" xr:uid="{F3CBF87D-A3EF-4EB8-B1A2-E66332C917C5}"/>
    <cellStyle name="Normal 8 4 5" xfId="4125" xr:uid="{56B3C423-6F3C-4EAD-8571-1A2751877CB7}"/>
    <cellStyle name="Normal 8 5" xfId="1539" xr:uid="{D357DC18-202D-4C6B-BFA4-9487F88D79A5}"/>
    <cellStyle name="Normal 8 5 2" xfId="2089" xr:uid="{DCB062A9-3958-4914-BF81-58513C1CDBC9}"/>
    <cellStyle name="Normal 8 5 2 2" xfId="2927" xr:uid="{39E19137-A659-4DC6-8AE5-10CEECFB1423}"/>
    <cellStyle name="Normal 8 5 2 2 2" xfId="5362" xr:uid="{04789B3F-656A-4234-B3FA-23A52F8D0007}"/>
    <cellStyle name="Normal 8 5 2 3" xfId="4606" xr:uid="{35773A35-1F5F-44F2-8416-91B3B79B2521}"/>
    <cellStyle name="Normal 8 5 3" xfId="2562" xr:uid="{AC260160-43EB-494C-A75C-288D4F505B49}"/>
    <cellStyle name="Normal 8 5 3 2" xfId="4997" xr:uid="{0CE93076-31D6-4428-8037-79E7DC42A74B}"/>
    <cellStyle name="Normal 8 5 4" xfId="4127" xr:uid="{E7A369CE-0553-4FFD-BFA0-CF1A4E6DA377}"/>
    <cellStyle name="Normal 8 6" xfId="1919" xr:uid="{275AF734-ED45-4B21-9373-E30F3BA34075}"/>
    <cellStyle name="Normal 8 6 2" xfId="2757" xr:uid="{28A57076-8763-4938-B2B2-FE726F0FC71A}"/>
    <cellStyle name="Normal 8 6 2 2" xfId="5192" xr:uid="{E1D3DC68-C502-4AE3-B4BE-1F06122B2BAE}"/>
    <cellStyle name="Normal 8 6 3" xfId="4436" xr:uid="{9578127D-A16C-4F57-AE76-C4990CAE331D}"/>
    <cellStyle name="Normal 8 7" xfId="2244" xr:uid="{1CB932F5-B1EA-42E9-AE20-5F93357BE6FD}"/>
    <cellStyle name="Normal 8 7 2" xfId="4712" xr:uid="{D0CD6187-9B03-4D24-827F-728137A6AC38}"/>
    <cellStyle name="Normal 8 8" xfId="2551" xr:uid="{8481FA03-2E55-4DB2-A3A9-7D12F408A00E}"/>
    <cellStyle name="Normal 8 8 2" xfId="4986" xr:uid="{251B1A75-224E-4A4F-9C8D-CEBF568D65A4}"/>
    <cellStyle name="Normal 8 9" xfId="1528" xr:uid="{DAF95CE8-B2B9-4E00-B32B-705102AA2D3F}"/>
    <cellStyle name="Normal 8 9 2" xfId="4116" xr:uid="{F8F9473C-B923-403B-BFF4-43C7608CEE9A}"/>
    <cellStyle name="Normal 80" xfId="2273" xr:uid="{72EB945E-EBE6-4538-BFEB-E84CAD76E490}"/>
    <cellStyle name="Normal 80 2" xfId="3031" xr:uid="{4DD2AE72-8EDB-46A3-A0D9-726E03056663}"/>
    <cellStyle name="Normal 81" xfId="2276" xr:uid="{10FB7107-7A28-4DD1-8DAF-BEA8A881779F}"/>
    <cellStyle name="Normal 81 2" xfId="3034" xr:uid="{D218DA3C-129A-4E82-9CDE-AB210449D76C}"/>
    <cellStyle name="Normal 82" xfId="2281" xr:uid="{8F36C532-D61A-4213-8F8A-1C63A054C274}"/>
    <cellStyle name="Normal 82 2" xfId="3039" xr:uid="{183BD7CB-628A-4666-B7F2-53AD66FC7B4D}"/>
    <cellStyle name="Normal 83" xfId="2278" xr:uid="{6D149C46-EE27-4984-9F15-423F3FB04A26}"/>
    <cellStyle name="Normal 83 2" xfId="3036" xr:uid="{01BC8440-4EDC-430D-BEF7-67508EC2E82F}"/>
    <cellStyle name="Normal 84" xfId="2279" xr:uid="{C4A1E058-FE9C-4D90-8C10-93F0CEBA1044}"/>
    <cellStyle name="Normal 84 2" xfId="3037" xr:uid="{FE639C3A-E0C1-44B1-BDB5-1C6601879F85}"/>
    <cellStyle name="Normal 85" xfId="2282" xr:uid="{A7EFF48A-6679-47D8-A94A-4374D8FEE78F}"/>
    <cellStyle name="Normal 85 2" xfId="3040" xr:uid="{343A9326-229E-44D7-A678-36703FD8976C}"/>
    <cellStyle name="Normal 86" xfId="2277" xr:uid="{DACA7568-0341-4B8B-B0F1-2AF05D065473}"/>
    <cellStyle name="Normal 86 2" xfId="3035" xr:uid="{249E05BD-FDBE-4964-BFC0-83CB3E49B60F}"/>
    <cellStyle name="Normal 87" xfId="2280" xr:uid="{18674C10-56D3-41BC-8305-107970233A2C}"/>
    <cellStyle name="Normal 87 2" xfId="3038" xr:uid="{02D14FE3-59F9-4F47-B23D-72C2ACD24945}"/>
    <cellStyle name="Normal 88" xfId="2286" xr:uid="{AD8864C6-6228-4D32-9285-9911577B9A78}"/>
    <cellStyle name="Normal 88 2" xfId="4721" xr:uid="{89E639DA-5B38-4342-A88C-EA8B695F5188}"/>
    <cellStyle name="Normal 89" xfId="981" xr:uid="{E22A1F9D-E963-4307-8C4B-0CC408DE39C0}"/>
    <cellStyle name="Normal 89 2" xfId="3868" xr:uid="{0889C6F4-BFA6-4EC1-BD0E-DDF3E45DE03E}"/>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2 2 2" xfId="3804" xr:uid="{A326AD5E-24BD-4572-96D0-ECA353168B68}"/>
    <cellStyle name="Normal 9 2 2 2 2 3" xfId="3595" xr:uid="{686FAA7E-339B-4C93-BD69-7BD8E598434D}"/>
    <cellStyle name="Normal 9 2 2 2 3" xfId="766" xr:uid="{00000000-0005-0000-0000-0000E2020000}"/>
    <cellStyle name="Normal 9 2 2 2 3 2" xfId="3699" xr:uid="{DF1C7F32-7915-45C6-AD58-58CDAB4D230B}"/>
    <cellStyle name="Normal 9 2 2 2 4" xfId="3485" xr:uid="{AC680DEB-7467-4BBB-8B7D-953EACD0FB36}"/>
    <cellStyle name="Normal 9 2 2 3" xfId="609" xr:uid="{00000000-0005-0000-0000-0000E3020000}"/>
    <cellStyle name="Normal 9 2 2 3 2" xfId="820" xr:uid="{00000000-0005-0000-0000-0000E4020000}"/>
    <cellStyle name="Normal 9 2 2 3 2 2" xfId="3752" xr:uid="{F86CCC86-E46D-4461-B847-115B36113787}"/>
    <cellStyle name="Normal 9 2 2 3 3" xfId="3543" xr:uid="{D8F196A6-E8DA-41FF-8226-200837F462DF}"/>
    <cellStyle name="Normal 9 2 2 4" xfId="714" xr:uid="{00000000-0005-0000-0000-0000E5020000}"/>
    <cellStyle name="Normal 9 2 2 4 2" xfId="3647" xr:uid="{645E2D50-772E-47FD-91B6-EED614193A70}"/>
    <cellStyle name="Normal 9 2 2 5" xfId="3428" xr:uid="{3E67592B-E41B-41B0-8610-AAD694FD9323}"/>
    <cellStyle name="Normal 9 2 3" xfId="479" xr:uid="{00000000-0005-0000-0000-0000E6020000}"/>
    <cellStyle name="Normal 9 2 3 2" xfId="635" xr:uid="{00000000-0005-0000-0000-0000E7020000}"/>
    <cellStyle name="Normal 9 2 3 2 2" xfId="846" xr:uid="{00000000-0005-0000-0000-0000E8020000}"/>
    <cellStyle name="Normal 9 2 3 2 2 2" xfId="3778" xr:uid="{DA86C131-470F-4ADE-B228-4956AB4173CB}"/>
    <cellStyle name="Normal 9 2 3 2 3" xfId="3569" xr:uid="{72AE38BA-CEED-43D6-80B9-54667EF4D8B9}"/>
    <cellStyle name="Normal 9 2 3 3" xfId="740" xr:uid="{00000000-0005-0000-0000-0000E9020000}"/>
    <cellStyle name="Normal 9 2 3 3 2" xfId="3673" xr:uid="{B6BB037E-3B27-4BBB-9767-456CA422A63C}"/>
    <cellStyle name="Normal 9 2 3 4" xfId="3459" xr:uid="{56B75B48-9EB5-4B81-95A6-E842E162853D}"/>
    <cellStyle name="Normal 9 2 4" xfId="583" xr:uid="{00000000-0005-0000-0000-0000EA020000}"/>
    <cellStyle name="Normal 9 2 4 2" xfId="794" xr:uid="{00000000-0005-0000-0000-0000EB020000}"/>
    <cellStyle name="Normal 9 2 4 2 2" xfId="3726" xr:uid="{0764790B-BB5D-41CC-AA24-51AE8DA50EBB}"/>
    <cellStyle name="Normal 9 2 4 3" xfId="3517" xr:uid="{51369476-947D-4FCA-B53E-8137F1E30163}"/>
    <cellStyle name="Normal 9 2 5" xfId="688" xr:uid="{00000000-0005-0000-0000-0000EC020000}"/>
    <cellStyle name="Normal 9 2 5 2" xfId="3621" xr:uid="{1A03BFB4-92A3-43C2-ABC0-6F84F5C0A7D5}"/>
    <cellStyle name="Normal 9 2 6" xfId="2205" xr:uid="{BC673DEF-5D04-4C53-A370-7F1FE7659104}"/>
    <cellStyle name="Normal 9 2 6 2" xfId="4695" xr:uid="{2D1400B8-864C-47BC-B39A-36538B98401D}"/>
    <cellStyle name="Normal 9 2 7" xfId="3397" xr:uid="{104C6515-142E-4289-9C5E-F0382579BEE3}"/>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2 2 2" xfId="3813" xr:uid="{C6E09A16-138E-404A-8CD7-0364FAAE46CC}"/>
    <cellStyle name="Normal 9 3 2 2 2 3" xfId="3604" xr:uid="{6179FACC-CC6A-4D7C-A0F1-198D84797BF5}"/>
    <cellStyle name="Normal 9 3 2 2 3" xfId="775" xr:uid="{00000000-0005-0000-0000-0000F2020000}"/>
    <cellStyle name="Normal 9 3 2 2 3 2" xfId="3708" xr:uid="{A31342D6-0CDC-437C-98F7-C4F83B3687AA}"/>
    <cellStyle name="Normal 9 3 2 2 4" xfId="3494" xr:uid="{1AD96E20-D657-4176-9273-6C22D90E1C60}"/>
    <cellStyle name="Normal 9 3 2 3" xfId="618" xr:uid="{00000000-0005-0000-0000-0000F3020000}"/>
    <cellStyle name="Normal 9 3 2 3 2" xfId="829" xr:uid="{00000000-0005-0000-0000-0000F4020000}"/>
    <cellStyle name="Normal 9 3 2 3 2 2" xfId="3761" xr:uid="{93388CFD-41F9-4BA6-862B-BB88A5E36B0B}"/>
    <cellStyle name="Normal 9 3 2 3 3" xfId="3552" xr:uid="{163FDC40-4A01-4759-A69B-CCB3F597417E}"/>
    <cellStyle name="Normal 9 3 2 4" xfId="723" xr:uid="{00000000-0005-0000-0000-0000F5020000}"/>
    <cellStyle name="Normal 9 3 2 4 2" xfId="3656" xr:uid="{61EB8B5B-EDC8-49E9-8B85-DEE9EE0690F0}"/>
    <cellStyle name="Normal 9 3 2 5" xfId="3437" xr:uid="{1976B4AD-E80B-41A9-8683-BF685AB8AA90}"/>
    <cellStyle name="Normal 9 3 3" xfId="488" xr:uid="{00000000-0005-0000-0000-0000F6020000}"/>
    <cellStyle name="Normal 9 3 3 2" xfId="644" xr:uid="{00000000-0005-0000-0000-0000F7020000}"/>
    <cellStyle name="Normal 9 3 3 2 2" xfId="855" xr:uid="{00000000-0005-0000-0000-0000F8020000}"/>
    <cellStyle name="Normal 9 3 3 2 2 2" xfId="3787" xr:uid="{9F328BC5-6B2C-4DC2-8201-5FE40AF3DDEE}"/>
    <cellStyle name="Normal 9 3 3 2 3" xfId="3578" xr:uid="{290E77A3-3E4A-4D3A-96B4-5D6DB7B2EC57}"/>
    <cellStyle name="Normal 9 3 3 3" xfId="749" xr:uid="{00000000-0005-0000-0000-0000F9020000}"/>
    <cellStyle name="Normal 9 3 3 3 2" xfId="3682" xr:uid="{CB4E825E-B4A8-475B-A0AA-F4BEB52FB451}"/>
    <cellStyle name="Normal 9 3 3 4" xfId="3468" xr:uid="{BC85CE32-1E60-4C43-82FB-1686C623DEB3}"/>
    <cellStyle name="Normal 9 3 4" xfId="592" xr:uid="{00000000-0005-0000-0000-0000FA020000}"/>
    <cellStyle name="Normal 9 3 4 2" xfId="803" xr:uid="{00000000-0005-0000-0000-0000FB020000}"/>
    <cellStyle name="Normal 9 3 4 2 2" xfId="3735" xr:uid="{24D794C4-6AC1-4D4C-BBBC-548DD9692735}"/>
    <cellStyle name="Normal 9 3 4 3" xfId="3526" xr:uid="{459FD994-653C-4278-BD7B-262F4B58C730}"/>
    <cellStyle name="Normal 9 3 5" xfId="697" xr:uid="{00000000-0005-0000-0000-0000FC020000}"/>
    <cellStyle name="Normal 9 3 5 2" xfId="3630" xr:uid="{84A1FFC0-1ED9-40FC-967F-272A66CF1EE5}"/>
    <cellStyle name="Normal 9 3 6" xfId="2246" xr:uid="{22D0BE96-4F8F-44D9-8F54-F047A2D1D968}"/>
    <cellStyle name="Normal 9 3 7" xfId="3406" xr:uid="{A6425A6C-DDB2-4186-8125-B9099A96904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2 2 2" xfId="3796" xr:uid="{0968C2D3-B044-485E-8306-ECC9A8E56788}"/>
    <cellStyle name="Normal 9 4 2 2 3" xfId="3587" xr:uid="{30303187-02C3-4FD6-A7D5-252B208EA388}"/>
    <cellStyle name="Normal 9 4 2 3" xfId="758" xr:uid="{00000000-0005-0000-0000-000001030000}"/>
    <cellStyle name="Normal 9 4 2 3 2" xfId="3691" xr:uid="{B71248E9-3166-4BB5-8D13-FC4D0C960F1C}"/>
    <cellStyle name="Normal 9 4 2 4" xfId="3477" xr:uid="{3690515D-9ED1-46AC-A79E-8DADD2BC11F1}"/>
    <cellStyle name="Normal 9 4 3" xfId="601" xr:uid="{00000000-0005-0000-0000-000002030000}"/>
    <cellStyle name="Normal 9 4 3 2" xfId="812" xr:uid="{00000000-0005-0000-0000-000003030000}"/>
    <cellStyle name="Normal 9 4 3 2 2" xfId="3744" xr:uid="{87175B12-2751-4F4D-84D7-D46F5F349485}"/>
    <cellStyle name="Normal 9 4 3 3" xfId="3535" xr:uid="{1A9B582F-73B5-44ED-BBF4-1239C280FFDB}"/>
    <cellStyle name="Normal 9 4 4" xfId="706" xr:uid="{00000000-0005-0000-0000-000004030000}"/>
    <cellStyle name="Normal 9 4 4 2" xfId="3639" xr:uid="{B0737F44-069F-42AF-8F1C-49BDE9E2C7C7}"/>
    <cellStyle name="Normal 9 4 5" xfId="2197" xr:uid="{F213F258-85A6-4046-9766-159BA016304C}"/>
    <cellStyle name="Normal 9 4 5 2" xfId="4688" xr:uid="{6B62FB5B-C3C2-45C4-B4B8-CE9CD55B1D6F}"/>
    <cellStyle name="Normal 9 4 6" xfId="3420" xr:uid="{513FA57B-3F3B-4D36-A513-41877D82B62E}"/>
    <cellStyle name="Normal 9 5" xfId="471" xr:uid="{00000000-0005-0000-0000-000005030000}"/>
    <cellStyle name="Normal 9 5 2" xfId="627" xr:uid="{00000000-0005-0000-0000-000006030000}"/>
    <cellStyle name="Normal 9 5 2 2" xfId="838" xr:uid="{00000000-0005-0000-0000-000007030000}"/>
    <cellStyle name="Normal 9 5 2 2 2" xfId="3770" xr:uid="{3ED8BA25-D338-4185-9E3A-7AC677B3D959}"/>
    <cellStyle name="Normal 9 5 2 3" xfId="3561" xr:uid="{CAF3910C-3C73-4B0C-9020-350BACC5BADE}"/>
    <cellStyle name="Normal 9 5 3" xfId="732" xr:uid="{00000000-0005-0000-0000-000008030000}"/>
    <cellStyle name="Normal 9 5 3 2" xfId="3665" xr:uid="{69FF6728-1514-40E2-A664-672E3DF2FADD}"/>
    <cellStyle name="Normal 9 5 4" xfId="3451" xr:uid="{D4655214-5F36-4E68-8781-E8E32FE1340F}"/>
    <cellStyle name="Normal 9 6" xfId="575" xr:uid="{00000000-0005-0000-0000-000009030000}"/>
    <cellStyle name="Normal 9 6 2" xfId="786" xr:uid="{00000000-0005-0000-0000-00000A030000}"/>
    <cellStyle name="Normal 9 6 2 2" xfId="3718" xr:uid="{00863C62-8759-4778-8D49-4844D4895836}"/>
    <cellStyle name="Normal 9 6 3" xfId="3509" xr:uid="{A4D8B3B0-444D-4748-AE1F-BDF3DEA5BFE0}"/>
    <cellStyle name="Normal 9 7" xfId="680" xr:uid="{00000000-0005-0000-0000-00000B030000}"/>
    <cellStyle name="Normal 9 7 2" xfId="3613" xr:uid="{DE222856-D0F5-48B1-B0BC-CCFFC6503D32}"/>
    <cellStyle name="Normal 9 8" xfId="1540" xr:uid="{24C5FA95-B10B-4820-A5E7-CE0B32E4875A}"/>
    <cellStyle name="Normal 9 9" xfId="3379" xr:uid="{3347AC9C-8B0B-457B-BEC0-6AAD3BD19263}"/>
    <cellStyle name="Normal_Funding Shift Table Sample" xfId="67" xr:uid="{00000000-0005-0000-0000-00000C030000}"/>
    <cellStyle name="Note" xfId="68" builtinId="10" customBuiltin="1"/>
    <cellStyle name="Note 2" xfId="186" xr:uid="{00000000-0005-0000-0000-00000E030000}"/>
    <cellStyle name="Note 2 10" xfId="1541" xr:uid="{6017623B-0087-4DF9-945F-8181E1C8AB0A}"/>
    <cellStyle name="Note 2 10 2" xfId="4128" xr:uid="{28A87D49-FC7F-409A-8E79-74A9FE841C8C}"/>
    <cellStyle name="Note 2 11" xfId="3369" xr:uid="{B33D2EA3-F76A-4F9D-BA9D-1168E78A9142}"/>
    <cellStyle name="Note 2 2" xfId="1542" xr:uid="{74101AC9-D6BB-4657-8E35-78EF3D6EBA41}"/>
    <cellStyle name="Note 2 2 2" xfId="1543" xr:uid="{610E0649-5209-48AB-9CCE-AC054EA499EA}"/>
    <cellStyle name="Note 2 2 3" xfId="2247" xr:uid="{0430E893-0B5A-4D96-8C92-CD285EA7EF6E}"/>
    <cellStyle name="Note 2 2 3 2" xfId="3083" xr:uid="{5B7C99FA-E620-4C4D-B3AE-186C2C4E0182}"/>
    <cellStyle name="Note 2 2 3 2 2" xfId="5457" xr:uid="{80A982F6-47BD-4B99-B7F6-975825BB9173}"/>
    <cellStyle name="Note 2 2 3 3" xfId="3160" xr:uid="{FC163AA7-7B1C-4FD4-9AE7-891C68D4DDF5}"/>
    <cellStyle name="Note 2 2 3 3 2" xfId="5534" xr:uid="{EC11D850-475C-4EF6-933A-B1739B981895}"/>
    <cellStyle name="Note 2 2 3 4" xfId="4714" xr:uid="{4C3D5B67-FF7E-4742-BFB4-E132B9AFF480}"/>
    <cellStyle name="Note 2 2 4" xfId="2203" xr:uid="{F90C3ADD-3E30-4BD0-A7FA-D2D581D69F1D}"/>
    <cellStyle name="Note 2 2 4 2" xfId="4693" xr:uid="{63DA5137-022A-4D04-B689-6D35D2778D84}"/>
    <cellStyle name="Note 2 2 5" xfId="3210" xr:uid="{9DB6F5A5-0373-43C7-9A9B-86074C170CC7}"/>
    <cellStyle name="Note 2 2 5 2" xfId="5584" xr:uid="{E4812A82-FCC7-493D-B6DF-53CC072396EE}"/>
    <cellStyle name="Note 2 2 6" xfId="3306" xr:uid="{F95AA93A-4B3E-4624-B879-3A93FB5584F4}"/>
    <cellStyle name="Note 2 2 6 2" xfId="5680" xr:uid="{6928B00D-57D7-42D5-9ADA-822B3EDB06EA}"/>
    <cellStyle name="Note 2 2 7" xfId="4129" xr:uid="{EE9A03A0-2B98-4609-B37C-91D293D873E2}"/>
    <cellStyle name="Note 2 3" xfId="1544" xr:uid="{0645C1D6-5AD2-46FF-BF23-2DA6F7FAB7E9}"/>
    <cellStyle name="Note 2 3 2" xfId="3289" xr:uid="{5E301530-BA99-425E-9CB3-F17ABE9B97EE}"/>
    <cellStyle name="Note 2 3 2 2" xfId="5663" xr:uid="{1596C3B2-3222-4D16-89DD-BE028F9882F6}"/>
    <cellStyle name="Note 2 3 3" xfId="3305" xr:uid="{34AB6321-F0EC-4FCD-BF44-2AA822B372C2}"/>
    <cellStyle name="Note 2 3 3 2" xfId="5679" xr:uid="{13EE637E-805C-4338-9EE1-F2274CED4EF6}"/>
    <cellStyle name="Note 2 3 4" xfId="4130" xr:uid="{04913B86-D469-42EB-86EE-081ACEA403A6}"/>
    <cellStyle name="Note 2 4" xfId="1545" xr:uid="{1EAA1B1F-EC7E-4069-A206-D4A0A88FEA78}"/>
    <cellStyle name="Note 2 5" xfId="1546" xr:uid="{EABA095D-DB2E-4DFC-91E5-1FC903C36FE5}"/>
    <cellStyle name="Note 2 6" xfId="1547" xr:uid="{90A2C7B6-CD83-45B3-9A65-C73B7D6BD6E8}"/>
    <cellStyle name="Note 2 6 2" xfId="1973" xr:uid="{2003B62F-18C8-4764-A6E5-B6AF8231496A}"/>
    <cellStyle name="Note 2 6 2 2" xfId="2811" xr:uid="{70B0806F-E723-401F-8B4B-65A8E6CC5463}"/>
    <cellStyle name="Note 2 6 2 2 2" xfId="5246" xr:uid="{7CD24403-34FD-492E-9D3E-7F6D8685EEF4}"/>
    <cellStyle name="Note 2 6 2 3" xfId="4490" xr:uid="{AAB13C91-5A28-4815-B677-7076A705DEC3}"/>
    <cellStyle name="Note 2 6 3" xfId="2564" xr:uid="{032EE847-CA45-42B4-9F0B-1622EC1C1455}"/>
    <cellStyle name="Note 2 6 3 2" xfId="4999" xr:uid="{3D36B7A3-03D1-463F-AC64-EA1CD3A9590A}"/>
    <cellStyle name="Note 2 6 4" xfId="4131" xr:uid="{2BBDD420-393A-44B0-9C7A-75B626AC9E44}"/>
    <cellStyle name="Note 2 7" xfId="1803" xr:uid="{100940DF-780D-474C-967A-FCD47220126F}"/>
    <cellStyle name="Note 2 7 2" xfId="2641" xr:uid="{24ECF1FB-E188-4C3B-B897-2B8801A7A91C}"/>
    <cellStyle name="Note 2 7 2 2" xfId="5076" xr:uid="{4B2BE97C-8CC9-43ED-BC9E-07D76FE3EC6F}"/>
    <cellStyle name="Note 2 7 3" xfId="4320" xr:uid="{E4989896-F636-4CF2-8C66-A87AD117999D}"/>
    <cellStyle name="Note 2 8" xfId="2213" xr:uid="{00CD06D3-37B7-41F8-BC9A-5C51953D146F}"/>
    <cellStyle name="Note 2 8 2" xfId="4703" xr:uid="{9DAC332C-563B-4338-878F-3A8B4DF098A8}"/>
    <cellStyle name="Note 2 9" xfId="2563" xr:uid="{699D5530-6D92-432A-942C-76A25756B943}"/>
    <cellStyle name="Note 2 9 2" xfId="4998" xr:uid="{B3FA4D67-C686-4AA9-A9C2-29D386C6CA81}"/>
    <cellStyle name="Note 3" xfId="232" xr:uid="{00000000-0005-0000-0000-00000F030000}"/>
    <cellStyle name="Note 3 2" xfId="2968" xr:uid="{4A229F60-125B-4B8B-A7CE-A088A18AAFA5}"/>
    <cellStyle name="Note 3 2 2" xfId="5403" xr:uid="{F12FD567-A71F-4AE8-A6A9-17AE71B6EA8F}"/>
    <cellStyle name="Note 3 3" xfId="2130" xr:uid="{1A1B6121-D8F8-47C7-A8E2-14D921387F04}"/>
    <cellStyle name="Note 3 3 2" xfId="4647" xr:uid="{0D8B4CF8-6895-44BE-959A-F2EA42CA7A35}"/>
    <cellStyle name="Note 3 4" xfId="3375" xr:uid="{31628E5C-CB82-4707-96B5-B9843368ED39}"/>
    <cellStyle name="Note 4" xfId="278" xr:uid="{00000000-0005-0000-0000-000010030000}"/>
    <cellStyle name="Note 4 2" xfId="2159" xr:uid="{DE8DFE35-9B4C-461A-9270-8ECAFEE000C9}"/>
    <cellStyle name="Note 4 2 2" xfId="4660" xr:uid="{69A4029C-5F16-477A-9912-26FA212D48B3}"/>
    <cellStyle name="Note 4 3" xfId="3382" xr:uid="{95846E07-7F97-4E10-A014-EF5834578C30}"/>
    <cellStyle name="Note 5" xfId="327" xr:uid="{00000000-0005-0000-0000-000011030000}"/>
    <cellStyle name="Note 5 2" xfId="2173" xr:uid="{2274DBE0-5402-4F9D-A085-23875B90B9BB}"/>
    <cellStyle name="Note 5 2 2" xfId="4674" xr:uid="{D6D703A9-0112-4A92-A259-17077F883674}"/>
    <cellStyle name="Note 5 3" xfId="3391" xr:uid="{239F1857-685F-46E5-BEDA-285BB0EFCE41}"/>
    <cellStyle name="Note 6" xfId="391" xr:uid="{00000000-0005-0000-0000-000012030000}"/>
    <cellStyle name="Note 6 2" xfId="3041" xr:uid="{3F6746C8-F563-4E56-9BBA-CB064F8F92AE}"/>
    <cellStyle name="Note 6 2 2" xfId="5416" xr:uid="{D4B5EA21-2747-43B6-97F5-7203D3581C19}"/>
    <cellStyle name="Note 6 3" xfId="3414" xr:uid="{1536D08F-8F1B-48E7-9880-B20AE838BDB2}"/>
    <cellStyle name="Note 7" xfId="462" xr:uid="{00000000-0005-0000-0000-000013030000}"/>
    <cellStyle name="Note 7 2" xfId="2283" xr:uid="{111DE793-311B-421A-AD6B-DAAD01151306}"/>
    <cellStyle name="Note 7 2 2" xfId="4718" xr:uid="{8EB83275-1F12-4407-83F5-9A48F133C009}"/>
    <cellStyle name="Note 7 3" xfId="3445" xr:uid="{A70D53B6-81EC-46B1-9606-A04D9A549B31}"/>
    <cellStyle name="Note 8" xfId="566" xr:uid="{00000000-0005-0000-0000-000014030000}"/>
    <cellStyle name="Note 8 2" xfId="3503" xr:uid="{1D63B326-ED04-4CAA-945E-F855D7E9DE13}"/>
    <cellStyle name="Note 9" xfId="3316" xr:uid="{A57DF1FF-9DF2-440F-80B0-D90D0746E7BA}"/>
    <cellStyle name="Output" xfId="69" builtinId="21" customBuiltin="1"/>
    <cellStyle name="Output 10" xfId="3317" xr:uid="{CBB1D51C-4A51-4533-8B54-4A9CB8BD2961}"/>
    <cellStyle name="Output 2" xfId="187" xr:uid="{00000000-0005-0000-0000-000016030000}"/>
    <cellStyle name="Output 2 2" xfId="1549" xr:uid="{12332D61-2B52-4831-BDEB-9EB7A1EC4913}"/>
    <cellStyle name="Output 2 2 2" xfId="3082" xr:uid="{DCDC1C11-96FD-4E91-BF2E-D2719E759957}"/>
    <cellStyle name="Output 2 2 2 2" xfId="5456" xr:uid="{D4C744B8-4F27-4527-A920-636BC4162EF9}"/>
    <cellStyle name="Output 2 2 3" xfId="3134" xr:uid="{5B15CAFE-0139-4819-9FB4-2EB9BE49E2F3}"/>
    <cellStyle name="Output 2 2 3 2" xfId="5508" xr:uid="{AE2D56D2-ABCD-48ED-A9A2-35203977C317}"/>
    <cellStyle name="Output 2 2 4" xfId="4133" xr:uid="{DE94FC5B-F13D-44D4-8896-FF53222D5A50}"/>
    <cellStyle name="Output 2 3" xfId="3140" xr:uid="{4C75D20A-9A0C-4A20-85E5-76A759550F36}"/>
    <cellStyle name="Output 2 3 2" xfId="5514" xr:uid="{00AF7FC9-8CF7-4F06-B373-CD30B61A0713}"/>
    <cellStyle name="Output 2 4" xfId="3304" xr:uid="{46995F99-A8C1-4C47-8966-B59D09B1C165}"/>
    <cellStyle name="Output 2 4 2" xfId="5678" xr:uid="{9A5F289F-551B-4BDC-BA59-296E69B92F20}"/>
    <cellStyle name="Output 2 5" xfId="1548" xr:uid="{32837C36-1F56-484A-85CA-6C75B2E2C5DD}"/>
    <cellStyle name="Output 2 5 2" xfId="4132" xr:uid="{16A3633F-F7B1-47B2-AE62-140AA808AB4E}"/>
    <cellStyle name="Output 2 6" xfId="3370" xr:uid="{BAE2167A-AC6B-4DCE-9D82-0F4FC361A60A}"/>
    <cellStyle name="Output 3" xfId="233" xr:uid="{00000000-0005-0000-0000-000017030000}"/>
    <cellStyle name="Output 3 2" xfId="3376" xr:uid="{59AA6366-B6A4-4AE3-A2C4-EB8B910AAB39}"/>
    <cellStyle name="Output 4" xfId="279" xr:uid="{00000000-0005-0000-0000-000018030000}"/>
    <cellStyle name="Output 4 2" xfId="3383" xr:uid="{054C86AC-3002-4984-B767-C6634A32A54F}"/>
    <cellStyle name="Output 5" xfId="328" xr:uid="{00000000-0005-0000-0000-000019030000}"/>
    <cellStyle name="Output 5 2" xfId="3392" xr:uid="{18B54599-EA6F-4DD0-9DE9-C6DF2888D5FB}"/>
    <cellStyle name="Output 6" xfId="392" xr:uid="{00000000-0005-0000-0000-00001A030000}"/>
    <cellStyle name="Output 6 2" xfId="3415" xr:uid="{DB5398E8-DC74-4FAA-B14E-551D74CC7465}"/>
    <cellStyle name="Output 7" xfId="463" xr:uid="{00000000-0005-0000-0000-00001B030000}"/>
    <cellStyle name="Output 7 2" xfId="3446" xr:uid="{7432EEE5-A8D1-4FFB-970F-3DB4B67CB586}"/>
    <cellStyle name="Output 8" xfId="567" xr:uid="{00000000-0005-0000-0000-00001C030000}"/>
    <cellStyle name="Output 8 2" xfId="3504" xr:uid="{19D0B7CE-8134-4C7F-ACFD-CB6AE30E9BC6}"/>
    <cellStyle name="Output 9" xfId="987" xr:uid="{11AA6DC3-C581-4351-9A44-4F69B969AE09}"/>
    <cellStyle name="Percent" xfId="145" builtinId="5"/>
    <cellStyle name="Percent 10" xfId="1550" xr:uid="{D4DAB724-0A52-4A8E-AE02-61CB1B942485}"/>
    <cellStyle name="Percent 11" xfId="1551" xr:uid="{96C15CF8-9C43-4056-94B3-8007305697BC}"/>
    <cellStyle name="Percent 12" xfId="1552" xr:uid="{1C3DFD2B-827F-43B9-8799-31539230043D}"/>
    <cellStyle name="Percent 12 2" xfId="1553" xr:uid="{496127BC-A9D3-4B0E-AEBB-CEE4CAA1E761}"/>
    <cellStyle name="Percent 12 2 2" xfId="1554" xr:uid="{73CBFB8B-5066-4512-973B-651C955D8747}"/>
    <cellStyle name="Percent 12 3" xfId="1555" xr:uid="{B8DAE92C-771A-4418-BA20-0CE3A19594EF}"/>
    <cellStyle name="Percent 13" xfId="1556" xr:uid="{093453F1-3FDC-438B-8AA2-BD42B6A050FC}"/>
    <cellStyle name="Percent 13 2" xfId="1557" xr:uid="{BCE45CC4-3FF4-4087-90A4-D325958D9BBE}"/>
    <cellStyle name="Percent 14" xfId="1558" xr:uid="{088413F3-70D5-4434-9375-DCB005C2F4EF}"/>
    <cellStyle name="Percent 14 2" xfId="1559" xr:uid="{D4C252CE-DDE7-4F90-94BE-16757D141604}"/>
    <cellStyle name="Percent 15" xfId="1560" xr:uid="{F1DE624D-A2A7-4BB8-AF86-3F9E6ABB79D4}"/>
    <cellStyle name="Percent 15 2" xfId="1561" xr:uid="{98EBE407-CDCA-44BF-BBBB-9D9E5E5FD5A0}"/>
    <cellStyle name="Percent 16" xfId="1562" xr:uid="{6A4B7953-9EAE-4C67-8D25-388C24756C53}"/>
    <cellStyle name="Percent 16 2" xfId="1563" xr:uid="{76D0A8B6-D0C6-4C89-84D9-8C5A29DCACB8}"/>
    <cellStyle name="Percent 17" xfId="1564" xr:uid="{264B25C4-BDB1-4AEA-BE63-820037100440}"/>
    <cellStyle name="Percent 18" xfId="1565" xr:uid="{B3E59EF5-A9CF-434F-BB45-B44AAB034452}"/>
    <cellStyle name="Percent 2" xfId="70" xr:uid="{00000000-0005-0000-0000-00001E030000}"/>
    <cellStyle name="Percent 2 2" xfId="71" xr:uid="{00000000-0005-0000-0000-00001F030000}"/>
    <cellStyle name="Percent 2 2 2" xfId="1566" xr:uid="{3BB80B32-5647-4806-A86B-AC6DD6AACD7E}"/>
    <cellStyle name="Percent 2 2 3" xfId="1567" xr:uid="{3140239D-B432-4886-9633-66EEC9D1FA66}"/>
    <cellStyle name="Percent 2 2 4" xfId="1568" xr:uid="{341C110B-7E75-40E8-B154-D43BF167E460}"/>
    <cellStyle name="Percent 2 3" xfId="1569" xr:uid="{42F3B543-A991-431F-827E-CE56533D98F1}"/>
    <cellStyle name="Percent 2 3 2" xfId="1570" xr:uid="{1762FFA0-0BC1-4D99-A42C-1236A45D2EFD}"/>
    <cellStyle name="Percent 2 3 2 2" xfId="1571" xr:uid="{C79EB223-5805-426C-BB35-7706E5F7597B}"/>
    <cellStyle name="Percent 2 3 3" xfId="1572" xr:uid="{14113FDF-0D0A-4991-87B9-61C0A751C36B}"/>
    <cellStyle name="Percent 2 3 3 2" xfId="1573" xr:uid="{296DB058-A12A-4D86-BCD4-6A01A94CF388}"/>
    <cellStyle name="Percent 2 4" xfId="1574" xr:uid="{FCB857C3-51DD-4BEB-9E4A-1A73B4A2C531}"/>
    <cellStyle name="Percent 2 5" xfId="1575" xr:uid="{BCF03A6B-E5C7-44CA-AD3D-01456C3F2080}"/>
    <cellStyle name="Percent 2 6" xfId="1576" xr:uid="{3EFA2C8F-4E21-4BC9-B66E-B994FF7AB4FD}"/>
    <cellStyle name="Percent 2 7" xfId="1577" xr:uid="{6CFF4594-FD1E-46BC-BC49-74118D216CDB}"/>
    <cellStyle name="Percent 3" xfId="191" xr:uid="{00000000-0005-0000-0000-000020030000}"/>
    <cellStyle name="Percent 3 10" xfId="2565" xr:uid="{C78B9181-CB62-4D64-B701-D49EE1F9C918}"/>
    <cellStyle name="Percent 3 10 2" xfId="5000" xr:uid="{3CDC7995-77B5-49DC-B5AB-04AE36380683}"/>
    <cellStyle name="Percent 3 11" xfId="1578" xr:uid="{B88823E0-EA18-4E24-9830-B3B396632CA9}"/>
    <cellStyle name="Percent 3 11 2" xfId="4134" xr:uid="{54537BF8-1E4F-473C-A877-EB3085990C35}"/>
    <cellStyle name="Percent 3 2" xfId="1579" xr:uid="{999F96B5-2D6E-41B4-9734-419FAB92BD08}"/>
    <cellStyle name="Percent 3 3" xfId="1580" xr:uid="{2402D017-3F67-4BEB-B220-B9D90D240FBF}"/>
    <cellStyle name="Percent 3 4" xfId="1581" xr:uid="{E67718D6-67A6-4F3A-9DB3-4927D2C9BCAE}"/>
    <cellStyle name="Percent 3 5" xfId="1582" xr:uid="{4899E5ED-BC0C-408D-8CF5-7EB4169D4511}"/>
    <cellStyle name="Percent 3 6" xfId="1583" xr:uid="{0A25B061-394A-4B6F-8AED-4E869DB1CB9E}"/>
    <cellStyle name="Percent 3 7" xfId="1584" xr:uid="{0A63A3A5-9DBA-46BB-B317-E2274C733E7A}"/>
    <cellStyle name="Percent 3 7 2" xfId="1976" xr:uid="{92B89357-DFC8-4944-A889-0C99E39A4CCE}"/>
    <cellStyle name="Percent 3 7 2 2" xfId="2814" xr:uid="{EB7CC9A9-80E7-407E-A512-D5B423597609}"/>
    <cellStyle name="Percent 3 7 2 2 2" xfId="5249" xr:uid="{BA5286C2-C26E-45D0-9B67-8EDA42308595}"/>
    <cellStyle name="Percent 3 7 2 3" xfId="4493" xr:uid="{F9453441-6C11-4430-B033-5B0C4814E830}"/>
    <cellStyle name="Percent 3 7 3" xfId="2566" xr:uid="{31451742-7DC6-435C-B8B5-0303B32A3B89}"/>
    <cellStyle name="Percent 3 7 3 2" xfId="5001" xr:uid="{4059C6FB-9602-4D2C-A5F0-527EC38031B0}"/>
    <cellStyle name="Percent 3 7 4" xfId="4135" xr:uid="{5406BE76-76F4-4525-B47C-1F2AF98C990C}"/>
    <cellStyle name="Percent 3 8" xfId="1806" xr:uid="{20162927-A4C9-4D3E-BAC6-B316ADBBD940}"/>
    <cellStyle name="Percent 3 8 2" xfId="2644" xr:uid="{893CFA10-C85B-43C7-B2EA-6520240172C9}"/>
    <cellStyle name="Percent 3 8 2 2" xfId="5079" xr:uid="{E46F3D6C-6071-4543-BFDD-596224B7EF33}"/>
    <cellStyle name="Percent 3 8 3" xfId="4323" xr:uid="{F7E19EFC-333A-497F-A843-11FD33B6E3CB}"/>
    <cellStyle name="Percent 3 9" xfId="2215" xr:uid="{DEB76B9B-C753-4465-B22D-0DFE2C6F6013}"/>
    <cellStyle name="Percent 3 9 2" xfId="4705" xr:uid="{9E070AE3-5D4C-45F8-89D9-A29E4DF486ED}"/>
    <cellStyle name="Percent 4" xfId="237" xr:uid="{00000000-0005-0000-0000-000021030000}"/>
    <cellStyle name="Percent 4 2" xfId="1586" xr:uid="{E845FFA4-9F7A-4B13-A76E-E1DA8DDB8BF0}"/>
    <cellStyle name="Percent 4 3" xfId="1587" xr:uid="{65A582C6-7ABD-4D83-A7D2-DB14811CF821}"/>
    <cellStyle name="Percent 4 3 2" xfId="1588" xr:uid="{88B2A3E9-270C-4E66-A923-27A996B2E20C}"/>
    <cellStyle name="Percent 4 4" xfId="1589" xr:uid="{2A3ED891-65B2-4ABD-AA44-53F2E393EEE0}"/>
    <cellStyle name="Percent 4 5" xfId="1585" xr:uid="{A7C45049-355A-4F2B-94DF-3A477E616705}"/>
    <cellStyle name="Percent 5" xfId="283" xr:uid="{00000000-0005-0000-0000-000022030000}"/>
    <cellStyle name="Percent 5 2" xfId="1591" xr:uid="{1047F16F-B11C-42DF-B940-B3DD631E10F7}"/>
    <cellStyle name="Percent 5 3" xfId="1590" xr:uid="{86EDFBF1-C033-44B2-B06D-D72CF190409F}"/>
    <cellStyle name="Percent 6" xfId="332" xr:uid="{00000000-0005-0000-0000-000023030000}"/>
    <cellStyle name="Percent 6 2" xfId="1592" xr:uid="{4BE2B2F8-FDD8-43D9-8E57-A5FB435B64DC}"/>
    <cellStyle name="Percent 7" xfId="396" xr:uid="{00000000-0005-0000-0000-000024030000}"/>
    <cellStyle name="Percent 7 2" xfId="1593" xr:uid="{B81E2ED5-C055-4176-BA1D-50A910B3D2A3}"/>
    <cellStyle name="Percent 8" xfId="467" xr:uid="{00000000-0005-0000-0000-000025030000}"/>
    <cellStyle name="Percent 8 2" xfId="1594" xr:uid="{B4D578DB-71B3-4788-988D-28411C0B2491}"/>
    <cellStyle name="Percent 9" xfId="571" xr:uid="{00000000-0005-0000-0000-000026030000}"/>
    <cellStyle name="Percent 9 2" xfId="1595" xr:uid="{B103B797-D880-487F-B144-E6FF9F61D911}"/>
    <cellStyle name="Percent 9 2 2" xfId="1596" xr:uid="{1723523E-9338-4974-B02A-FD6AC26F7DEF}"/>
    <cellStyle name="Percent 9 3" xfId="1597" xr:uid="{18F2D73E-10B7-4342-AB35-9BA5E880F549}"/>
    <cellStyle name="SAPBEXaggData" xfId="72" xr:uid="{00000000-0005-0000-0000-000027030000}"/>
    <cellStyle name="SAPBEXaggData 2" xfId="1599" xr:uid="{8246A67F-2A2E-4183-A796-E0211397F995}"/>
    <cellStyle name="SAPBEXaggData 2 2" xfId="1600" xr:uid="{D598F2F7-2BC3-4315-B0EA-FB2B2CB63970}"/>
    <cellStyle name="SAPBEXaggData 2 2 2" xfId="1601" xr:uid="{A928C33D-E4B1-4272-A26E-29EAD33D305B}"/>
    <cellStyle name="SAPBEXaggData 2 2 2 2" xfId="3110" xr:uid="{F00A338C-4D75-4652-B483-FB53E17E402C}"/>
    <cellStyle name="SAPBEXaggData 2 2 2 2 2" xfId="5484" xr:uid="{DBE70EDC-47E1-4687-9061-BBE5C4816D37}"/>
    <cellStyle name="SAPBEXaggData 2 2 2 3" xfId="3191" xr:uid="{52A4C16A-2013-4D9A-A647-047877D1DE65}"/>
    <cellStyle name="SAPBEXaggData 2 2 2 3 2" xfId="5565" xr:uid="{BFBB723A-B761-4FFE-928A-2E3C443D2683}"/>
    <cellStyle name="SAPBEXaggData 2 2 2 4" xfId="4139" xr:uid="{4F266409-3C0E-454B-B0D6-B8F29F36B483}"/>
    <cellStyle name="SAPBEXaggData 2 2 3" xfId="3070" xr:uid="{13B672F4-90F9-412C-BD17-1BA21522297F}"/>
    <cellStyle name="SAPBEXaggData 2 2 3 2" xfId="5444" xr:uid="{65192020-07B6-4D1D-A72D-525C54A91E20}"/>
    <cellStyle name="SAPBEXaggData 2 2 4" xfId="3103" xr:uid="{DF52D1D5-9E00-4C7E-8FEF-C0C6E9D7BEF9}"/>
    <cellStyle name="SAPBEXaggData 2 2 4 2" xfId="5477" xr:uid="{F483D353-B1BB-4EF3-BB8A-ECF612A0E987}"/>
    <cellStyle name="SAPBEXaggData 2 2 5" xfId="4138" xr:uid="{EB642C2F-5076-477A-97E5-47B9DFDEE99E}"/>
    <cellStyle name="SAPBEXaggData 2 3" xfId="1602" xr:uid="{500FFBCD-24C1-458B-9F59-B59DAF1DAE96}"/>
    <cellStyle name="SAPBEXaggData 2 3 2" xfId="3273" xr:uid="{F4229EF9-3DD2-4F90-8C8C-90C0CDEBFD49}"/>
    <cellStyle name="SAPBEXaggData 2 3 2 2" xfId="5647" xr:uid="{7009EA8F-71D5-4055-85C3-6C2F63768DF9}"/>
    <cellStyle name="SAPBEXaggData 2 3 3" xfId="3293" xr:uid="{6BB1E32A-778B-4B86-8D88-B9C2B0D402CA}"/>
    <cellStyle name="SAPBEXaggData 2 3 3 2" xfId="5667" xr:uid="{F2B05211-4A1B-4136-BDEC-DCD9D6CF7C4E}"/>
    <cellStyle name="SAPBEXaggData 2 3 4" xfId="4140" xr:uid="{D9DA38A4-E8CC-43CD-A684-79178C3A5A46}"/>
    <cellStyle name="SAPBEXaggData 2 4" xfId="3287" xr:uid="{6CFF288F-39BB-434A-8C98-2805E73512EE}"/>
    <cellStyle name="SAPBEXaggData 2 4 2" xfId="5661" xr:uid="{DEAAA1D5-1179-4A19-8CCB-201A61EE22AB}"/>
    <cellStyle name="SAPBEXaggData 2 5" xfId="3206" xr:uid="{644FED61-BA6B-4A5E-AA33-6205814F5D8F}"/>
    <cellStyle name="SAPBEXaggData 2 5 2" xfId="5580" xr:uid="{9DBDE194-0D4B-4B47-A15A-093BFABE871B}"/>
    <cellStyle name="SAPBEXaggData 2 6" xfId="4137" xr:uid="{023123F2-D554-413C-984E-644933CF42A0}"/>
    <cellStyle name="SAPBEXaggData 3" xfId="3245" xr:uid="{728242AD-8B5D-4E50-BBB5-B065C83FF2EE}"/>
    <cellStyle name="SAPBEXaggData 3 2" xfId="5619" xr:uid="{84766C5C-B799-45B9-8F0A-9F842BA30F89}"/>
    <cellStyle name="SAPBEXaggData 4" xfId="3201" xr:uid="{A77C71DD-4570-4BAC-9C05-724CB39E2C5E}"/>
    <cellStyle name="SAPBEXaggData 4 2" xfId="5575" xr:uid="{1A6B2210-328F-4D79-A842-641DFC43E3FA}"/>
    <cellStyle name="SAPBEXaggData 5" xfId="1598" xr:uid="{E1FF5564-FEF7-4C2A-9B27-BBAE215AFEFF}"/>
    <cellStyle name="SAPBEXaggData 5 2" xfId="4136" xr:uid="{F7A6A2A7-C3E2-4725-AE5C-6736EB5069F5}"/>
    <cellStyle name="SAPBEXaggData 6" xfId="3318" xr:uid="{A1A3278E-9E35-4E74-9D0D-25C38B42A77C}"/>
    <cellStyle name="SAPBEXaggDataEmph" xfId="73" xr:uid="{00000000-0005-0000-0000-000028030000}"/>
    <cellStyle name="SAPBEXaggDataEmph 2" xfId="1604" xr:uid="{C041ED9C-9F28-4468-B5C1-72D22BA10D02}"/>
    <cellStyle name="SAPBEXaggDataEmph 2 2" xfId="3190" xr:uid="{C46E27BB-C29E-48C2-868A-A6DAA4F6D3C0}"/>
    <cellStyle name="SAPBEXaggDataEmph 2 2 2" xfId="5564" xr:uid="{844CB2D9-1EE6-4817-BB36-D769C731DFF0}"/>
    <cellStyle name="SAPBEXaggDataEmph 2 3" xfId="3192" xr:uid="{28E75EBD-981B-4129-AF7C-B29C2D926D14}"/>
    <cellStyle name="SAPBEXaggDataEmph 2 3 2" xfId="5566" xr:uid="{F97D6117-ABE4-4BAF-B5F7-AB2499AB0109}"/>
    <cellStyle name="SAPBEXaggDataEmph 2 4" xfId="4142" xr:uid="{0DC72068-C25E-4E3C-9251-6C15159176D7}"/>
    <cellStyle name="SAPBEXaggDataEmph 3" xfId="3099" xr:uid="{C7C2DC3E-DA4E-49E4-B079-0049D0BC31C3}"/>
    <cellStyle name="SAPBEXaggDataEmph 3 2" xfId="5473" xr:uid="{A73ECF67-2D64-4138-B95C-A4086A07E8DB}"/>
    <cellStyle name="SAPBEXaggDataEmph 4" xfId="3049" xr:uid="{7BA57EA1-81D4-4E58-8420-89E45FC00D4D}"/>
    <cellStyle name="SAPBEXaggDataEmph 4 2" xfId="5423" xr:uid="{011434C3-E39E-441B-BB67-47F30F550629}"/>
    <cellStyle name="SAPBEXaggDataEmph 5" xfId="1603" xr:uid="{881C820C-6178-48F3-8E60-54F1F6C97600}"/>
    <cellStyle name="SAPBEXaggDataEmph 5 2" xfId="4141" xr:uid="{0F7DEEB8-A957-4B2A-B49F-EE0767B7FD5E}"/>
    <cellStyle name="SAPBEXaggDataEmph 6" xfId="3319" xr:uid="{46A96FB7-8A79-4D24-8975-823AC9262E59}"/>
    <cellStyle name="SAPBEXaggItem" xfId="74" xr:uid="{00000000-0005-0000-0000-000029030000}"/>
    <cellStyle name="SAPBEXaggItem 2" xfId="1606" xr:uid="{7BFCD200-A5E0-4675-ACF8-F6B9DA2DE596}"/>
    <cellStyle name="SAPBEXaggItem 2 2" xfId="1607" xr:uid="{E655ACAC-0E18-4853-A15C-1BC8852DACB6}"/>
    <cellStyle name="SAPBEXaggItem 2 2 2" xfId="3195" xr:uid="{42BED1E7-B47C-4E0F-A1FB-F12223F5957D}"/>
    <cellStyle name="SAPBEXaggItem 2 2 2 2" xfId="5569" xr:uid="{DBE799E3-ADBC-4E79-BA70-C050A26E8879}"/>
    <cellStyle name="SAPBEXaggItem 2 2 3" xfId="3275" xr:uid="{52BC7399-2DCD-43D4-96B1-2DD8659D8774}"/>
    <cellStyle name="SAPBEXaggItem 2 2 3 2" xfId="5649" xr:uid="{E420124E-4610-4233-8B29-59EDF2680EB2}"/>
    <cellStyle name="SAPBEXaggItem 2 2 4" xfId="4145" xr:uid="{5C29070E-F1E8-490C-8847-3F8DF5547EEF}"/>
    <cellStyle name="SAPBEXaggItem 2 3" xfId="1608" xr:uid="{0D70B0D1-0AB2-4DCD-BBBD-EEF863038142}"/>
    <cellStyle name="SAPBEXaggItem 2 3 2" xfId="3119" xr:uid="{96313354-8F6E-4030-A465-08A04381CA26}"/>
    <cellStyle name="SAPBEXaggItem 2 3 2 2" xfId="5493" xr:uid="{FA8070C6-6E1B-4F25-AE36-17DEAA1350BB}"/>
    <cellStyle name="SAPBEXaggItem 2 3 3" xfId="3218" xr:uid="{52A69C1D-CF43-4B46-AE33-262E1E8B76AB}"/>
    <cellStyle name="SAPBEXaggItem 2 3 3 2" xfId="5592" xr:uid="{29D4EF10-01B4-43F7-81D5-5B10C58610FC}"/>
    <cellStyle name="SAPBEXaggItem 2 3 4" xfId="4146" xr:uid="{1C368E5E-B80E-42CE-A288-3FDA046728A1}"/>
    <cellStyle name="SAPBEXaggItem 2 4" xfId="3286" xr:uid="{90EB2062-5725-4275-9176-EA15E68E4BD0}"/>
    <cellStyle name="SAPBEXaggItem 2 4 2" xfId="5660" xr:uid="{FA9EE14D-2338-4AE3-AA21-DB940E6ED584}"/>
    <cellStyle name="SAPBEXaggItem 2 5" xfId="3288" xr:uid="{6146BE98-F930-40D7-83DD-818D855143CE}"/>
    <cellStyle name="SAPBEXaggItem 2 5 2" xfId="5662" xr:uid="{8B3F4782-086B-479B-BAEA-3420964B4F35}"/>
    <cellStyle name="SAPBEXaggItem 2 6" xfId="4144" xr:uid="{9D1AC21F-57AB-485F-B393-25A843DF3014}"/>
    <cellStyle name="SAPBEXaggItem 3" xfId="3128" xr:uid="{832246E8-D2F0-4761-9E6F-60BDD76BE216}"/>
    <cellStyle name="SAPBEXaggItem 3 2" xfId="5502" xr:uid="{B57EF528-8F46-41E2-A79D-6C9E289E450D}"/>
    <cellStyle name="SAPBEXaggItem 4" xfId="3126" xr:uid="{F26EE3E6-78C9-4121-AE8A-C4A698B326F1}"/>
    <cellStyle name="SAPBEXaggItem 4 2" xfId="5500" xr:uid="{973FFD63-A2BF-457D-B5FA-7A55097211B9}"/>
    <cellStyle name="SAPBEXaggItem 5" xfId="1605" xr:uid="{56610863-AF68-4AE6-BF11-A4BD265899BB}"/>
    <cellStyle name="SAPBEXaggItem 5 2" xfId="4143" xr:uid="{CA9C29E7-39D9-452F-9A08-5888D95BF865}"/>
    <cellStyle name="SAPBEXaggItem 6" xfId="3320" xr:uid="{6545D050-61C3-41DF-BAD4-880E28702F82}"/>
    <cellStyle name="SAPBEXaggItemX" xfId="75" xr:uid="{00000000-0005-0000-0000-00002A030000}"/>
    <cellStyle name="SAPBEXaggItemX 2" xfId="925" xr:uid="{94140530-6253-443E-BEEF-2F6537F93C3D}"/>
    <cellStyle name="SAPBEXaggItemX 2 2" xfId="3059" xr:uid="{E1E2A984-7B7E-4BF0-914F-0E0475E4691D}"/>
    <cellStyle name="SAPBEXaggItemX 2 2 2" xfId="5433" xr:uid="{E0C5529B-3CE8-4559-9B41-9C76E399B148}"/>
    <cellStyle name="SAPBEXaggItemX 2 3" xfId="3292" xr:uid="{8C7FE456-BCBD-40C2-9D1E-07210A2B7076}"/>
    <cellStyle name="SAPBEXaggItemX 2 3 2" xfId="5666" xr:uid="{A805003E-4087-4830-B8EA-9CA32375D000}"/>
    <cellStyle name="SAPBEXaggItemX 2 4" xfId="1610" xr:uid="{79F2AB99-60C5-4453-812C-D9484583766E}"/>
    <cellStyle name="SAPBEXaggItemX 2 4 2" xfId="4148" xr:uid="{B0F65E54-90AE-4EBC-B81E-2A8963630F80}"/>
    <cellStyle name="SAPBEXaggItemX 2 5" xfId="3829" xr:uid="{4B00D63F-371D-4C3A-B16B-3B5E2D0DB7EB}"/>
    <cellStyle name="SAPBEXaggItemX 3" xfId="3256" xr:uid="{BEAAB0CF-0165-445B-ACC7-D34A21FE21D0}"/>
    <cellStyle name="SAPBEXaggItemX 3 2" xfId="5630" xr:uid="{45AF94A7-A16A-4178-9C6D-52F05B31EE56}"/>
    <cellStyle name="SAPBEXaggItemX 4" xfId="3055" xr:uid="{A311F2D3-7405-4FC7-B9CA-0078AD4F458D}"/>
    <cellStyle name="SAPBEXaggItemX 4 2" xfId="5429" xr:uid="{3B8F74AF-85B7-4747-993A-11DAA99F0030}"/>
    <cellStyle name="SAPBEXaggItemX 5" xfId="1609" xr:uid="{FF30BE45-0C67-4CD2-9708-14B84A38B8C2}"/>
    <cellStyle name="SAPBEXaggItemX 5 2" xfId="4147" xr:uid="{CF56A25A-D487-49EA-9176-70A567EDAA9A}"/>
    <cellStyle name="SAPBEXaggItemX 6" xfId="3321" xr:uid="{C764CD59-E567-4474-95F6-6FB115264233}"/>
    <cellStyle name="SAPBEXchaText" xfId="76" xr:uid="{00000000-0005-0000-0000-00002B030000}"/>
    <cellStyle name="SAPBEXchaText 2" xfId="1612" xr:uid="{84FB8BC1-2706-46F0-A936-B722561534E7}"/>
    <cellStyle name="SAPBEXchaText 2 2" xfId="1613" xr:uid="{D21F7AEE-D36A-4319-ACC4-58BC7C887E37}"/>
    <cellStyle name="SAPBEXchaText 2 2 2" xfId="3089" xr:uid="{7AE4E3BE-5910-4127-8673-A5C841D7D275}"/>
    <cellStyle name="SAPBEXchaText 2 2 2 2" xfId="5463" xr:uid="{77D4952D-97AD-4E5C-9A91-CCD344A2CFBC}"/>
    <cellStyle name="SAPBEXchaText 2 2 3" xfId="3149" xr:uid="{18AE778D-965A-4980-9673-7706BC315CC5}"/>
    <cellStyle name="SAPBEXchaText 2 2 3 2" xfId="5523" xr:uid="{F9ADA6E4-4AA7-49B2-B814-247486CEF7D9}"/>
    <cellStyle name="SAPBEXchaText 2 2 4" xfId="4151" xr:uid="{8EE5AA18-5DC0-47E7-B707-AD76953C8CF0}"/>
    <cellStyle name="SAPBEXchaText 2 3" xfId="1614" xr:uid="{8FFE5D26-7913-4563-8BE2-5527E54DD550}"/>
    <cellStyle name="SAPBEXchaText 2 3 2" xfId="3177" xr:uid="{33E7CD87-A4DB-466A-9CAC-C5297343D0DD}"/>
    <cellStyle name="SAPBEXchaText 2 3 2 2" xfId="5551" xr:uid="{867AD6F0-1A2B-4DA2-A081-F51D36FF9367}"/>
    <cellStyle name="SAPBEXchaText 2 3 3" xfId="3135" xr:uid="{9A8C1388-A755-45A6-912B-457B4D74FAF8}"/>
    <cellStyle name="SAPBEXchaText 2 3 3 2" xfId="5509" xr:uid="{FD04C7DC-A1F2-4BA0-9128-44A4F88A1457}"/>
    <cellStyle name="SAPBEXchaText 2 3 4" xfId="4152" xr:uid="{09FABA00-C27F-42D7-A19B-14BA5800A1D4}"/>
    <cellStyle name="SAPBEXchaText 2 4" xfId="3183" xr:uid="{2B17602C-0541-4D71-94D4-150C8794DA3D}"/>
    <cellStyle name="SAPBEXchaText 2 4 2" xfId="5557" xr:uid="{6AF9C5DC-8C15-4A69-AB35-07BE80B27894}"/>
    <cellStyle name="SAPBEXchaText 2 5" xfId="3166" xr:uid="{39AEFDB2-3B1C-4232-A2C4-572257BD3634}"/>
    <cellStyle name="SAPBEXchaText 2 5 2" xfId="5540" xr:uid="{4D538514-9A55-49D0-8797-7503CCA045FE}"/>
    <cellStyle name="SAPBEXchaText 2 6" xfId="4150" xr:uid="{B1F53302-C89F-41DB-A6A2-3CE5DFECC3CC}"/>
    <cellStyle name="SAPBEXchaText 3" xfId="3200" xr:uid="{98A03DA7-1924-4C0F-8EB3-A9254319D46B}"/>
    <cellStyle name="SAPBEXchaText 3 2" xfId="5574" xr:uid="{311822A1-E793-4B88-BDF9-827BC9709DC1}"/>
    <cellStyle name="SAPBEXchaText 4" xfId="3153" xr:uid="{06A7AF2E-BCE0-4615-BAF0-79F94D6EC11B}"/>
    <cellStyle name="SAPBEXchaText 4 2" xfId="5527" xr:uid="{7AE3AE90-87E4-40B3-B6E6-00B248463BB5}"/>
    <cellStyle name="SAPBEXchaText 5" xfId="1611" xr:uid="{A97E2B4A-7B68-4429-9D31-5E2783B1DFCD}"/>
    <cellStyle name="SAPBEXchaText 5 2" xfId="4149" xr:uid="{15A715FD-D5C5-444B-8AC9-394851DA9B05}"/>
    <cellStyle name="SAPBEXchaText_BW Data" xfId="1615" xr:uid="{7FFAB1AD-AA1B-4BF8-BB16-DBD9B148D02D}"/>
    <cellStyle name="SAPBEXexcBad7" xfId="77" xr:uid="{00000000-0005-0000-0000-00002C030000}"/>
    <cellStyle name="SAPBEXexcBad7 2" xfId="128" xr:uid="{00000000-0005-0000-0000-00002D030000}"/>
    <cellStyle name="SAPBEXexcBad7 2 2" xfId="1618" xr:uid="{DD63D90E-9B66-4028-97E9-A8746000F7B5}"/>
    <cellStyle name="SAPBEXexcBad7 2 2 2" xfId="3173" xr:uid="{CEFA27C0-CE54-4660-B23E-7EC6EB3A3EEB}"/>
    <cellStyle name="SAPBEXexcBad7 2 2 2 2" xfId="5547" xr:uid="{7411AE61-FC7B-48E9-B0BC-D46F5DC07A61}"/>
    <cellStyle name="SAPBEXexcBad7 2 2 3" xfId="3133" xr:uid="{8AB29BB9-2152-49A9-A6A8-0DD25EF6B026}"/>
    <cellStyle name="SAPBEXexcBad7 2 2 3 2" xfId="5507" xr:uid="{61B90D7C-DF2B-45EC-86D5-120C7FF2775A}"/>
    <cellStyle name="SAPBEXexcBad7 2 2 4" xfId="4155" xr:uid="{9D6E77E2-30C0-40C1-BA1D-345C96F9CF44}"/>
    <cellStyle name="SAPBEXexcBad7 2 3" xfId="1619" xr:uid="{B440BB55-A191-412F-ABD4-6DA0F247668A}"/>
    <cellStyle name="SAPBEXexcBad7 2 3 2" xfId="3176" xr:uid="{E6138790-1B52-4FC8-B7BA-72F0D822A019}"/>
    <cellStyle name="SAPBEXexcBad7 2 3 2 2" xfId="5550" xr:uid="{70BE522E-8A45-4DAC-A3EE-4915A67F9144}"/>
    <cellStyle name="SAPBEXexcBad7 2 3 3" xfId="3291" xr:uid="{A3A266D0-C75B-42AF-823E-465BEB283F26}"/>
    <cellStyle name="SAPBEXexcBad7 2 3 3 2" xfId="5665" xr:uid="{60955CC2-D649-4D2D-AA09-4D2FF2E821E7}"/>
    <cellStyle name="SAPBEXexcBad7 2 3 4" xfId="4156" xr:uid="{987077A3-10D1-42B4-9A63-B0F637CD92FE}"/>
    <cellStyle name="SAPBEXexcBad7 2 4" xfId="3260" xr:uid="{27F249D8-5F00-40F1-87E3-C3300D3D2620}"/>
    <cellStyle name="SAPBEXexcBad7 2 4 2" xfId="5634" xr:uid="{0EB3FBF2-891A-40E5-A74D-0791191C6F48}"/>
    <cellStyle name="SAPBEXexcBad7 2 5" xfId="3272" xr:uid="{C0A00A8B-00F3-4202-B398-6491A2BE9DD7}"/>
    <cellStyle name="SAPBEXexcBad7 2 5 2" xfId="5646" xr:uid="{95BAFCD6-3C36-4E04-B826-56876F7D4221}"/>
    <cellStyle name="SAPBEXexcBad7 2 6" xfId="1617" xr:uid="{11C11065-CC76-433C-B359-D6C2715CC790}"/>
    <cellStyle name="SAPBEXexcBad7 2 6 2" xfId="4154" xr:uid="{33493737-0BDA-4A08-BAC2-855059C49793}"/>
    <cellStyle name="SAPBEXexcBad7 2 7" xfId="3350" xr:uid="{DB8192A9-36DA-4E21-B9D6-0EB98F93B140}"/>
    <cellStyle name="SAPBEXexcBad7 3" xfId="3211" xr:uid="{F3C8E92E-8819-4743-BCE1-0AD817F7E52E}"/>
    <cellStyle name="SAPBEXexcBad7 3 2" xfId="5585" xr:uid="{D83B2F63-A4D9-4A4D-B4BD-92F41DDA1AB5}"/>
    <cellStyle name="SAPBEXexcBad7 4" xfId="3088" xr:uid="{7A13A822-974D-4F2D-84C1-7207B518D1F4}"/>
    <cellStyle name="SAPBEXexcBad7 4 2" xfId="5462" xr:uid="{497401D4-B6F1-4A06-8A07-E8417FDE595A}"/>
    <cellStyle name="SAPBEXexcBad7 5" xfId="1616" xr:uid="{3A61B751-877F-441F-B6DC-F467DDD1AD75}"/>
    <cellStyle name="SAPBEXexcBad7 5 2" xfId="4153" xr:uid="{DEC08A06-B179-4047-89B8-420D1DDA9E84}"/>
    <cellStyle name="SAPBEXexcBad7 6" xfId="3322" xr:uid="{CF411293-02E2-4A9F-9C7C-58FE16E4684F}"/>
    <cellStyle name="SAPBEXexcBad8" xfId="78" xr:uid="{00000000-0005-0000-0000-00002E030000}"/>
    <cellStyle name="SAPBEXexcBad8 2" xfId="129" xr:uid="{00000000-0005-0000-0000-00002F030000}"/>
    <cellStyle name="SAPBEXexcBad8 2 2" xfId="1622" xr:uid="{13380745-8945-4C2C-834F-4F345A49BDA1}"/>
    <cellStyle name="SAPBEXexcBad8 2 2 2" xfId="3175" xr:uid="{643C3F85-DEC1-4961-AE16-30B86F2BFDBA}"/>
    <cellStyle name="SAPBEXexcBad8 2 2 2 2" xfId="5549" xr:uid="{B1ABA2D2-93C2-40AE-AAAB-386D2535201F}"/>
    <cellStyle name="SAPBEXexcBad8 2 2 3" xfId="3178" xr:uid="{2F09CD3F-CCCF-4864-AEA1-8FD637D63063}"/>
    <cellStyle name="SAPBEXexcBad8 2 2 3 2" xfId="5552" xr:uid="{F6FD215B-1C99-4C6B-A384-BD9CBBFB678D}"/>
    <cellStyle name="SAPBEXexcBad8 2 2 4" xfId="4159" xr:uid="{7E807083-A3A4-419E-BB19-73B9EA627026}"/>
    <cellStyle name="SAPBEXexcBad8 2 3" xfId="1623" xr:uid="{F07D32CC-997D-4CCD-8AB5-D8E1AE1FF1F3}"/>
    <cellStyle name="SAPBEXexcBad8 2 3 2" xfId="3255" xr:uid="{2D5676DF-AD12-4C52-AD2E-5035FD2CA0CB}"/>
    <cellStyle name="SAPBEXexcBad8 2 3 2 2" xfId="5629" xr:uid="{412FD524-FACE-4FF5-BF2C-AA44D9CD2504}"/>
    <cellStyle name="SAPBEXexcBad8 2 3 3" xfId="3122" xr:uid="{23BDE68F-7F44-416C-A9DA-B39651F352B0}"/>
    <cellStyle name="SAPBEXexcBad8 2 3 3 2" xfId="5496" xr:uid="{013D7F11-DD6B-41FE-8763-6C02AD668650}"/>
    <cellStyle name="SAPBEXexcBad8 2 3 4" xfId="4160" xr:uid="{C45F7CBD-23B9-4222-BDE8-7453E0E27361}"/>
    <cellStyle name="SAPBEXexcBad8 2 4" xfId="3263" xr:uid="{DF67F1D5-9768-4AF7-B64D-74F16281090B}"/>
    <cellStyle name="SAPBEXexcBad8 2 4 2" xfId="5637" xr:uid="{3083C649-65AB-4DA9-9307-939AADAC22A5}"/>
    <cellStyle name="SAPBEXexcBad8 2 5" xfId="3232" xr:uid="{84D2290F-C3A7-4364-8181-AFC6E88EEE71}"/>
    <cellStyle name="SAPBEXexcBad8 2 5 2" xfId="5606" xr:uid="{12467F6E-DC0A-44C9-B612-F058855E9F81}"/>
    <cellStyle name="SAPBEXexcBad8 2 6" xfId="1621" xr:uid="{2CBC5F18-CC01-441A-9BA4-8850DE3C6A63}"/>
    <cellStyle name="SAPBEXexcBad8 2 6 2" xfId="4158" xr:uid="{6E09DA94-3012-4858-A32B-B828EC76228B}"/>
    <cellStyle name="SAPBEXexcBad8 2 7" xfId="3351" xr:uid="{5AC8E919-2FB5-47CA-953D-28E1A82BFA7A}"/>
    <cellStyle name="SAPBEXexcBad8 3" xfId="3093" xr:uid="{B5F4DB96-7581-421F-BE09-085EC0F0D422}"/>
    <cellStyle name="SAPBEXexcBad8 3 2" xfId="5467" xr:uid="{AB9F3F85-6717-404E-9875-02F0A013653A}"/>
    <cellStyle name="SAPBEXexcBad8 4" xfId="3253" xr:uid="{7F53D327-E6AA-414E-AF67-41CB62F1C57F}"/>
    <cellStyle name="SAPBEXexcBad8 4 2" xfId="5627" xr:uid="{0B5C0A8A-124B-4077-AF1D-FF727237990B}"/>
    <cellStyle name="SAPBEXexcBad8 5" xfId="1620" xr:uid="{7C76A88E-D8F6-437D-B967-FD0321CF2DFC}"/>
    <cellStyle name="SAPBEXexcBad8 5 2" xfId="4157" xr:uid="{C7DAA98C-638B-4F5E-854D-B0AA4EFEF9D0}"/>
    <cellStyle name="SAPBEXexcBad8 6" xfId="3323" xr:uid="{932EE967-FEE0-42A3-90CF-FF69D8228312}"/>
    <cellStyle name="SAPBEXexcBad9" xfId="79" xr:uid="{00000000-0005-0000-0000-000030030000}"/>
    <cellStyle name="SAPBEXexcBad9 2" xfId="130" xr:uid="{00000000-0005-0000-0000-000031030000}"/>
    <cellStyle name="SAPBEXexcBad9 2 2" xfId="1626" xr:uid="{5C4F350D-CCC4-4BF2-986B-FC6598C20584}"/>
    <cellStyle name="SAPBEXexcBad9 2 2 2" xfId="3171" xr:uid="{3929BEA3-AE48-4168-8238-62625FB0BBE2}"/>
    <cellStyle name="SAPBEXexcBad9 2 2 2 2" xfId="5545" xr:uid="{A5417E88-A30B-413D-A8B3-14F7CCDB3C68}"/>
    <cellStyle name="SAPBEXexcBad9 2 2 3" xfId="3220" xr:uid="{C9BBD975-B4ED-4AAF-A4D0-99B1B2C50227}"/>
    <cellStyle name="SAPBEXexcBad9 2 2 3 2" xfId="5594" xr:uid="{86A2F71A-CF4F-4512-BA03-47522EF046CB}"/>
    <cellStyle name="SAPBEXexcBad9 2 2 4" xfId="4163" xr:uid="{8C46B01D-ED6E-43EB-8CDB-B9B63F16EE92}"/>
    <cellStyle name="SAPBEXexcBad9 2 3" xfId="1627" xr:uid="{B02961CA-EFCB-4875-AFAE-C08457194207}"/>
    <cellStyle name="SAPBEXexcBad9 2 3 2" xfId="3046" xr:uid="{D4DB5D2D-EDAD-4D3B-A534-63D2532E558B}"/>
    <cellStyle name="SAPBEXexcBad9 2 3 2 2" xfId="5420" xr:uid="{5E8155E5-CDD7-4E86-BAEC-A3D8A9B1A370}"/>
    <cellStyle name="SAPBEXexcBad9 2 3 3" xfId="3217" xr:uid="{86329FE1-FA2B-4E75-8555-8B5DCC80DCAF}"/>
    <cellStyle name="SAPBEXexcBad9 2 3 3 2" xfId="5591" xr:uid="{5AD12DCD-0CF0-491E-8439-E9D061A0C4D3}"/>
    <cellStyle name="SAPBEXexcBad9 2 3 4" xfId="4164" xr:uid="{1233F1B9-EC1F-454F-9EDF-C6F3D594AD3D}"/>
    <cellStyle name="SAPBEXexcBad9 2 4" xfId="3194" xr:uid="{1940D20D-E2D4-489E-B1D3-F424609D0027}"/>
    <cellStyle name="SAPBEXexcBad9 2 4 2" xfId="5568" xr:uid="{A9A88F24-9620-4FB8-BEB8-95CD181A0074}"/>
    <cellStyle name="SAPBEXexcBad9 2 5" xfId="3143" xr:uid="{6BCA57DD-4702-4E1B-BC80-9F3FF7697D26}"/>
    <cellStyle name="SAPBEXexcBad9 2 5 2" xfId="5517" xr:uid="{F666FAFA-9EDB-4E87-8656-595D8A3ECD1C}"/>
    <cellStyle name="SAPBEXexcBad9 2 6" xfId="1625" xr:uid="{47586EEB-70F0-4882-B95A-2A769B61D794}"/>
    <cellStyle name="SAPBEXexcBad9 2 6 2" xfId="4162" xr:uid="{D4C04A88-2D1E-4ADD-BD3E-82331B95125B}"/>
    <cellStyle name="SAPBEXexcBad9 2 7" xfId="3352" xr:uid="{4FE3963E-E0AF-4E87-87E8-CABFADC44818}"/>
    <cellStyle name="SAPBEXexcBad9 3" xfId="3156" xr:uid="{A05ACD26-1CF0-4752-821E-66F478506893}"/>
    <cellStyle name="SAPBEXexcBad9 3 2" xfId="5530" xr:uid="{BA3D6E38-222A-4412-84A7-E491E380C6C8}"/>
    <cellStyle name="SAPBEXexcBad9 4" xfId="3243" xr:uid="{9BAED454-5EFB-4E5B-9CFE-4FDFA10E8EB9}"/>
    <cellStyle name="SAPBEXexcBad9 4 2" xfId="5617" xr:uid="{83D6D51E-A760-42F9-8E21-CBA14523FC2B}"/>
    <cellStyle name="SAPBEXexcBad9 5" xfId="1624" xr:uid="{5066F295-F30D-4B4C-AF46-3D02AA7F123C}"/>
    <cellStyle name="SAPBEXexcBad9 5 2" xfId="4161" xr:uid="{94F4AA66-8C36-4E3B-B7F8-774B1C791D49}"/>
    <cellStyle name="SAPBEXexcBad9 6" xfId="3324" xr:uid="{D4ED05C1-BDCF-4308-9919-E829128B71C0}"/>
    <cellStyle name="SAPBEXexcCritical4" xfId="80" xr:uid="{00000000-0005-0000-0000-000032030000}"/>
    <cellStyle name="SAPBEXexcCritical4 2" xfId="131" xr:uid="{00000000-0005-0000-0000-000033030000}"/>
    <cellStyle name="SAPBEXexcCritical4 2 2" xfId="1630" xr:uid="{E92D181D-F0AC-42C1-9D58-0527A7D0B764}"/>
    <cellStyle name="SAPBEXexcCritical4 2 2 2" xfId="3187" xr:uid="{241E9D0C-B01D-4533-B837-CA7B96B730BA}"/>
    <cellStyle name="SAPBEXexcCritical4 2 2 2 2" xfId="5561" xr:uid="{88DFEE4F-006F-4B71-A29B-D04428E23793}"/>
    <cellStyle name="SAPBEXexcCritical4 2 2 3" xfId="3279" xr:uid="{41D66534-15D0-4034-A7DC-8453030307C9}"/>
    <cellStyle name="SAPBEXexcCritical4 2 2 3 2" xfId="5653" xr:uid="{857770B3-AE97-4ECC-A6B5-A206681A7034}"/>
    <cellStyle name="SAPBEXexcCritical4 2 2 4" xfId="4167" xr:uid="{E44A9745-B29B-4CB7-BB55-853AC1F00305}"/>
    <cellStyle name="SAPBEXexcCritical4 2 3" xfId="1631" xr:uid="{10D59B6A-608F-4E0B-8EB9-046D8EEBFC21}"/>
    <cellStyle name="SAPBEXexcCritical4 2 3 2" xfId="3064" xr:uid="{8966A808-A7DA-4CF9-B3A9-B1FDDE7FB29B}"/>
    <cellStyle name="SAPBEXexcCritical4 2 3 2 2" xfId="5438" xr:uid="{AF7E31BA-01E8-494B-85C1-B15180C6AE6B}"/>
    <cellStyle name="SAPBEXexcCritical4 2 3 3" xfId="3058" xr:uid="{AF78A8B6-35C7-4136-9FE8-46F501FF0A92}"/>
    <cellStyle name="SAPBEXexcCritical4 2 3 3 2" xfId="5432" xr:uid="{DCD4D7C8-2336-449C-A138-CEFAF0D0F075}"/>
    <cellStyle name="SAPBEXexcCritical4 2 3 4" xfId="4168" xr:uid="{E5A4F7F9-47D1-46D8-8950-F853021F12A3}"/>
    <cellStyle name="SAPBEXexcCritical4 2 4" xfId="3157" xr:uid="{C265D26E-82EE-4E15-B6AC-2AB6FE9865E1}"/>
    <cellStyle name="SAPBEXexcCritical4 2 4 2" xfId="5531" xr:uid="{E67FE5A0-9FB1-4D3A-87DB-30628BC43A10}"/>
    <cellStyle name="SAPBEXexcCritical4 2 5" xfId="3131" xr:uid="{6E9BD25D-CA92-4C64-9A46-13F61EFAD820}"/>
    <cellStyle name="SAPBEXexcCritical4 2 5 2" xfId="5505" xr:uid="{E4EDA921-CCC2-4053-A3D7-417D260945DC}"/>
    <cellStyle name="SAPBEXexcCritical4 2 6" xfId="1629" xr:uid="{1EF9C3D3-1C30-4722-A998-9835764EF207}"/>
    <cellStyle name="SAPBEXexcCritical4 2 6 2" xfId="4166" xr:uid="{B8780D74-E7E2-4FCD-A007-B8AC3A775119}"/>
    <cellStyle name="SAPBEXexcCritical4 2 7" xfId="3353" xr:uid="{BAF03FC3-D881-49D3-B882-DBFEB58BD0EA}"/>
    <cellStyle name="SAPBEXexcCritical4 3" xfId="3117" xr:uid="{D04F99AD-0B26-4CC0-846F-700B31D6007A}"/>
    <cellStyle name="SAPBEXexcCritical4 3 2" xfId="5491" xr:uid="{2DE948B0-BB2E-43E8-94E9-D742A384BE4C}"/>
    <cellStyle name="SAPBEXexcCritical4 4" xfId="3084" xr:uid="{A09043AB-8DE8-4C4C-845E-69BEB47AAA5D}"/>
    <cellStyle name="SAPBEXexcCritical4 4 2" xfId="5458" xr:uid="{CD356C44-A11B-4DC8-BE69-FC1728F6FE4F}"/>
    <cellStyle name="SAPBEXexcCritical4 5" xfId="1628" xr:uid="{6C11D61F-CCF3-4C6C-B295-E691AD9A335C}"/>
    <cellStyle name="SAPBEXexcCritical4 5 2" xfId="4165" xr:uid="{6912ED93-F1AF-40E2-818C-FC32C021AC0B}"/>
    <cellStyle name="SAPBEXexcCritical4 6" xfId="3325" xr:uid="{05A865A3-C0F3-4CB0-B8DF-8A8A906A6701}"/>
    <cellStyle name="SAPBEXexcCritical5" xfId="81" xr:uid="{00000000-0005-0000-0000-000034030000}"/>
    <cellStyle name="SAPBEXexcCritical5 2" xfId="132" xr:uid="{00000000-0005-0000-0000-000035030000}"/>
    <cellStyle name="SAPBEXexcCritical5 2 2" xfId="1634" xr:uid="{4E3EC300-E844-44B7-BF16-E60E448A91E2}"/>
    <cellStyle name="SAPBEXexcCritical5 2 2 2" xfId="3170" xr:uid="{535A7E0D-4708-4E12-AB09-A96068CA4669}"/>
    <cellStyle name="SAPBEXexcCritical5 2 2 2 2" xfId="5544" xr:uid="{CBCA7948-A564-4896-BCA2-4E1496059957}"/>
    <cellStyle name="SAPBEXexcCritical5 2 2 3" xfId="3268" xr:uid="{639076DC-F045-46B7-8A64-C408B796BA5A}"/>
    <cellStyle name="SAPBEXexcCritical5 2 2 3 2" xfId="5642" xr:uid="{75452D6C-C1F9-4FC2-AF3F-0A18D43B7822}"/>
    <cellStyle name="SAPBEXexcCritical5 2 2 4" xfId="4171" xr:uid="{6F0E7D19-4BB2-42ED-993A-037B0F5288D9}"/>
    <cellStyle name="SAPBEXexcCritical5 2 3" xfId="1635" xr:uid="{0444B89F-6AAD-4FFD-9380-24C96D8E632A}"/>
    <cellStyle name="SAPBEXexcCritical5 2 3 2" xfId="3181" xr:uid="{8DA2C76D-3603-43E3-B9B9-9A3A3EAAD459}"/>
    <cellStyle name="SAPBEXexcCritical5 2 3 2 2" xfId="5555" xr:uid="{66DCDC63-C60F-4A0C-9B58-096EC37A38F0}"/>
    <cellStyle name="SAPBEXexcCritical5 2 3 3" xfId="3186" xr:uid="{91A26455-F53A-4D4F-8568-EEBB3671584F}"/>
    <cellStyle name="SAPBEXexcCritical5 2 3 3 2" xfId="5560" xr:uid="{BB235A62-A872-499F-8AE0-1627B36683E4}"/>
    <cellStyle name="SAPBEXexcCritical5 2 3 4" xfId="4172" xr:uid="{48E59927-4CB3-4BD9-A84A-E7DA9F989D41}"/>
    <cellStyle name="SAPBEXexcCritical5 2 4" xfId="3120" xr:uid="{7DA2E082-ABA2-4B0B-B5DD-046FB52CFF04}"/>
    <cellStyle name="SAPBEXexcCritical5 2 4 2" xfId="5494" xr:uid="{A0DA2A8D-BA17-4C5A-9094-6DC095307C70}"/>
    <cellStyle name="SAPBEXexcCritical5 2 5" xfId="3202" xr:uid="{3E60FAA2-355A-4F2B-A11E-936342ABBA02}"/>
    <cellStyle name="SAPBEXexcCritical5 2 5 2" xfId="5576" xr:uid="{EBDBC85F-99C6-41F8-8ED6-AEB952F8EFA9}"/>
    <cellStyle name="SAPBEXexcCritical5 2 6" xfId="1633" xr:uid="{76AF7256-7E04-42B0-B1CB-A1B62B2D939E}"/>
    <cellStyle name="SAPBEXexcCritical5 2 6 2" xfId="4170" xr:uid="{B1805BE6-974B-43C2-B9D1-F73A59E535B0}"/>
    <cellStyle name="SAPBEXexcCritical5 2 7" xfId="3354" xr:uid="{E91D675A-FEAB-4503-8719-C1F7F976F02A}"/>
    <cellStyle name="SAPBEXexcCritical5 3" xfId="3278" xr:uid="{B9776818-624A-4106-9868-0C1A0C4AD335}"/>
    <cellStyle name="SAPBEXexcCritical5 3 2" xfId="5652" xr:uid="{DEFF48EB-FE88-4DA5-AC8F-9D597FF444F7}"/>
    <cellStyle name="SAPBEXexcCritical5 4" xfId="3066" xr:uid="{6F98B9B1-EB13-4F84-84CE-5132936C4AFA}"/>
    <cellStyle name="SAPBEXexcCritical5 4 2" xfId="5440" xr:uid="{E812C69D-D1CA-4285-BAE4-D98FC6EF1B0A}"/>
    <cellStyle name="SAPBEXexcCritical5 5" xfId="1632" xr:uid="{520696D9-1288-4A60-AB3D-7A8520C9C81B}"/>
    <cellStyle name="SAPBEXexcCritical5 5 2" xfId="4169" xr:uid="{FD613DE3-A09B-4BF8-ADA0-5D3646439CFD}"/>
    <cellStyle name="SAPBEXexcCritical5 6" xfId="3326" xr:uid="{71A5B541-1EEB-4070-AD63-148411EE0493}"/>
    <cellStyle name="SAPBEXexcCritical6" xfId="82" xr:uid="{00000000-0005-0000-0000-000036030000}"/>
    <cellStyle name="SAPBEXexcCritical6 2" xfId="133" xr:uid="{00000000-0005-0000-0000-000037030000}"/>
    <cellStyle name="SAPBEXexcCritical6 2 2" xfId="1638" xr:uid="{5FB35506-5396-4FFC-9D16-04B678A10D1D}"/>
    <cellStyle name="SAPBEXexcCritical6 2 2 2" xfId="3048" xr:uid="{4F5BA76D-AED3-4011-AB4D-23AF2B0C54F9}"/>
    <cellStyle name="SAPBEXexcCritical6 2 2 2 2" xfId="5422" xr:uid="{1B0F262A-1ACE-46D7-8653-270D6F271017}"/>
    <cellStyle name="SAPBEXexcCritical6 2 2 3" xfId="3138" xr:uid="{91DB0BFB-B6F2-43AF-B9D7-6DEDC46C1789}"/>
    <cellStyle name="SAPBEXexcCritical6 2 2 3 2" xfId="5512" xr:uid="{A7DE4DAD-5FD5-4F11-89A9-786577012A36}"/>
    <cellStyle name="SAPBEXexcCritical6 2 2 4" xfId="4175" xr:uid="{9EEA5C87-E582-46D5-85CE-14567D98BB23}"/>
    <cellStyle name="SAPBEXexcCritical6 2 3" xfId="1639" xr:uid="{AA9489A8-F72C-4664-A223-F36D56B4804F}"/>
    <cellStyle name="SAPBEXexcCritical6 2 3 2" xfId="3074" xr:uid="{D8C71C81-57F3-4977-BCF1-3B6BDBC8CEFE}"/>
    <cellStyle name="SAPBEXexcCritical6 2 3 2 2" xfId="5448" xr:uid="{DF9960BA-FC1C-4F5C-8785-211211EBEE97}"/>
    <cellStyle name="SAPBEXexcCritical6 2 3 3" xfId="3051" xr:uid="{FC0A2E2B-027B-4878-BDE3-E5EB94D8453F}"/>
    <cellStyle name="SAPBEXexcCritical6 2 3 3 2" xfId="5425" xr:uid="{4A1225AA-3993-40DD-B2F2-690BD9DA1259}"/>
    <cellStyle name="SAPBEXexcCritical6 2 3 4" xfId="4176" xr:uid="{E1470DD5-8C3F-4186-9979-E5BA65E53E1D}"/>
    <cellStyle name="SAPBEXexcCritical6 2 4" xfId="3106" xr:uid="{B258FCF1-CF81-45FF-8856-75FCD82EBD51}"/>
    <cellStyle name="SAPBEXexcCritical6 2 4 2" xfId="5480" xr:uid="{4BE7666C-0A92-4DA0-9830-804EA3D1F538}"/>
    <cellStyle name="SAPBEXexcCritical6 2 5" xfId="3071" xr:uid="{B397E12C-61C1-4BF4-A31D-7DB15391DD9F}"/>
    <cellStyle name="SAPBEXexcCritical6 2 5 2" xfId="5445" xr:uid="{3B720C15-A9EE-44C5-A9F4-1E1D0FF563B9}"/>
    <cellStyle name="SAPBEXexcCritical6 2 6" xfId="1637" xr:uid="{DBADD464-E9D8-4FFA-8C6F-6C9E07397993}"/>
    <cellStyle name="SAPBEXexcCritical6 2 6 2" xfId="4174" xr:uid="{EF77C0BF-B3D8-49BC-9475-2130886E812B}"/>
    <cellStyle name="SAPBEXexcCritical6 2 7" xfId="3355" xr:uid="{998FC712-C609-4936-9B4D-E40B22C74833}"/>
    <cellStyle name="SAPBEXexcCritical6 3" xfId="3209" xr:uid="{6120F2CA-1115-4675-B1BA-F246C8B822EC}"/>
    <cellStyle name="SAPBEXexcCritical6 3 2" xfId="5583" xr:uid="{A25D4061-B44C-4432-A64D-7A68609ADD44}"/>
    <cellStyle name="SAPBEXexcCritical6 4" xfId="3169" xr:uid="{CE2F60A9-6DC1-41E2-AFCF-AF6F320C4523}"/>
    <cellStyle name="SAPBEXexcCritical6 4 2" xfId="5543" xr:uid="{8C943CDE-9301-4D99-A7AA-0BAFE7E47A3B}"/>
    <cellStyle name="SAPBEXexcCritical6 5" xfId="1636" xr:uid="{42AAD9FE-5F43-4F0B-856A-815D1319F75D}"/>
    <cellStyle name="SAPBEXexcCritical6 5 2" xfId="4173" xr:uid="{7D368F3B-6A25-4C2D-A9E3-97338C5453CB}"/>
    <cellStyle name="SAPBEXexcCritical6 6" xfId="3327" xr:uid="{FC118B92-247B-4304-8199-5EA193755A9C}"/>
    <cellStyle name="SAPBEXexcGood1" xfId="83" xr:uid="{00000000-0005-0000-0000-000038030000}"/>
    <cellStyle name="SAPBEXexcGood1 2" xfId="134" xr:uid="{00000000-0005-0000-0000-000039030000}"/>
    <cellStyle name="SAPBEXexcGood1 2 2" xfId="1642" xr:uid="{CCCF8DD3-48A9-48E2-9B13-FED6DC2EAB88}"/>
    <cellStyle name="SAPBEXexcGood1 2 2 2" xfId="3168" xr:uid="{8DD7E45E-2712-4C63-8FCD-3B641107FB68}"/>
    <cellStyle name="SAPBEXexcGood1 2 2 2 2" xfId="5542" xr:uid="{7A3207AC-843B-4A02-8080-65882766DBAD}"/>
    <cellStyle name="SAPBEXexcGood1 2 2 3" xfId="3250" xr:uid="{3A462838-BEAD-47B2-92C8-962EF0BB8034}"/>
    <cellStyle name="SAPBEXexcGood1 2 2 3 2" xfId="5624" xr:uid="{8B397900-3B47-4955-A20C-5C08FC27847D}"/>
    <cellStyle name="SAPBEXexcGood1 2 2 4" xfId="4179" xr:uid="{8A937F81-A36D-437A-99BB-EBE8FE639102}"/>
    <cellStyle name="SAPBEXexcGood1 2 3" xfId="1643" xr:uid="{4E0ACAC5-6094-48CB-9F1F-DEB6B6399A8B}"/>
    <cellStyle name="SAPBEXexcGood1 2 3 2" xfId="3269" xr:uid="{17283035-CAFC-4D01-8F1B-5321BB5B72F4}"/>
    <cellStyle name="SAPBEXexcGood1 2 3 2 2" xfId="5643" xr:uid="{D7F1286B-75A0-4FBB-83A6-CA4F7A220BE5}"/>
    <cellStyle name="SAPBEXexcGood1 2 3 3" xfId="3236" xr:uid="{07AF9F8C-8D92-4B42-9763-2477AB3960EB}"/>
    <cellStyle name="SAPBEXexcGood1 2 3 3 2" xfId="5610" xr:uid="{06E7995B-46B6-47E1-A9D0-17642BD5454F}"/>
    <cellStyle name="SAPBEXexcGood1 2 3 4" xfId="4180" xr:uid="{AAACA7D2-73D3-42C7-828C-C3E887500A36}"/>
    <cellStyle name="SAPBEXexcGood1 2 4" xfId="3076" xr:uid="{BA228D25-8D11-4FA9-9745-E16A0C0CB133}"/>
    <cellStyle name="SAPBEXexcGood1 2 4 2" xfId="5450" xr:uid="{F0C52F41-1034-43E6-B1D0-BF85CFB9ECF7}"/>
    <cellStyle name="SAPBEXexcGood1 2 5" xfId="3212" xr:uid="{B460CD2F-80BC-4E54-BDEB-F4904EF1E9E2}"/>
    <cellStyle name="SAPBEXexcGood1 2 5 2" xfId="5586" xr:uid="{8C5A2DDD-73CF-4458-BD02-99F0B50DA563}"/>
    <cellStyle name="SAPBEXexcGood1 2 6" xfId="1641" xr:uid="{0E826CEF-3713-44D0-B5EB-803196A32B33}"/>
    <cellStyle name="SAPBEXexcGood1 2 6 2" xfId="4178" xr:uid="{81227BD5-F338-4492-89C2-A0A0B2143FCC}"/>
    <cellStyle name="SAPBEXexcGood1 2 7" xfId="3356" xr:uid="{A95EBBEC-4CFC-47C3-9528-FEBEDA759BBC}"/>
    <cellStyle name="SAPBEXexcGood1 3" xfId="3249" xr:uid="{7F68F78E-2F43-4C6C-988E-2CCFC1F91307}"/>
    <cellStyle name="SAPBEXexcGood1 3 2" xfId="5623" xr:uid="{FC46A674-54CA-4143-8066-4A73CBDDB29A}"/>
    <cellStyle name="SAPBEXexcGood1 4" xfId="3127" xr:uid="{B0318D05-E042-40AF-AE42-2308ACCE50A3}"/>
    <cellStyle name="SAPBEXexcGood1 4 2" xfId="5501" xr:uid="{BBF72E8A-950E-4FA1-AB34-FAFDFC5A3E87}"/>
    <cellStyle name="SAPBEXexcGood1 5" xfId="1640" xr:uid="{6544DC32-F387-41D8-9B3E-EB9BF2725F9B}"/>
    <cellStyle name="SAPBEXexcGood1 5 2" xfId="4177" xr:uid="{8F7CF46A-A543-458A-B91C-4663283BCDCD}"/>
    <cellStyle name="SAPBEXexcGood1 6" xfId="3328" xr:uid="{46ECF049-B470-46FC-9AA4-922561F79820}"/>
    <cellStyle name="SAPBEXexcGood2" xfId="84" xr:uid="{00000000-0005-0000-0000-00003A030000}"/>
    <cellStyle name="SAPBEXexcGood2 2" xfId="135" xr:uid="{00000000-0005-0000-0000-00003B030000}"/>
    <cellStyle name="SAPBEXexcGood2 2 2" xfId="1646" xr:uid="{B056D4DD-07CF-4183-A50B-DD778ED03B78}"/>
    <cellStyle name="SAPBEXexcGood2 2 2 2" xfId="3154" xr:uid="{1F34EF5A-A9CF-435D-963D-81F45DA5E8B9}"/>
    <cellStyle name="SAPBEXexcGood2 2 2 2 2" xfId="5528" xr:uid="{2F1DC876-2FE1-4477-89AC-0B8A8A1F9AF4}"/>
    <cellStyle name="SAPBEXexcGood2 2 2 3" xfId="3118" xr:uid="{FE8306C3-A9C1-4246-9161-697E30C9FB54}"/>
    <cellStyle name="SAPBEXexcGood2 2 2 3 2" xfId="5492" xr:uid="{6CEA24C8-452A-42AA-BF8C-7BFD7F5C77DF}"/>
    <cellStyle name="SAPBEXexcGood2 2 2 4" xfId="4183" xr:uid="{CAD4FA70-642F-4AA9-801E-9F4CFD90D89A}"/>
    <cellStyle name="SAPBEXexcGood2 2 3" xfId="1647" xr:uid="{2473FCFE-E1DC-453F-8181-03FD9E3BDE54}"/>
    <cellStyle name="SAPBEXexcGood2 2 3 2" xfId="3270" xr:uid="{B2174A8E-A5DD-4A69-8530-1AAA321F4D91}"/>
    <cellStyle name="SAPBEXexcGood2 2 3 2 2" xfId="5644" xr:uid="{03815C29-5547-4285-8D8B-FCAF5F0A8AEB}"/>
    <cellStyle name="SAPBEXexcGood2 2 3 3" xfId="3225" xr:uid="{5777397E-8956-4ADC-9053-991FB2497404}"/>
    <cellStyle name="SAPBEXexcGood2 2 3 3 2" xfId="5599" xr:uid="{9471E41C-02D7-432F-87E7-74C5E70C42F1}"/>
    <cellStyle name="SAPBEXexcGood2 2 3 4" xfId="4184" xr:uid="{E2274566-BCF0-4D83-8C4C-F95873F11BD6}"/>
    <cellStyle name="SAPBEXexcGood2 2 4" xfId="3129" xr:uid="{4E4D8A40-14DB-4FDE-B241-D5E1A3BEAF28}"/>
    <cellStyle name="SAPBEXexcGood2 2 4 2" xfId="5503" xr:uid="{670FF6B5-69F2-42C9-9929-158B075ADB03}"/>
    <cellStyle name="SAPBEXexcGood2 2 5" xfId="3087" xr:uid="{8E4F3D60-E7E9-42FA-ADF5-7CAD1946D1A9}"/>
    <cellStyle name="SAPBEXexcGood2 2 5 2" xfId="5461" xr:uid="{75DF8946-298F-4072-92FB-FF3A14AB3371}"/>
    <cellStyle name="SAPBEXexcGood2 2 6" xfId="1645" xr:uid="{E5C11307-DEB0-4D1E-8A3F-851ABD93C9E2}"/>
    <cellStyle name="SAPBEXexcGood2 2 6 2" xfId="4182" xr:uid="{AF210221-3C4E-4AB8-85A3-109E598AFB23}"/>
    <cellStyle name="SAPBEXexcGood2 2 7" xfId="3357" xr:uid="{24267C96-15E6-4B6E-ABED-0955E740FB20}"/>
    <cellStyle name="SAPBEXexcGood2 3" xfId="3267" xr:uid="{6125C4BE-304B-499E-BEB6-74E44473E6C9}"/>
    <cellStyle name="SAPBEXexcGood2 3 2" xfId="5641" xr:uid="{11F3D0C2-1EBA-47CB-BF32-CD5222C15CAF}"/>
    <cellStyle name="SAPBEXexcGood2 4" xfId="3205" xr:uid="{6A59D1C4-82F1-478C-AD0F-0CA4FBBC8A9E}"/>
    <cellStyle name="SAPBEXexcGood2 4 2" xfId="5579" xr:uid="{DEB77ED5-5F7A-48F7-B604-6D321B1A6B3E}"/>
    <cellStyle name="SAPBEXexcGood2 5" xfId="1644" xr:uid="{C01ECB1E-F108-4707-BAA2-21BB02687559}"/>
    <cellStyle name="SAPBEXexcGood2 5 2" xfId="4181" xr:uid="{03DCBBEE-DE8B-4501-A57D-0C486E4B67A0}"/>
    <cellStyle name="SAPBEXexcGood2 6" xfId="3329" xr:uid="{906DAD6D-5458-4A1C-9568-BF2F558808ED}"/>
    <cellStyle name="SAPBEXexcGood3" xfId="85" xr:uid="{00000000-0005-0000-0000-00003C030000}"/>
    <cellStyle name="SAPBEXexcGood3 2" xfId="136" xr:uid="{00000000-0005-0000-0000-00003D030000}"/>
    <cellStyle name="SAPBEXexcGood3 2 2" xfId="1650" xr:uid="{A4D61156-F851-4404-970E-002F2FCD6746}"/>
    <cellStyle name="SAPBEXexcGood3 2 2 2" xfId="3282" xr:uid="{50320BD0-FF99-40DE-9491-AC71E0B71E54}"/>
    <cellStyle name="SAPBEXexcGood3 2 2 2 2" xfId="5656" xr:uid="{1A300843-3EEA-4A94-AE9A-06AE82F0B7B1}"/>
    <cellStyle name="SAPBEXexcGood3 2 2 3" xfId="3251" xr:uid="{E331FDCF-DEE1-4B87-AF4F-33BBDDE408DD}"/>
    <cellStyle name="SAPBEXexcGood3 2 2 3 2" xfId="5625" xr:uid="{22983CC6-C5A5-4DD1-A64C-BEE7DFDF0BB0}"/>
    <cellStyle name="SAPBEXexcGood3 2 2 4" xfId="4187" xr:uid="{66839DB0-6299-40AB-849C-DA1991A2CBB9}"/>
    <cellStyle name="SAPBEXexcGood3 2 3" xfId="1651" xr:uid="{7E1C8BD4-697A-40D3-BD28-0513C712BF87}"/>
    <cellStyle name="SAPBEXexcGood3 2 3 2" xfId="3246" xr:uid="{980396A0-5E14-4DAA-ADD7-B32E9CD680E2}"/>
    <cellStyle name="SAPBEXexcGood3 2 3 2 2" xfId="5620" xr:uid="{62B57022-0278-4C34-823D-5546C67FC23F}"/>
    <cellStyle name="SAPBEXexcGood3 2 3 3" xfId="3124" xr:uid="{846BD0DA-2A4F-4A27-A3D1-222BABF0A339}"/>
    <cellStyle name="SAPBEXexcGood3 2 3 3 2" xfId="5498" xr:uid="{FAC9D116-4CA1-42DA-9178-33804783C0F2}"/>
    <cellStyle name="SAPBEXexcGood3 2 3 4" xfId="4188" xr:uid="{7FE7AC29-2509-4136-A931-9F26A5504DB7}"/>
    <cellStyle name="SAPBEXexcGood3 2 4" xfId="3063" xr:uid="{31E110BC-DAA4-4F81-82B2-0DC73FDD6A7A}"/>
    <cellStyle name="SAPBEXexcGood3 2 4 2" xfId="5437" xr:uid="{320CB6DB-26E7-4714-833B-5015D8DFB608}"/>
    <cellStyle name="SAPBEXexcGood3 2 5" xfId="3115" xr:uid="{5EF2567F-B64C-4B48-9894-B9E058A273D4}"/>
    <cellStyle name="SAPBEXexcGood3 2 5 2" xfId="5489" xr:uid="{B621CCF8-9A0A-4F35-88D5-C7A5D5B7D421}"/>
    <cellStyle name="SAPBEXexcGood3 2 6" xfId="1649" xr:uid="{E35BCF35-6DC0-4F6D-86AE-A309F77FA97A}"/>
    <cellStyle name="SAPBEXexcGood3 2 6 2" xfId="4186" xr:uid="{C3CCB38D-0EAA-4A66-B430-D78697D94A59}"/>
    <cellStyle name="SAPBEXexcGood3 2 7" xfId="3358" xr:uid="{FB6E062E-B69F-4A81-8BE5-6E8646FD04C4}"/>
    <cellStyle name="SAPBEXexcGood3 3" xfId="3069" xr:uid="{6407E7F9-5EB6-4C10-BAFD-1C8AF442B495}"/>
    <cellStyle name="SAPBEXexcGood3 3 2" xfId="5443" xr:uid="{7BE3B646-06D3-4111-8367-DAE5937D5B70}"/>
    <cellStyle name="SAPBEXexcGood3 4" xfId="3164" xr:uid="{1CC7D2F6-EB72-4CBD-BD6B-1D8CE0A52C24}"/>
    <cellStyle name="SAPBEXexcGood3 4 2" xfId="5538" xr:uid="{3EF6B874-47E8-427C-A9EB-42BBF0D6E69C}"/>
    <cellStyle name="SAPBEXexcGood3 5" xfId="1648" xr:uid="{8F14273A-1D45-488C-B08E-57660CD41D2B}"/>
    <cellStyle name="SAPBEXexcGood3 5 2" xfId="4185" xr:uid="{F48DE49A-F62A-42B6-BA3B-32456A3FC4AB}"/>
    <cellStyle name="SAPBEXexcGood3 6" xfId="3330" xr:uid="{BC41B650-A88D-45EE-BB95-9115F42084AC}"/>
    <cellStyle name="SAPBEXfilterDrill" xfId="86" xr:uid="{00000000-0005-0000-0000-00003E030000}"/>
    <cellStyle name="SAPBEXfilterDrill 2" xfId="1653" xr:uid="{AA0948EE-2C35-48BE-B8DA-B4A3832DF3DE}"/>
    <cellStyle name="SAPBEXfilterDrill 2 2" xfId="1654" xr:uid="{8709A415-A95F-4A84-9C6C-568443C19589}"/>
    <cellStyle name="SAPBEXfilterDrill 2 2 2" xfId="3222" xr:uid="{5352647C-02F9-4C50-BA02-4FC69A4DDCBD}"/>
    <cellStyle name="SAPBEXfilterDrill 2 2 2 2" xfId="5596" xr:uid="{7053E96B-B29C-4C17-99B1-1310557A8857}"/>
    <cellStyle name="SAPBEXfilterDrill 2 2 3" xfId="3101" xr:uid="{3B442078-63BE-4AEE-96D0-E928A0737388}"/>
    <cellStyle name="SAPBEXfilterDrill 2 2 3 2" xfId="5475" xr:uid="{3BE18AD4-45DF-40F0-8004-4CE00D4BA6C5}"/>
    <cellStyle name="SAPBEXfilterDrill 2 2 4" xfId="4191" xr:uid="{ED18476B-5750-4FEE-AC15-FA08093A0C11}"/>
    <cellStyle name="SAPBEXfilterDrill 2 3" xfId="1655" xr:uid="{E4714BA9-B7CE-431B-90D2-7B5837BD2C35}"/>
    <cellStyle name="SAPBEXfilterDrill 2 3 2" xfId="3047" xr:uid="{46AD5C18-16D2-4345-9C19-F0F99E64C55C}"/>
    <cellStyle name="SAPBEXfilterDrill 2 3 2 2" xfId="5421" xr:uid="{4CFBF9A6-C1D9-4125-A32B-9A5CA1555E83}"/>
    <cellStyle name="SAPBEXfilterDrill 2 3 3" xfId="3174" xr:uid="{09822ECA-A373-4A99-9E60-20A853CC7107}"/>
    <cellStyle name="SAPBEXfilterDrill 2 3 3 2" xfId="5548" xr:uid="{F4975F0F-C316-4060-8D00-12E354E303FA}"/>
    <cellStyle name="SAPBEXfilterDrill 2 3 4" xfId="4192" xr:uid="{0E786D51-0CA6-4F4F-A83A-22CC4F26AFAD}"/>
    <cellStyle name="SAPBEXfilterDrill 2 4" xfId="3136" xr:uid="{DF46AE6B-73F0-43A0-8548-4B85734E9A24}"/>
    <cellStyle name="SAPBEXfilterDrill 2 4 2" xfId="5510" xr:uid="{86D29935-3708-485A-ADBB-D1B1CBB7E7FE}"/>
    <cellStyle name="SAPBEXfilterDrill 2 5" xfId="3112" xr:uid="{C076FA5F-BF2D-4DF0-8B92-561EB2BD1C7D}"/>
    <cellStyle name="SAPBEXfilterDrill 2 5 2" xfId="5486" xr:uid="{2EDD4B0B-D394-4E56-8ED2-183668E6949C}"/>
    <cellStyle name="SAPBEXfilterDrill 2 6" xfId="4190" xr:uid="{55961F2E-9553-4299-87A9-E9B3900164F2}"/>
    <cellStyle name="SAPBEXfilterDrill 3" xfId="3075" xr:uid="{442107BC-4A92-4792-B707-2B4E74AC37AC}"/>
    <cellStyle name="SAPBEXfilterDrill 3 2" xfId="5449" xr:uid="{422B98E0-FC46-4A04-A67E-727A455A4FA3}"/>
    <cellStyle name="SAPBEXfilterDrill 4" xfId="3204" xr:uid="{512064FE-81AE-4DED-AC66-7294DEF7C46A}"/>
    <cellStyle name="SAPBEXfilterDrill 4 2" xfId="5578" xr:uid="{83853B67-C0F6-435C-8610-61C05FD90FD2}"/>
    <cellStyle name="SAPBEXfilterDrill 5" xfId="1652" xr:uid="{CA55BA2E-CB05-434B-99BA-681A7FBE4E84}"/>
    <cellStyle name="SAPBEXfilterDrill 5 2" xfId="4189" xr:uid="{80BBCFE2-E247-44FE-852B-23A842F0CC61}"/>
    <cellStyle name="SAPBEXfilterItem" xfId="87" xr:uid="{00000000-0005-0000-0000-00003F030000}"/>
    <cellStyle name="SAPBEXfilterItem 2" xfId="137" xr:uid="{00000000-0005-0000-0000-000040030000}"/>
    <cellStyle name="SAPBEXfilterItem 2 2" xfId="3196" xr:uid="{26DDC478-4B83-40C9-A39F-3DFB8178C2FD}"/>
    <cellStyle name="SAPBEXfilterItem 2 2 2" xfId="5570" xr:uid="{CB3B5C81-7E4D-4A85-99A3-A3E07ACDBA76}"/>
    <cellStyle name="SAPBEXfilterItem 2 3" xfId="3198" xr:uid="{18D34F26-06AC-4E81-8EBB-36EE3DB2368F}"/>
    <cellStyle name="SAPBEXfilterItem 2 3 2" xfId="5572" xr:uid="{773F0752-3C13-4350-8BA2-F84B3FA426BB}"/>
    <cellStyle name="SAPBEXfilterItem 2 4" xfId="1657" xr:uid="{B3C68D2B-7FF0-4A4F-BE6C-452FFD3B9A86}"/>
    <cellStyle name="SAPBEXfilterItem 2 4 2" xfId="4194" xr:uid="{BADF643C-7B1F-47DC-AAD9-36DBF43F6CB7}"/>
    <cellStyle name="SAPBEXfilterItem 3" xfId="3056" xr:uid="{55CFED75-56D0-456E-A9BC-2CB3D061E5F6}"/>
    <cellStyle name="SAPBEXfilterItem 3 2" xfId="5430" xr:uid="{0B6E4E49-5243-468F-827D-FFF4F5855A6D}"/>
    <cellStyle name="SAPBEXfilterItem 4" xfId="1656" xr:uid="{7BC29FEA-E576-4E4F-B57E-5D6DE5502520}"/>
    <cellStyle name="SAPBEXfilterItem 4 2" xfId="4193" xr:uid="{2B7614F3-829F-48A3-B1AB-23DA9A31AB70}"/>
    <cellStyle name="SAPBEXfilterText" xfId="88" xr:uid="{00000000-0005-0000-0000-000041030000}"/>
    <cellStyle name="SAPBEXfilterText 2" xfId="1659" xr:uid="{2EAFFB29-3F08-4266-9241-CF3B4D1C05DF}"/>
    <cellStyle name="SAPBEXfilterText 2 2" xfId="3203" xr:uid="{EBF5D647-6FFC-4536-B73D-A6D2CE56CD38}"/>
    <cellStyle name="SAPBEXfilterText 2 2 2" xfId="5577" xr:uid="{5DE59176-53CC-48B1-86F4-19B02BA80C12}"/>
    <cellStyle name="SAPBEXfilterText 2 3" xfId="3280" xr:uid="{202CDC45-E8FE-4DD6-B36E-5ABA6ED71F2F}"/>
    <cellStyle name="SAPBEXfilterText 2 3 2" xfId="5654" xr:uid="{CF9B5040-88CA-4ABE-802C-1089F4EA4FB3}"/>
    <cellStyle name="SAPBEXfilterText 2 4" xfId="4195" xr:uid="{74510BFB-F991-44D6-937A-B7CA0C9CCE57}"/>
    <cellStyle name="SAPBEXfilterText 3" xfId="1658" xr:uid="{2EFFD2FB-4EFF-4BB5-9ECE-E19E93844D9E}"/>
    <cellStyle name="SAPBEXformats" xfId="89" xr:uid="{00000000-0005-0000-0000-000042030000}"/>
    <cellStyle name="SAPBEXformats 2" xfId="138" xr:uid="{00000000-0005-0000-0000-000043030000}"/>
    <cellStyle name="SAPBEXformats 2 2" xfId="1662" xr:uid="{B940E059-2B50-4168-B331-DDEAB57A1B61}"/>
    <cellStyle name="SAPBEXformats 2 2 2" xfId="3240" xr:uid="{5EC3A3D7-F8FF-4731-8DC3-F171D47924F4}"/>
    <cellStyle name="SAPBEXformats 2 2 2 2" xfId="5614" xr:uid="{61461216-0E43-4C68-9E3D-2A464F6EF117}"/>
    <cellStyle name="SAPBEXformats 2 2 3" xfId="3223" xr:uid="{C685FAC2-D748-4A2A-BF82-05F7B49B2697}"/>
    <cellStyle name="SAPBEXformats 2 2 3 2" xfId="5597" xr:uid="{DB843D10-7BB6-46F8-BD10-DBC323980825}"/>
    <cellStyle name="SAPBEXformats 2 2 4" xfId="4198" xr:uid="{F4FC0D95-A6F1-466D-915D-3C1B6D079996}"/>
    <cellStyle name="SAPBEXformats 2 3" xfId="1663" xr:uid="{4ECBCEA1-C1DE-43CA-9D78-A002EE25FEF8}"/>
    <cellStyle name="SAPBEXformats 2 3 2" xfId="3155" xr:uid="{23FFB165-B6F0-4581-893D-729ED88952E7}"/>
    <cellStyle name="SAPBEXformats 2 3 2 2" xfId="5529" xr:uid="{060C118E-308D-4055-917C-98A4F4C339CA}"/>
    <cellStyle name="SAPBEXformats 2 3 3" xfId="3237" xr:uid="{892E4439-009D-4C49-9C82-117EE0905FB5}"/>
    <cellStyle name="SAPBEXformats 2 3 3 2" xfId="5611" xr:uid="{6998E6D8-AF2C-4DFA-966E-8D67361B595B}"/>
    <cellStyle name="SAPBEXformats 2 3 4" xfId="4199" xr:uid="{C4B4DB4D-ABE7-4AAB-A923-70CE0ED01437}"/>
    <cellStyle name="SAPBEXformats 2 4" xfId="3091" xr:uid="{4EE5D656-9808-4C75-8783-D09910C08B48}"/>
    <cellStyle name="SAPBEXformats 2 4 2" xfId="5465" xr:uid="{4E9E46AD-0A06-40FC-87CE-0D746DF72377}"/>
    <cellStyle name="SAPBEXformats 2 5" xfId="3182" xr:uid="{9E6AC1C4-FDF9-439F-9C11-65E3810FBF29}"/>
    <cellStyle name="SAPBEXformats 2 5 2" xfId="5556" xr:uid="{2258ED9B-459A-4C28-B529-2EA1F86BE229}"/>
    <cellStyle name="SAPBEXformats 2 6" xfId="1661" xr:uid="{917D38CA-E680-4611-95E8-770B9227277A}"/>
    <cellStyle name="SAPBEXformats 2 6 2" xfId="4197" xr:uid="{6DD99085-EBE9-42BF-8306-8DF0051632E8}"/>
    <cellStyle name="SAPBEXformats 2 7" xfId="3359" xr:uid="{67282BB5-1606-4917-8684-1E5585FD27D7}"/>
    <cellStyle name="SAPBEXformats 3" xfId="3092" xr:uid="{F8490C7C-FD25-42A3-932C-E6CF57BAE55A}"/>
    <cellStyle name="SAPBEXformats 3 2" xfId="5466" xr:uid="{7942C92D-6291-4D06-8DD7-3654AEE528B9}"/>
    <cellStyle name="SAPBEXformats 4" xfId="3185" xr:uid="{099559A9-2D0B-434F-A77C-A1E934A5D2B3}"/>
    <cellStyle name="SAPBEXformats 4 2" xfId="5559" xr:uid="{70B640DA-1EB5-4CDA-9988-1B2528A5DC34}"/>
    <cellStyle name="SAPBEXformats 5" xfId="1660" xr:uid="{EAD56A5B-43C3-43B1-8B8E-3A885F87B1DF}"/>
    <cellStyle name="SAPBEXformats 5 2" xfId="4196" xr:uid="{5D64FC15-9DCE-4B9B-BF08-FD3B17C1DEF7}"/>
    <cellStyle name="SAPBEXformats 6" xfId="3331" xr:uid="{5FCAA5D1-3DD9-4D9A-BD23-0F19E7716CF7}"/>
    <cellStyle name="SAPBEXheaderItem" xfId="90" xr:uid="{00000000-0005-0000-0000-000044030000}"/>
    <cellStyle name="SAPBEXheaderItem 2" xfId="1665" xr:uid="{7BCED91B-E93B-4279-A022-5C096C0E258B}"/>
    <cellStyle name="SAPBEXheaderItem 2 2" xfId="1666" xr:uid="{A110E022-D11E-420C-866B-F2A9DA8C20D3}"/>
    <cellStyle name="SAPBEXheaderItem 2 2 2" xfId="3125" xr:uid="{CDBB871A-AE43-4D8C-9720-6AE11DF21208}"/>
    <cellStyle name="SAPBEXheaderItem 2 2 2 2" xfId="5499" xr:uid="{FF42C634-587E-449C-93A8-14D549956B01}"/>
    <cellStyle name="SAPBEXheaderItem 2 2 3" xfId="3277" xr:uid="{CEF6A255-19E9-4B31-B11E-448113DEA785}"/>
    <cellStyle name="SAPBEXheaderItem 2 2 3 2" xfId="5651" xr:uid="{35074C82-2305-49C0-9B70-96C6DD9640A9}"/>
    <cellStyle name="SAPBEXheaderItem 2 2 4" xfId="4202" xr:uid="{03F1D92C-A186-4D33-9DBA-3690E7E5274C}"/>
    <cellStyle name="SAPBEXheaderItem 2 3" xfId="1667" xr:uid="{73365FD4-F9FB-4AD2-BE01-15C597FDED53}"/>
    <cellStyle name="SAPBEXheaderItem 2 3 2" xfId="3121" xr:uid="{AD57CECD-DB90-43DE-942B-3E41AFAD88EA}"/>
    <cellStyle name="SAPBEXheaderItem 2 3 2 2" xfId="5495" xr:uid="{76278D70-69E2-4A9D-AE43-8A3F7EADA814}"/>
    <cellStyle name="SAPBEXheaderItem 2 3 3" xfId="3096" xr:uid="{40DAB32C-61C6-447C-86D5-175D4A8DB09C}"/>
    <cellStyle name="SAPBEXheaderItem 2 3 3 2" xfId="5470" xr:uid="{7D75FC85-98F1-4FAF-B742-1A13BE3B8185}"/>
    <cellStyle name="SAPBEXheaderItem 2 3 4" xfId="4203" xr:uid="{A9A9D296-7004-4036-A68A-16F192BC8166}"/>
    <cellStyle name="SAPBEXheaderItem 2 4" xfId="3146" xr:uid="{8EBE583F-0268-48B3-ABB7-26D48B03AA82}"/>
    <cellStyle name="SAPBEXheaderItem 2 4 2" xfId="5520" xr:uid="{D97CD8EA-F0D9-49B1-9DEE-28B7053DCEF8}"/>
    <cellStyle name="SAPBEXheaderItem 2 5" xfId="3079" xr:uid="{82072485-BD4E-442E-BEDF-A8749C5A7F18}"/>
    <cellStyle name="SAPBEXheaderItem 2 5 2" xfId="5453" xr:uid="{310C2548-118F-4D52-AF32-53416FB1B3FB}"/>
    <cellStyle name="SAPBEXheaderItem 2 6" xfId="4201" xr:uid="{0056D81F-A7E7-4DDE-979C-1DB9460DDFBD}"/>
    <cellStyle name="SAPBEXheaderItem 3" xfId="3235" xr:uid="{D53ABB5E-3643-42E6-9B21-08EEA69DE1EA}"/>
    <cellStyle name="SAPBEXheaderItem 3 2" xfId="5609" xr:uid="{3FA59EDC-C35D-492A-A1E5-E2C345BEE200}"/>
    <cellStyle name="SAPBEXheaderItem 4" xfId="3158" xr:uid="{3DB807E6-BD30-4779-92F2-3B6DCECDC804}"/>
    <cellStyle name="SAPBEXheaderItem 4 2" xfId="5532" xr:uid="{6474D8F1-7D40-4021-AE98-F47F34D6C3A3}"/>
    <cellStyle name="SAPBEXheaderItem 5" xfId="1664" xr:uid="{3FC98029-37DE-49A6-AC7E-ABAEE4420013}"/>
    <cellStyle name="SAPBEXheaderItem 5 2" xfId="4200" xr:uid="{76086955-234F-4136-9B84-B2A917BAB332}"/>
    <cellStyle name="SAPBEXheaderText" xfId="91" xr:uid="{00000000-0005-0000-0000-000045030000}"/>
    <cellStyle name="SAPBEXheaderText 2" xfId="1669" xr:uid="{0E4D9BB7-34C9-4A28-82FD-D244AA8F9CA5}"/>
    <cellStyle name="SAPBEXheaderText 2 2" xfId="1670" xr:uid="{A3FEF62C-79E7-430A-B5C7-5CCE5033C9C2}"/>
    <cellStyle name="SAPBEXheaderText 2 2 2" xfId="3283" xr:uid="{842DAEAC-72B0-4CF8-8AD6-72689CFC7EF5}"/>
    <cellStyle name="SAPBEXheaderText 2 2 2 2" xfId="5657" xr:uid="{414D8BB8-CFD0-4093-ABE5-B230F01524A8}"/>
    <cellStyle name="SAPBEXheaderText 2 2 3" xfId="3130" xr:uid="{9A8FBC6B-CCFC-4273-B4B0-3A71ACAE7F34}"/>
    <cellStyle name="SAPBEXheaderText 2 2 3 2" xfId="5504" xr:uid="{68B6D192-6265-4206-B800-6461CE810633}"/>
    <cellStyle name="SAPBEXheaderText 2 2 4" xfId="4206" xr:uid="{73159E38-3E44-42D4-90F8-7CE32DDD6D65}"/>
    <cellStyle name="SAPBEXheaderText 2 3" xfId="1671" xr:uid="{FEA0F069-5E53-45FC-B583-57DCFC6F8D64}"/>
    <cellStyle name="SAPBEXheaderText 2 3 2" xfId="3285" xr:uid="{A25D66E2-9BCA-4761-95A1-FFC09244C22A}"/>
    <cellStyle name="SAPBEXheaderText 2 3 2 2" xfId="5659" xr:uid="{CF1ECA2C-9F8B-4C2A-80D8-7DE6C27F9706}"/>
    <cellStyle name="SAPBEXheaderText 2 3 3" xfId="3123" xr:uid="{ED5E1908-D043-40D6-B3FE-C7C82E1ED9ED}"/>
    <cellStyle name="SAPBEXheaderText 2 3 3 2" xfId="5497" xr:uid="{C6C4D615-4000-4D89-B223-4571C24EC008}"/>
    <cellStyle name="SAPBEXheaderText 2 3 4" xfId="4207" xr:uid="{AA5DFB8A-CF90-4295-BECD-2D4FC8662B8A}"/>
    <cellStyle name="SAPBEXheaderText 2 4" xfId="3233" xr:uid="{1DB7A1FF-F92F-4D76-B70B-C94F977E8EDB}"/>
    <cellStyle name="SAPBEXheaderText 2 4 2" xfId="5607" xr:uid="{2F5E3676-ECC9-4ECC-BBD0-60C24C6B4617}"/>
    <cellStyle name="SAPBEXheaderText 2 5" xfId="3221" xr:uid="{7D6BF8C5-3C2A-483B-9B40-F49916D94FD9}"/>
    <cellStyle name="SAPBEXheaderText 2 5 2" xfId="5595" xr:uid="{6B268ADE-4B28-4829-A717-CD84B50FF19D}"/>
    <cellStyle name="SAPBEXheaderText 2 6" xfId="4205" xr:uid="{E6342F36-CE35-47B4-981D-E57A7C13B659}"/>
    <cellStyle name="SAPBEXheaderText 3" xfId="3144" xr:uid="{7B55D53C-9EA3-4CF5-8157-D2F5E09B5BC5}"/>
    <cellStyle name="SAPBEXheaderText 3 2" xfId="5518" xr:uid="{4AABACDB-15FD-4D53-81ED-54DEF692B57A}"/>
    <cellStyle name="SAPBEXheaderText 4" xfId="3073" xr:uid="{FD02BF4F-842A-408B-8730-FBFD970C2019}"/>
    <cellStyle name="SAPBEXheaderText 4 2" xfId="5447" xr:uid="{5BB37F44-B6EC-4B48-883B-1C857B6C8E7E}"/>
    <cellStyle name="SAPBEXheaderText 5" xfId="1668" xr:uid="{6B0897FD-BAE9-4299-B132-3D800C1B68F2}"/>
    <cellStyle name="SAPBEXheaderText 5 2" xfId="4204" xr:uid="{941FF39E-0ACD-4884-9315-BD8014E4EBCF}"/>
    <cellStyle name="SAPBEXHLevel0" xfId="92" xr:uid="{00000000-0005-0000-0000-000046030000}"/>
    <cellStyle name="SAPBEXHLevel0 2" xfId="933" xr:uid="{138A92E3-7D55-4952-AEFB-C1782E9DFF2F}"/>
    <cellStyle name="SAPBEXHLevel0 2 2" xfId="1674" xr:uid="{36D9D267-5281-46A4-A1DA-573AF10B6BAA}"/>
    <cellStyle name="SAPBEXHLevel0 2 2 2" xfId="3276" xr:uid="{2B5579B0-D920-4A1E-9D1F-6CAA37193063}"/>
    <cellStyle name="SAPBEXHLevel0 2 2 2 2" xfId="5650" xr:uid="{67C54598-EA0C-4A8E-8E78-522D91B16776}"/>
    <cellStyle name="SAPBEXHLevel0 2 2 3" xfId="3065" xr:uid="{E914C898-D2BD-4BBF-BB68-AB6CC65734FD}"/>
    <cellStyle name="SAPBEXHLevel0 2 2 3 2" xfId="5439" xr:uid="{22420A2A-5B0E-4498-81BF-C3FCF8DF09C6}"/>
    <cellStyle name="SAPBEXHLevel0 2 2 4" xfId="4210" xr:uid="{4D2D2032-CD87-4438-A872-7A01B9E76135}"/>
    <cellStyle name="SAPBEXHLevel0 2 3" xfId="1675" xr:uid="{B27FC2F0-F263-4D18-879B-CF196FB0A6DE}"/>
    <cellStyle name="SAPBEXHLevel0 2 3 2" xfId="3057" xr:uid="{157B5CCA-3C69-47DC-9831-7EB07731AB6B}"/>
    <cellStyle name="SAPBEXHLevel0 2 3 2 2" xfId="5431" xr:uid="{98DD41C2-3EF9-48BA-9CEF-3CE9FEAAC7D4}"/>
    <cellStyle name="SAPBEXHLevel0 2 3 3" xfId="3067" xr:uid="{F6C17396-4025-4F47-9D88-B4D2F7AC8553}"/>
    <cellStyle name="SAPBEXHLevel0 2 3 3 2" xfId="5441" xr:uid="{6AF87A54-8310-4CD2-916C-989E45D03941}"/>
    <cellStyle name="SAPBEXHLevel0 2 3 4" xfId="4211" xr:uid="{1E425DBC-497B-488F-B450-7A39EE11CEF7}"/>
    <cellStyle name="SAPBEXHLevel0 2 4" xfId="3163" xr:uid="{C7A02F57-6BF0-4D0F-A1EF-52AB2D4AC8AD}"/>
    <cellStyle name="SAPBEXHLevel0 2 4 2" xfId="5537" xr:uid="{F15E12A2-C7BA-4164-B6E5-0AED0D55DCBC}"/>
    <cellStyle name="SAPBEXHLevel0 2 5" xfId="3234" xr:uid="{37AA15B5-E5C6-44D9-BCE9-E15CB5D70551}"/>
    <cellStyle name="SAPBEXHLevel0 2 5 2" xfId="5608" xr:uid="{546F3025-87DE-42C2-9D8D-8166404DE6A6}"/>
    <cellStyle name="SAPBEXHLevel0 2 6" xfId="1673" xr:uid="{4FFD3559-416C-4418-913E-589139F47BC8}"/>
    <cellStyle name="SAPBEXHLevel0 2 6 2" xfId="4209" xr:uid="{1E34678E-500A-48BF-A05B-21D1AC0CA4C2}"/>
    <cellStyle name="SAPBEXHLevel0 2 7" xfId="3831" xr:uid="{10861CCE-96AA-436F-8123-73632B7080AE}"/>
    <cellStyle name="SAPBEXHLevel0 3" xfId="3054" xr:uid="{5482EA0F-F472-4C49-9A3B-40D951BDFCC5}"/>
    <cellStyle name="SAPBEXHLevel0 3 2" xfId="5428" xr:uid="{E371F977-85F5-4832-B8D4-A1DB094B50F7}"/>
    <cellStyle name="SAPBEXHLevel0 4" xfId="3086" xr:uid="{7D43D4A9-CF33-4142-92D2-E01DEE52393D}"/>
    <cellStyle name="SAPBEXHLevel0 4 2" xfId="5460" xr:uid="{CE9E4384-1910-450D-B6D8-4CEDE851F24F}"/>
    <cellStyle name="SAPBEXHLevel0 5" xfId="1672" xr:uid="{260F3BE1-1942-46A2-A562-B5B766064538}"/>
    <cellStyle name="SAPBEXHLevel0 5 2" xfId="4208" xr:uid="{A23D882A-90AE-4A45-AF82-1161667287CC}"/>
    <cellStyle name="SAPBEXHLevel0 6" xfId="3332" xr:uid="{F3F976E6-7CF9-44FB-8D7E-4ADF0B963DA8}"/>
    <cellStyle name="SAPBEXHLevel0X" xfId="93" xr:uid="{00000000-0005-0000-0000-000047030000}"/>
    <cellStyle name="SAPBEXHLevel0X 2" xfId="934" xr:uid="{813EE4E2-02AD-4BA4-B4E0-FB3EBA2FA67B}"/>
    <cellStyle name="SAPBEXHLevel0X 2 2" xfId="3224" xr:uid="{8F8CCF87-FF13-4FCF-8670-1B867124CC4C}"/>
    <cellStyle name="SAPBEXHLevel0X 2 2 2" xfId="5598" xr:uid="{93707180-4E41-4695-86AA-9258B552ACEA}"/>
    <cellStyle name="SAPBEXHLevel0X 2 3" xfId="3219" xr:uid="{D8C54BDF-2670-4CE5-B37F-B38527CA0278}"/>
    <cellStyle name="SAPBEXHLevel0X 2 3 2" xfId="5593" xr:uid="{41B27FAC-2F4B-454D-9C00-FDFE2E2788FB}"/>
    <cellStyle name="SAPBEXHLevel0X 2 4" xfId="1677" xr:uid="{32B63010-329F-4D76-8A7F-9FD229022CDF}"/>
    <cellStyle name="SAPBEXHLevel0X 2 4 2" xfId="4213" xr:uid="{3A448438-42D0-413C-AAA4-3538A5A2A881}"/>
    <cellStyle name="SAPBEXHLevel0X 2 5" xfId="3832" xr:uid="{59FDBCFC-53B4-4141-BECF-756F00B25457}"/>
    <cellStyle name="SAPBEXHLevel0X 3" xfId="3199" xr:uid="{EEAFB0A1-DEB3-4A98-875C-62B4CB6B81A9}"/>
    <cellStyle name="SAPBEXHLevel0X 3 2" xfId="5573" xr:uid="{2F620243-F1BE-4A4B-A50C-BAC29950D417}"/>
    <cellStyle name="SAPBEXHLevel0X 4" xfId="3193" xr:uid="{DCBA5B0E-57AA-4F1F-944D-44CB4BBA7ECC}"/>
    <cellStyle name="SAPBEXHLevel0X 4 2" xfId="5567" xr:uid="{FD762F34-C532-4821-AF39-F44AD444FB20}"/>
    <cellStyle name="SAPBEXHLevel0X 5" xfId="1676" xr:uid="{2B51D8E9-D1A4-403B-B2D6-36E138A0549F}"/>
    <cellStyle name="SAPBEXHLevel0X 5 2" xfId="4212" xr:uid="{B2398A4B-4FBD-4021-B9DF-43FE3BE8297B}"/>
    <cellStyle name="SAPBEXHLevel0X 6" xfId="3333" xr:uid="{3CA242C7-29FF-43C4-93C8-8237320BEBB9}"/>
    <cellStyle name="SAPBEXHLevel1" xfId="94" xr:uid="{00000000-0005-0000-0000-000048030000}"/>
    <cellStyle name="SAPBEXHLevel1 2" xfId="935" xr:uid="{1E5748E1-CCDE-447F-A92D-3D37BD09F332}"/>
    <cellStyle name="SAPBEXHLevel1 2 2" xfId="1680" xr:uid="{C106B658-C5B2-4B1E-B2C3-D9120C3D9AC1}"/>
    <cellStyle name="SAPBEXHLevel1 2 2 2" xfId="3188" xr:uid="{A8E64A5C-F606-4A78-8DF1-F7A3EC7F9343}"/>
    <cellStyle name="SAPBEXHLevel1 2 2 2 2" xfId="5562" xr:uid="{C05670E2-8557-4329-A35F-B2CB9C8977B3}"/>
    <cellStyle name="SAPBEXHLevel1 2 2 3" xfId="3216" xr:uid="{D96BDD4F-CBA9-41F6-AFCD-C9E5F4E88061}"/>
    <cellStyle name="SAPBEXHLevel1 2 2 3 2" xfId="5590" xr:uid="{4B98FEE1-E63E-42DE-A728-A17C2392D67A}"/>
    <cellStyle name="SAPBEXHLevel1 2 2 4" xfId="4216" xr:uid="{C503C903-EF2D-4CE5-8CF0-60915A1849C1}"/>
    <cellStyle name="SAPBEXHLevel1 2 3" xfId="1681" xr:uid="{81F47840-BE41-487F-8D39-AC08035EE070}"/>
    <cellStyle name="SAPBEXHLevel1 2 3 2" xfId="3061" xr:uid="{DC77A17B-E078-43F2-8B44-84E2BEF2B92B}"/>
    <cellStyle name="SAPBEXHLevel1 2 3 2 2" xfId="5435" xr:uid="{847C2E62-C60A-41D5-A260-087FD74DB7A6}"/>
    <cellStyle name="SAPBEXHLevel1 2 3 3" xfId="3179" xr:uid="{1B4A4CE9-03F6-48EE-8A89-03514D11A30B}"/>
    <cellStyle name="SAPBEXHLevel1 2 3 3 2" xfId="5553" xr:uid="{FAFFB840-C00D-40FE-8EAB-3713BF2DAB3E}"/>
    <cellStyle name="SAPBEXHLevel1 2 3 4" xfId="4217" xr:uid="{D0219CC4-9FFA-41D3-8883-6E6FD828D63E}"/>
    <cellStyle name="SAPBEXHLevel1 2 4" xfId="3226" xr:uid="{8ABAB0FD-D553-443E-A739-3BCA558E441E}"/>
    <cellStyle name="SAPBEXHLevel1 2 4 2" xfId="5600" xr:uid="{85407F7F-98BC-40E0-8AC7-AF5B0FB7678A}"/>
    <cellStyle name="SAPBEXHLevel1 2 5" xfId="3072" xr:uid="{6A09DDA2-6E4D-409D-962E-F08B34156114}"/>
    <cellStyle name="SAPBEXHLevel1 2 5 2" xfId="5446" xr:uid="{F44605D7-3459-4E22-A41F-008BA6B8B497}"/>
    <cellStyle name="SAPBEXHLevel1 2 6" xfId="1679" xr:uid="{B67C742D-F57F-428E-985D-E5EAFEE208DC}"/>
    <cellStyle name="SAPBEXHLevel1 2 6 2" xfId="4215" xr:uid="{828776C1-509B-4ABE-8BED-4F6EBF21ED2B}"/>
    <cellStyle name="SAPBEXHLevel1 2 7" xfId="3833" xr:uid="{B103F903-BAE2-4AE8-8E68-8E73ED73E25F}"/>
    <cellStyle name="SAPBEXHLevel1 3" xfId="3281" xr:uid="{BA804709-4A62-4CB3-BA1A-E9A6DDE4BCBF}"/>
    <cellStyle name="SAPBEXHLevel1 3 2" xfId="5655" xr:uid="{91C5EA0F-4F11-4D36-B0E1-B0B387E9720B}"/>
    <cellStyle name="SAPBEXHLevel1 4" xfId="3242" xr:uid="{F31E819A-0659-483B-8D96-6110D3190870}"/>
    <cellStyle name="SAPBEXHLevel1 4 2" xfId="5616" xr:uid="{2907E35E-5ECF-44ED-B12D-F1703BC9ECB3}"/>
    <cellStyle name="SAPBEXHLevel1 5" xfId="1678" xr:uid="{62258D7D-8031-45D0-90DB-1C1F40C782D3}"/>
    <cellStyle name="SAPBEXHLevel1 5 2" xfId="4214" xr:uid="{2F4A9481-9E6A-4F97-B4F3-B169FE04D6AA}"/>
    <cellStyle name="SAPBEXHLevel1 6" xfId="3334" xr:uid="{F2DE6417-491D-41F8-8ED7-F4751EAE75B6}"/>
    <cellStyle name="SAPBEXHLevel1X" xfId="95" xr:uid="{00000000-0005-0000-0000-000049030000}"/>
    <cellStyle name="SAPBEXHLevel1X 2" xfId="936" xr:uid="{4198AE00-CB9B-4A91-9629-87766F783E40}"/>
    <cellStyle name="SAPBEXHLevel1X 2 2" xfId="3132" xr:uid="{F6549A4C-F75A-40FC-A0C6-95A2F56842B1}"/>
    <cellStyle name="SAPBEXHLevel1X 2 2 2" xfId="5506" xr:uid="{DBBAAEF4-E339-4A4D-B28A-9A21B98FBBE6}"/>
    <cellStyle name="SAPBEXHLevel1X 2 3" xfId="3102" xr:uid="{D401DEA8-3682-4F5A-9E5C-43DD484DBCA8}"/>
    <cellStyle name="SAPBEXHLevel1X 2 3 2" xfId="5476" xr:uid="{72EDAC8F-2CC7-405D-99EB-8802383E58E4}"/>
    <cellStyle name="SAPBEXHLevel1X 2 4" xfId="1683" xr:uid="{EB5E3A6F-DCF9-4D74-81D2-AB8762A7BC6A}"/>
    <cellStyle name="SAPBEXHLevel1X 2 4 2" xfId="4219" xr:uid="{EDDE5062-6C15-42B9-B5CE-E96F8A9505E0}"/>
    <cellStyle name="SAPBEXHLevel1X 2 5" xfId="3834" xr:uid="{294E6A77-0425-410C-9907-794F42C9D273}"/>
    <cellStyle name="SAPBEXHLevel1X 3" xfId="3085" xr:uid="{F2A2836D-3FDF-4231-8FF4-02AB8ECB1EBB}"/>
    <cellStyle name="SAPBEXHLevel1X 3 2" xfId="5459" xr:uid="{11497F1E-4B8C-4C24-8875-966C5931BC66}"/>
    <cellStyle name="SAPBEXHLevel1X 4" xfId="3264" xr:uid="{63D45063-636F-489B-8378-B22C4F0AD139}"/>
    <cellStyle name="SAPBEXHLevel1X 4 2" xfId="5638" xr:uid="{A795B233-653E-4C8E-97E1-17B9B016D817}"/>
    <cellStyle name="SAPBEXHLevel1X 5" xfId="1682" xr:uid="{7AA82E9D-E1D7-4196-894E-EC1CD17581F1}"/>
    <cellStyle name="SAPBEXHLevel1X 5 2" xfId="4218" xr:uid="{BEE03B4C-2FC9-42A2-BBFE-5AC636401789}"/>
    <cellStyle name="SAPBEXHLevel1X 6" xfId="3335" xr:uid="{31D5C3FD-8E9E-4C29-BAAE-3A20BBE22289}"/>
    <cellStyle name="SAPBEXHLevel2" xfId="96" xr:uid="{00000000-0005-0000-0000-00004A030000}"/>
    <cellStyle name="SAPBEXHLevel2 2" xfId="937" xr:uid="{112184E3-3731-4B01-B8BE-C6F1F802D2B8}"/>
    <cellStyle name="SAPBEXHLevel2 2 2" xfId="1686" xr:uid="{714145B0-5052-4C76-BFCA-3BD9D4B8FFBF}"/>
    <cellStyle name="SAPBEXHLevel2 2 2 2" xfId="3189" xr:uid="{EE676274-4697-4607-9CAF-9A1815999F54}"/>
    <cellStyle name="SAPBEXHLevel2 2 2 2 2" xfId="5563" xr:uid="{E88E69B4-FF6E-41D8-B889-A040036B4841}"/>
    <cellStyle name="SAPBEXHLevel2 2 2 3" xfId="3266" xr:uid="{3EF86291-25F5-4611-B950-C58FB3E48C6B}"/>
    <cellStyle name="SAPBEXHLevel2 2 2 3 2" xfId="5640" xr:uid="{B2316DDC-4572-4D63-A615-7C32308608E1}"/>
    <cellStyle name="SAPBEXHLevel2 2 2 4" xfId="4222" xr:uid="{5E128F58-B43F-405F-AF9B-25445ADE457F}"/>
    <cellStyle name="SAPBEXHLevel2 2 3" xfId="1687" xr:uid="{F3A6212E-BBDC-41EB-AE04-C8C0D8FB7DD3}"/>
    <cellStyle name="SAPBEXHLevel2 2 3 2" xfId="3152" xr:uid="{7BC8A612-3A88-44FD-BD08-93C1BB2DEDD8}"/>
    <cellStyle name="SAPBEXHLevel2 2 3 2 2" xfId="5526" xr:uid="{CC58880A-7E69-4CE8-B8DF-ECA3DD796FF0}"/>
    <cellStyle name="SAPBEXHLevel2 2 3 3" xfId="3077" xr:uid="{1C8FA20C-B05D-4A71-9B83-0926A2EB85AF}"/>
    <cellStyle name="SAPBEXHLevel2 2 3 3 2" xfId="5451" xr:uid="{26D2DD2A-35B5-426D-A957-E3D7B259203A}"/>
    <cellStyle name="SAPBEXHLevel2 2 3 4" xfId="4223" xr:uid="{3520AE4C-F75E-4B47-8A17-AEAE975D1F34}"/>
    <cellStyle name="SAPBEXHLevel2 2 4" xfId="3094" xr:uid="{2187196E-C82C-47D1-84EA-3DF46AABC06A}"/>
    <cellStyle name="SAPBEXHLevel2 2 4 2" xfId="5468" xr:uid="{9CA45251-E5ED-47E0-923A-EFAFF46F275D}"/>
    <cellStyle name="SAPBEXHLevel2 2 5" xfId="3197" xr:uid="{12B87643-93D9-4BF2-8E1C-D6B4D2EAD30F}"/>
    <cellStyle name="SAPBEXHLevel2 2 5 2" xfId="5571" xr:uid="{DD81B9A2-E5BB-4969-B408-3F39E5E837D3}"/>
    <cellStyle name="SAPBEXHLevel2 2 6" xfId="1685" xr:uid="{2D80E795-DAC9-46F1-B95C-C10036BC1501}"/>
    <cellStyle name="SAPBEXHLevel2 2 6 2" xfId="4221" xr:uid="{864D8988-4A80-4744-925F-84A66B7DB089}"/>
    <cellStyle name="SAPBEXHLevel2 2 7" xfId="3835" xr:uid="{B1D10EC1-6262-4B66-BCF4-60A8275FB038}"/>
    <cellStyle name="SAPBEXHLevel2 3" xfId="3258" xr:uid="{CD214021-66A2-4D77-9F80-FA952FB153DD}"/>
    <cellStyle name="SAPBEXHLevel2 3 2" xfId="5632" xr:uid="{D7C5CDA5-0410-4CFC-813C-D37681F2C024}"/>
    <cellStyle name="SAPBEXHLevel2 4" xfId="3214" xr:uid="{4461AEE9-A85A-443E-BE2A-40891D7BE9F5}"/>
    <cellStyle name="SAPBEXHLevel2 4 2" xfId="5588" xr:uid="{B9348CC0-2B83-4E8D-9CBF-6FA39A089771}"/>
    <cellStyle name="SAPBEXHLevel2 5" xfId="1684" xr:uid="{2D1B3528-73AD-4F5B-98F1-AAD6A1F325EB}"/>
    <cellStyle name="SAPBEXHLevel2 5 2" xfId="4220" xr:uid="{7C4C8ED6-4497-4B77-A1DB-F86071B08271}"/>
    <cellStyle name="SAPBEXHLevel2 6" xfId="3336" xr:uid="{5A6C6A95-81A8-4D56-BF1B-C1457391BA84}"/>
    <cellStyle name="SAPBEXHLevel2X" xfId="97" xr:uid="{00000000-0005-0000-0000-00004B030000}"/>
    <cellStyle name="SAPBEXHLevel2X 2" xfId="938" xr:uid="{A67F28C8-8B88-4CF6-963E-478BFA3751FA}"/>
    <cellStyle name="SAPBEXHLevel2X 2 2" xfId="3231" xr:uid="{C1CA2D7D-33F5-4B52-B31C-3511AAFC3784}"/>
    <cellStyle name="SAPBEXHLevel2X 2 2 2" xfId="5605" xr:uid="{21CD9EE5-8364-4A53-B3F3-D89BF0D4E24F}"/>
    <cellStyle name="SAPBEXHLevel2X 2 3" xfId="3161" xr:uid="{47EB5110-FB10-4FB0-B4FB-DAD9B141F86B}"/>
    <cellStyle name="SAPBEXHLevel2X 2 3 2" xfId="5535" xr:uid="{1A1DDD78-426F-4A66-8A86-6CAA53908265}"/>
    <cellStyle name="SAPBEXHLevel2X 2 4" xfId="1689" xr:uid="{BDAA82C9-BCFF-408F-9D6B-51E125A3265C}"/>
    <cellStyle name="SAPBEXHLevel2X 2 4 2" xfId="4225" xr:uid="{3EEE0C88-04D1-48C2-AB70-9A4DBE2B576F}"/>
    <cellStyle name="SAPBEXHLevel2X 2 5" xfId="3836" xr:uid="{536E0248-1CD0-4C82-AA71-79C9F5BC9524}"/>
    <cellStyle name="SAPBEXHLevel2X 3" xfId="3139" xr:uid="{BBF79FAF-D7FA-4F3D-AFB8-A253EAB0BBEE}"/>
    <cellStyle name="SAPBEXHLevel2X 3 2" xfId="5513" xr:uid="{7AE0BC09-4275-42CE-9A2C-69CB9FF055DC}"/>
    <cellStyle name="SAPBEXHLevel2X 4" xfId="3167" xr:uid="{85558F91-DA11-4406-A70E-BFF59C320976}"/>
    <cellStyle name="SAPBEXHLevel2X 4 2" xfId="5541" xr:uid="{3903588A-50A4-4DF7-8BD5-D0E427AFC13A}"/>
    <cellStyle name="SAPBEXHLevel2X 5" xfId="1688" xr:uid="{F72307C4-13D2-4B84-8999-A0614543A787}"/>
    <cellStyle name="SAPBEXHLevel2X 5 2" xfId="4224" xr:uid="{10A0FB65-B1F9-4E42-B07C-D2DFFAF910F3}"/>
    <cellStyle name="SAPBEXHLevel2X 6" xfId="3337" xr:uid="{E399A763-B999-45DC-B044-7BA0F070C7AE}"/>
    <cellStyle name="SAPBEXHLevel3" xfId="98" xr:uid="{00000000-0005-0000-0000-00004C030000}"/>
    <cellStyle name="SAPBEXHLevel3 2" xfId="939" xr:uid="{7777D467-0747-40AA-9F66-1D866D47CBF4}"/>
    <cellStyle name="SAPBEXHLevel3 2 2" xfId="1692" xr:uid="{C5AB1ED3-EB95-4D64-A7BF-F3FA712E0883}"/>
    <cellStyle name="SAPBEXHLevel3 2 2 2" xfId="3053" xr:uid="{0A628118-39AB-46FC-B219-0D99E3BC4D1B}"/>
    <cellStyle name="SAPBEXHLevel3 2 2 2 2" xfId="5427" xr:uid="{93879C2C-F563-468A-8A9C-BC3E5484DED3}"/>
    <cellStyle name="SAPBEXHLevel3 2 2 3" xfId="3090" xr:uid="{7835B5FF-CBBC-471F-841D-A7E421953FC2}"/>
    <cellStyle name="SAPBEXHLevel3 2 2 3 2" xfId="5464" xr:uid="{851E7CB1-8D52-4AA5-8A2D-83DE5397B6D0}"/>
    <cellStyle name="SAPBEXHLevel3 2 2 4" xfId="4228" xr:uid="{73056ECB-676D-4AEB-A9AE-35D66F75E7DA}"/>
    <cellStyle name="SAPBEXHLevel3 2 3" xfId="1693" xr:uid="{EEC42B18-8434-4A9C-8573-47B77FB10DB1}"/>
    <cellStyle name="SAPBEXHLevel3 2 3 2" xfId="3147" xr:uid="{79AA4573-92F1-4125-AA13-F58437461D4A}"/>
    <cellStyle name="SAPBEXHLevel3 2 3 2 2" xfId="5521" xr:uid="{D22F378C-6803-49C8-A65C-8C589D64BDB1}"/>
    <cellStyle name="SAPBEXHLevel3 2 3 3" xfId="3215" xr:uid="{20608DAD-DC2E-468B-8444-938DDE98C1C1}"/>
    <cellStyle name="SAPBEXHLevel3 2 3 3 2" xfId="5589" xr:uid="{4182BC22-81C1-4912-86D0-C9AB0990D2E6}"/>
    <cellStyle name="SAPBEXHLevel3 2 3 4" xfId="4229" xr:uid="{9BE93428-DA7B-44DA-8326-9D51E208A732}"/>
    <cellStyle name="SAPBEXHLevel3 2 4" xfId="3238" xr:uid="{F81D12E0-72B9-4A7C-A99E-4C90C4A6772A}"/>
    <cellStyle name="SAPBEXHLevel3 2 4 2" xfId="5612" xr:uid="{42A12FBD-EA5F-4104-8BCB-C9494ADE8ED5}"/>
    <cellStyle name="SAPBEXHLevel3 2 5" xfId="3248" xr:uid="{C7E5924D-95F4-4D23-B446-41703BF07A32}"/>
    <cellStyle name="SAPBEXHLevel3 2 5 2" xfId="5622" xr:uid="{51442A61-18FB-4A3E-AAE5-57BEA19ADC2E}"/>
    <cellStyle name="SAPBEXHLevel3 2 6" xfId="1691" xr:uid="{38D6B4A2-C277-49D6-A7DD-DF7D6215FF46}"/>
    <cellStyle name="SAPBEXHLevel3 2 6 2" xfId="4227" xr:uid="{7F763750-FAE2-4BBA-BD0C-A2E9785C09D9}"/>
    <cellStyle name="SAPBEXHLevel3 2 7" xfId="3837" xr:uid="{07C7C0F2-0DEE-4008-A72F-A12B43223F81}"/>
    <cellStyle name="SAPBEXHLevel3 3" xfId="3050" xr:uid="{194FD71D-4B6A-45DD-B082-5E5267BCB116}"/>
    <cellStyle name="SAPBEXHLevel3 3 2" xfId="5424" xr:uid="{8CA14961-AB86-4EF5-BCA4-2D0AC3043194}"/>
    <cellStyle name="SAPBEXHLevel3 4" xfId="3252" xr:uid="{3002B438-73DC-41D3-ABBB-FA217E67C2B0}"/>
    <cellStyle name="SAPBEXHLevel3 4 2" xfId="5626" xr:uid="{12BFA2FC-A92D-4A71-9E1D-57BAC462DB0A}"/>
    <cellStyle name="SAPBEXHLevel3 5" xfId="1690" xr:uid="{8B81F412-77FC-4173-9B40-8D37A3A8E7E9}"/>
    <cellStyle name="SAPBEXHLevel3 5 2" xfId="4226" xr:uid="{EF6B7FAF-9FF3-4BD9-A1CD-D459ADE22901}"/>
    <cellStyle name="SAPBEXHLevel3 6" xfId="3338" xr:uid="{3F68943A-8C04-43FC-82FE-EBBB74874617}"/>
    <cellStyle name="SAPBEXHLevel3X" xfId="99" xr:uid="{00000000-0005-0000-0000-00004D030000}"/>
    <cellStyle name="SAPBEXHLevel3X 2" xfId="940" xr:uid="{16EE4387-87B1-4194-BBF1-16E8DA5257CE}"/>
    <cellStyle name="SAPBEXHLevel3X 2 2" xfId="3137" xr:uid="{062B4B9E-5E32-4305-9261-4C98C71F730F}"/>
    <cellStyle name="SAPBEXHLevel3X 2 2 2" xfId="5511" xr:uid="{36F4BC2A-99F3-4C12-B398-8794E5ED9AB8}"/>
    <cellStyle name="SAPBEXHLevel3X 2 3" xfId="3062" xr:uid="{B74864E9-5A7E-4129-9466-C1FC17D3F159}"/>
    <cellStyle name="SAPBEXHLevel3X 2 3 2" xfId="5436" xr:uid="{86D097EE-7D68-4033-8FD7-B81A03480E59}"/>
    <cellStyle name="SAPBEXHLevel3X 2 4" xfId="1695" xr:uid="{97CC3850-8912-44A7-AECC-9B7D5CBE139B}"/>
    <cellStyle name="SAPBEXHLevel3X 2 4 2" xfId="4231" xr:uid="{5D101530-DF46-4C6E-A20D-A34DB3159139}"/>
    <cellStyle name="SAPBEXHLevel3X 2 5" xfId="3838" xr:uid="{03033A44-CE05-43B4-8820-32A49FF15A53}"/>
    <cellStyle name="SAPBEXHLevel3X 3" xfId="3111" xr:uid="{0BA86707-23F3-4FF7-B9DD-0B363DA9B6C7}"/>
    <cellStyle name="SAPBEXHLevel3X 3 2" xfId="5485" xr:uid="{4021B919-FFF4-4F2C-A1F1-C027A61EC350}"/>
    <cellStyle name="SAPBEXHLevel3X 4" xfId="3150" xr:uid="{E96530CB-15B7-4064-A42B-A5CC62FB4C40}"/>
    <cellStyle name="SAPBEXHLevel3X 4 2" xfId="5524" xr:uid="{A691ACCD-A71D-4A43-B6D2-40725994FEBA}"/>
    <cellStyle name="SAPBEXHLevel3X 5" xfId="1694" xr:uid="{59CD1ED2-1588-4CDF-B9BC-DE2D6DB8967E}"/>
    <cellStyle name="SAPBEXHLevel3X 5 2" xfId="4230" xr:uid="{28BFA658-AD8E-4870-BF1C-9275F7F801FC}"/>
    <cellStyle name="SAPBEXHLevel3X 6" xfId="3339" xr:uid="{D86B91FE-C9AE-479B-BF00-715290AB56AA}"/>
    <cellStyle name="SAPBEXinputData" xfId="100" xr:uid="{00000000-0005-0000-0000-00004E030000}"/>
    <cellStyle name="SAPBEXinputData 10" xfId="2567" xr:uid="{AAF63542-08EA-4DE3-B8EC-4EEC7ECD119E}"/>
    <cellStyle name="SAPBEXinputData 10 2" xfId="5002" xr:uid="{40BBF454-2344-42D9-8BDD-C08AFCFE26F5}"/>
    <cellStyle name="SAPBEXinputData 11" xfId="1696" xr:uid="{1A579113-A5AE-4617-B77A-69AB844094E5}"/>
    <cellStyle name="SAPBEXinputData 11 2" xfId="4232" xr:uid="{3922B5AA-7000-45D0-A53E-C0274740EBF3}"/>
    <cellStyle name="SAPBEXinputData 2" xfId="941" xr:uid="{0148C0AB-2C94-485E-8FA3-50BFBF1A297C}"/>
    <cellStyle name="SAPBEXinputData 2 2" xfId="1697" xr:uid="{6FC52AA1-B276-4D4A-BF9A-EEE5C27D1103}"/>
    <cellStyle name="SAPBEXinputData 3" xfId="1698" xr:uid="{B1194430-3E4E-4135-917A-1C0AE77D20E6}"/>
    <cellStyle name="SAPBEXinputData 3 2" xfId="1699" xr:uid="{04F2F544-8439-4F37-8E79-33428810D98E}"/>
    <cellStyle name="SAPBEXinputData 3 2 2" xfId="1700" xr:uid="{7C25E428-B92B-49A9-BB73-C492C79F518F}"/>
    <cellStyle name="SAPBEXinputData 3 2 2 2" xfId="1701" xr:uid="{B8E33FD1-AF59-4792-BDB9-20A1EB58F4CF}"/>
    <cellStyle name="SAPBEXinputData 3 2 2 2 2" xfId="1702" xr:uid="{1F25D1F0-D7A5-4FB0-958E-0FF43633001C}"/>
    <cellStyle name="SAPBEXinputData 3 2 2 2 2 2" xfId="2099" xr:uid="{C0A9C0AD-64AE-4D49-A50B-4F2890F833E8}"/>
    <cellStyle name="SAPBEXinputData 3 2 2 2 2 2 2" xfId="2937" xr:uid="{B57229BB-9EF3-4DC3-A3B9-0DF9F263BF37}"/>
    <cellStyle name="SAPBEXinputData 3 2 2 2 2 2 2 2" xfId="5372" xr:uid="{DDCEC28C-1640-40A5-A37C-36B58BBAE962}"/>
    <cellStyle name="SAPBEXinputData 3 2 2 2 2 2 3" xfId="4616" xr:uid="{C0CAE623-7AB2-4916-8DAE-6397F20999A4}"/>
    <cellStyle name="SAPBEXinputData 3 2 2 2 2 3" xfId="2572" xr:uid="{DDF15937-116F-432B-9703-DA44E538CD8C}"/>
    <cellStyle name="SAPBEXinputData 3 2 2 2 2 3 2" xfId="5007" xr:uid="{FD562959-C2F8-40A4-A6F8-1C87B4175A9E}"/>
    <cellStyle name="SAPBEXinputData 3 2 2 2 2 4" xfId="4237" xr:uid="{277F3E23-D12E-4FA7-9EA7-9A0C20DD5BE4}"/>
    <cellStyle name="SAPBEXinputData 3 2 2 2 3" xfId="1929" xr:uid="{49B078E0-2BC9-4B68-AA2D-1BF2B55605CA}"/>
    <cellStyle name="SAPBEXinputData 3 2 2 2 3 2" xfId="2767" xr:uid="{96195523-41E3-4534-8D1C-3B8A9D18A796}"/>
    <cellStyle name="SAPBEXinputData 3 2 2 2 3 2 2" xfId="5202" xr:uid="{45D6AB71-934F-441F-8E21-3CC6BC25ECD9}"/>
    <cellStyle name="SAPBEXinputData 3 2 2 2 3 3" xfId="4446" xr:uid="{5014F3C8-4235-4236-88C1-5BCE6198C13E}"/>
    <cellStyle name="SAPBEXinputData 3 2 2 2 4" xfId="2571" xr:uid="{4F49B3A6-CE7E-4BB1-84C6-F1422AD08AD9}"/>
    <cellStyle name="SAPBEXinputData 3 2 2 2 4 2" xfId="5006" xr:uid="{6A8EBEBB-3E4D-46EB-A061-C8E5F2EB75AC}"/>
    <cellStyle name="SAPBEXinputData 3 2 2 2 5" xfId="4236" xr:uid="{4BBABC54-B07C-4B9F-8B98-4AD95E165BAD}"/>
    <cellStyle name="SAPBEXinputData 3 2 2 3" xfId="1703" xr:uid="{17893D3B-CD40-4749-9F28-188A502AA394}"/>
    <cellStyle name="SAPBEXinputData 3 2 2 3 2" xfId="1704" xr:uid="{0FD30FC4-EE41-4FE7-A1C9-B17D013D38B6}"/>
    <cellStyle name="SAPBEXinputData 3 2 2 3 2 2" xfId="2100" xr:uid="{19D45336-758F-4709-9259-396471067A13}"/>
    <cellStyle name="SAPBEXinputData 3 2 2 3 2 2 2" xfId="2938" xr:uid="{73118DEC-DD9F-439B-8A5D-807838BF9A74}"/>
    <cellStyle name="SAPBEXinputData 3 2 2 3 2 2 2 2" xfId="5373" xr:uid="{B0404280-37D3-4F23-B2C8-04BE2818D5B4}"/>
    <cellStyle name="SAPBEXinputData 3 2 2 3 2 2 3" xfId="4617" xr:uid="{A6BEF6DC-749A-4D71-9186-5B9BB8BBEB2C}"/>
    <cellStyle name="SAPBEXinputData 3 2 2 3 2 3" xfId="2574" xr:uid="{E089D064-D85F-48D3-AD62-2DDD538D7EAD}"/>
    <cellStyle name="SAPBEXinputData 3 2 2 3 2 3 2" xfId="5009" xr:uid="{30EF3464-27AF-4BC0-8AB0-298504C27121}"/>
    <cellStyle name="SAPBEXinputData 3 2 2 3 2 4" xfId="4239" xr:uid="{1CD1E717-D5C2-475C-9548-355A0DA68F52}"/>
    <cellStyle name="SAPBEXinputData 3 2 2 3 3" xfId="1930" xr:uid="{E589F60E-E408-40EF-9D5D-2D815D389A79}"/>
    <cellStyle name="SAPBEXinputData 3 2 2 3 3 2" xfId="2768" xr:uid="{71A7BD67-A496-4D25-8D8F-8DD2DE6537D9}"/>
    <cellStyle name="SAPBEXinputData 3 2 2 3 3 2 2" xfId="5203" xr:uid="{CAF18B6C-772A-4814-9127-09308595FD0E}"/>
    <cellStyle name="SAPBEXinputData 3 2 2 3 3 3" xfId="4447" xr:uid="{E289F265-8249-4A53-B1FB-91725068B0C3}"/>
    <cellStyle name="SAPBEXinputData 3 2 2 3 4" xfId="2573" xr:uid="{EA3EEF08-16BD-4672-8273-2462D1EC20A8}"/>
    <cellStyle name="SAPBEXinputData 3 2 2 3 4 2" xfId="5008" xr:uid="{835FEAB2-C8CD-487A-9EBE-5432BA231791}"/>
    <cellStyle name="SAPBEXinputData 3 2 2 3 5" xfId="4238" xr:uid="{5FF0F830-6FBE-4442-B60D-B8B18299EFF3}"/>
    <cellStyle name="SAPBEXinputData 3 2 2 4" xfId="1705" xr:uid="{668D6E70-9F13-464B-BE69-869AF50516A9}"/>
    <cellStyle name="SAPBEXinputData 3 2 2 4 2" xfId="2098" xr:uid="{2CD84618-8D71-48BC-A158-0F8F6B36432E}"/>
    <cellStyle name="SAPBEXinputData 3 2 2 4 2 2" xfId="2936" xr:uid="{463E53C9-C3F2-4D75-B829-A1C263A4E096}"/>
    <cellStyle name="SAPBEXinputData 3 2 2 4 2 2 2" xfId="5371" xr:uid="{3BBED34C-48DD-419B-8884-33839BCE7F34}"/>
    <cellStyle name="SAPBEXinputData 3 2 2 4 2 3" xfId="4615" xr:uid="{C2D32AE8-8BDB-405E-9E58-6301724E09AC}"/>
    <cellStyle name="SAPBEXinputData 3 2 2 4 3" xfId="2575" xr:uid="{99635248-C55F-4E76-A7E0-4B72064230DB}"/>
    <cellStyle name="SAPBEXinputData 3 2 2 4 3 2" xfId="5010" xr:uid="{92230EFB-8ED3-4940-8F2F-C6BFE3AEB6E7}"/>
    <cellStyle name="SAPBEXinputData 3 2 2 4 4" xfId="4240" xr:uid="{F0E69322-ABA2-48BE-BBBA-2ABF2F5AE142}"/>
    <cellStyle name="SAPBEXinputData 3 2 2 5" xfId="1928" xr:uid="{09E99A3D-B8EA-4B58-B0AC-44996109097B}"/>
    <cellStyle name="SAPBEXinputData 3 2 2 5 2" xfId="2766" xr:uid="{47821799-FA36-45BE-AC38-9F0F527D012D}"/>
    <cellStyle name="SAPBEXinputData 3 2 2 5 2 2" xfId="5201" xr:uid="{95B6E774-D7BC-450E-8FD1-C8AE0BCBCAA4}"/>
    <cellStyle name="SAPBEXinputData 3 2 2 5 3" xfId="4445" xr:uid="{5AACCB15-39F8-46E0-A61A-3C698746D268}"/>
    <cellStyle name="SAPBEXinputData 3 2 2 6" xfId="2570" xr:uid="{0A2A4471-46F4-443C-B9E9-695CB7C0620E}"/>
    <cellStyle name="SAPBEXinputData 3 2 2 6 2" xfId="5005" xr:uid="{0A3FE3F9-1DA1-444F-AF10-E57F35D4718A}"/>
    <cellStyle name="SAPBEXinputData 3 2 2 7" xfId="4235" xr:uid="{DAEE97A7-95D4-4661-83C9-BCEA2E4E18A2}"/>
    <cellStyle name="SAPBEXinputData 3 2 3" xfId="1706" xr:uid="{78A5B5CD-52E1-48F1-A1F2-E339A4C07EA4}"/>
    <cellStyle name="SAPBEXinputData 3 2 3 2" xfId="1707" xr:uid="{18A44AE7-20EA-4235-AFCC-EF3746BB92F0}"/>
    <cellStyle name="SAPBEXinputData 3 2 3 2 2" xfId="2101" xr:uid="{CD497E80-4461-4D4D-BD1B-E634A0767D37}"/>
    <cellStyle name="SAPBEXinputData 3 2 3 2 2 2" xfId="2939" xr:uid="{788B0D04-3541-4D0F-BC33-942821D4A027}"/>
    <cellStyle name="SAPBEXinputData 3 2 3 2 2 2 2" xfId="5374" xr:uid="{8F5ED226-3E97-4137-8AEC-9EE5760573A8}"/>
    <cellStyle name="SAPBEXinputData 3 2 3 2 2 3" xfId="4618" xr:uid="{742A945F-3681-44AB-9E0B-358790743963}"/>
    <cellStyle name="SAPBEXinputData 3 2 3 2 3" xfId="2577" xr:uid="{FCC10257-E003-4A50-8083-40E0B47C3C8C}"/>
    <cellStyle name="SAPBEXinputData 3 2 3 2 3 2" xfId="5012" xr:uid="{BC2FE3D1-8385-481A-86DC-2E9E101B3B26}"/>
    <cellStyle name="SAPBEXinputData 3 2 3 2 4" xfId="4242" xr:uid="{66CB0AE3-05C5-4A4B-9BF1-072609AE29FA}"/>
    <cellStyle name="SAPBEXinputData 3 2 3 3" xfId="1931" xr:uid="{39C9F305-08C7-4C07-830C-59EBC22A23AC}"/>
    <cellStyle name="SAPBEXinputData 3 2 3 3 2" xfId="2769" xr:uid="{77B45266-43A8-46A3-910E-3DA7B6CA3299}"/>
    <cellStyle name="SAPBEXinputData 3 2 3 3 2 2" xfId="5204" xr:uid="{35E3867F-BA9E-434E-8528-6F003398E209}"/>
    <cellStyle name="SAPBEXinputData 3 2 3 3 3" xfId="4448" xr:uid="{0525F4D4-60FE-4C76-BBD1-69E662231B57}"/>
    <cellStyle name="SAPBEXinputData 3 2 3 4" xfId="2576" xr:uid="{810C84F1-F424-46AE-ACB8-B5F0DEE1CADC}"/>
    <cellStyle name="SAPBEXinputData 3 2 3 4 2" xfId="5011" xr:uid="{B71B0A76-4AFF-4CCC-90C2-63CA134DE916}"/>
    <cellStyle name="SAPBEXinputData 3 2 3 5" xfId="4241" xr:uid="{18BD5A5F-9317-4F6A-8890-94E0F1611864}"/>
    <cellStyle name="SAPBEXinputData 3 2 4" xfId="1708" xr:uid="{6AF6BF63-7BCB-462B-8232-7BDAE20AE0AF}"/>
    <cellStyle name="SAPBEXinputData 3 2 4 2" xfId="1709" xr:uid="{243A1E57-7656-4E30-BF9D-424C53E55B1E}"/>
    <cellStyle name="SAPBEXinputData 3 2 4 2 2" xfId="2102" xr:uid="{CF7D1051-7367-4054-BFB8-BB906A626636}"/>
    <cellStyle name="SAPBEXinputData 3 2 4 2 2 2" xfId="2940" xr:uid="{708A2E5D-F964-41B1-B67E-C7A128B34DB5}"/>
    <cellStyle name="SAPBEXinputData 3 2 4 2 2 2 2" xfId="5375" xr:uid="{9DE719EC-53A0-4FF9-B27A-FC3CE6AB3593}"/>
    <cellStyle name="SAPBEXinputData 3 2 4 2 2 3" xfId="4619" xr:uid="{67CC101B-8DD3-455B-A949-F67012BB6D15}"/>
    <cellStyle name="SAPBEXinputData 3 2 4 2 3" xfId="2579" xr:uid="{3BEF5AEF-669D-4116-B83F-8AA92404E331}"/>
    <cellStyle name="SAPBEXinputData 3 2 4 2 3 2" xfId="5014" xr:uid="{558987F3-8B21-49F3-9064-106349F1B068}"/>
    <cellStyle name="SAPBEXinputData 3 2 4 2 4" xfId="4244" xr:uid="{191D661A-AB83-4B3B-9DC8-E8B387D29018}"/>
    <cellStyle name="SAPBEXinputData 3 2 4 3" xfId="1932" xr:uid="{33DDD796-3835-4DA9-995F-E1B96575DB61}"/>
    <cellStyle name="SAPBEXinputData 3 2 4 3 2" xfId="2770" xr:uid="{B4F57D7E-B15A-4C22-9C6F-26301AD4503C}"/>
    <cellStyle name="SAPBEXinputData 3 2 4 3 2 2" xfId="5205" xr:uid="{B43F42DA-2899-49FB-A19A-FE100259EDDF}"/>
    <cellStyle name="SAPBEXinputData 3 2 4 3 3" xfId="4449" xr:uid="{3A5728AB-B5F2-4F8E-A106-41B36DA71F3F}"/>
    <cellStyle name="SAPBEXinputData 3 2 4 4" xfId="2578" xr:uid="{A8D59F88-9AB3-4A96-A2EF-D66360185B84}"/>
    <cellStyle name="SAPBEXinputData 3 2 4 4 2" xfId="5013" xr:uid="{29666E23-3035-4B57-A296-EDE2D0DCC1EC}"/>
    <cellStyle name="SAPBEXinputData 3 2 4 5" xfId="4243" xr:uid="{C30B0778-9A29-4E48-A94B-59491973F739}"/>
    <cellStyle name="SAPBEXinputData 3 2 5" xfId="1710" xr:uid="{7AA6126F-332E-40D7-8BA8-994F8E2EDC98}"/>
    <cellStyle name="SAPBEXinputData 3 2 5 2" xfId="2097" xr:uid="{1FF4BD47-D98D-4F6B-9612-765A2ABD413A}"/>
    <cellStyle name="SAPBEXinputData 3 2 5 2 2" xfId="2935" xr:uid="{7823D7AF-2470-4345-B628-926266C299D5}"/>
    <cellStyle name="SAPBEXinputData 3 2 5 2 2 2" xfId="5370" xr:uid="{49B6AD80-CA01-4D4B-BC28-325395101598}"/>
    <cellStyle name="SAPBEXinputData 3 2 5 2 3" xfId="4614" xr:uid="{F3D9255A-0898-4EC6-A276-F8542C3AA563}"/>
    <cellStyle name="SAPBEXinputData 3 2 5 3" xfId="2580" xr:uid="{EC90F5FD-D4F5-4F91-B837-532FAEECA4CB}"/>
    <cellStyle name="SAPBEXinputData 3 2 5 3 2" xfId="5015" xr:uid="{D7158EA9-BBFD-4ED0-9AB4-B331E64F3D29}"/>
    <cellStyle name="SAPBEXinputData 3 2 5 4" xfId="4245" xr:uid="{56424AA1-2A39-4898-BC17-920ECF0DE06F}"/>
    <cellStyle name="SAPBEXinputData 3 2 6" xfId="1927" xr:uid="{2DCAAEF4-3A18-4631-A305-AF391C47E61D}"/>
    <cellStyle name="SAPBEXinputData 3 2 6 2" xfId="2765" xr:uid="{0D56C213-040A-48FF-B6D8-A286984A10AA}"/>
    <cellStyle name="SAPBEXinputData 3 2 6 2 2" xfId="5200" xr:uid="{F22678BA-2B47-4A10-93CA-6F85AA44929F}"/>
    <cellStyle name="SAPBEXinputData 3 2 6 3" xfId="4444" xr:uid="{586B3576-219B-499E-951B-A1A9A16C7C4F}"/>
    <cellStyle name="SAPBEXinputData 3 2 7" xfId="2569" xr:uid="{3C9E0BEB-F2FC-4601-9BD9-9976393D77A1}"/>
    <cellStyle name="SAPBEXinputData 3 2 7 2" xfId="5004" xr:uid="{D324CAF6-7D73-4F48-A1C4-BBCC508D2A2D}"/>
    <cellStyle name="SAPBEXinputData 3 2 8" xfId="4234" xr:uid="{AD23C2D4-DF61-467D-A06F-47EA196AE0E1}"/>
    <cellStyle name="SAPBEXinputData 3 3" xfId="1711" xr:uid="{91996F28-14AE-4835-B37C-0E933BE052B5}"/>
    <cellStyle name="SAPBEXinputData 3 3 2" xfId="1712" xr:uid="{E267E28A-1EB7-41D0-A906-17C08C79854F}"/>
    <cellStyle name="SAPBEXinputData 3 3 2 2" xfId="1713" xr:uid="{CB9CDCEE-BDFF-43C6-BD48-83334761FFFD}"/>
    <cellStyle name="SAPBEXinputData 3 3 2 2 2" xfId="2104" xr:uid="{8DBF22E0-83E6-417B-8705-D819110FF003}"/>
    <cellStyle name="SAPBEXinputData 3 3 2 2 2 2" xfId="2942" xr:uid="{D23364FC-685F-4EC3-828A-EFB00BD9ADA1}"/>
    <cellStyle name="SAPBEXinputData 3 3 2 2 2 2 2" xfId="5377" xr:uid="{BAFA45DD-5923-496F-8CB3-5505177BB969}"/>
    <cellStyle name="SAPBEXinputData 3 3 2 2 2 3" xfId="4621" xr:uid="{F9D30D69-B85D-4EEA-B5B6-E0521D81FE57}"/>
    <cellStyle name="SAPBEXinputData 3 3 2 2 3" xfId="2583" xr:uid="{2FB5F220-EEFB-44FE-98CB-3131F12155B0}"/>
    <cellStyle name="SAPBEXinputData 3 3 2 2 3 2" xfId="5018" xr:uid="{8F5334EF-A364-4879-B512-91B9B4690F50}"/>
    <cellStyle name="SAPBEXinputData 3 3 2 2 4" xfId="4248" xr:uid="{6F812BE6-06CD-44F5-A1EF-6F5520AB757C}"/>
    <cellStyle name="SAPBEXinputData 3 3 2 3" xfId="1934" xr:uid="{1ECFBDC3-44E8-4C5D-A86F-CE39CFCF9D1D}"/>
    <cellStyle name="SAPBEXinputData 3 3 2 3 2" xfId="2772" xr:uid="{F5716692-C209-413B-B8E9-2B44814AF0FD}"/>
    <cellStyle name="SAPBEXinputData 3 3 2 3 2 2" xfId="5207" xr:uid="{22B9B60C-420A-405A-8012-1FF82D90E104}"/>
    <cellStyle name="SAPBEXinputData 3 3 2 3 3" xfId="4451" xr:uid="{B0DAC841-BDC1-4C39-B2C2-2E5B85234BB0}"/>
    <cellStyle name="SAPBEXinputData 3 3 2 4" xfId="2582" xr:uid="{6B97D162-B437-46BE-A40A-228959DE96BA}"/>
    <cellStyle name="SAPBEXinputData 3 3 2 4 2" xfId="5017" xr:uid="{B4EE16FA-5B18-466D-B74F-2E3A564D0EF9}"/>
    <cellStyle name="SAPBEXinputData 3 3 2 5" xfId="4247" xr:uid="{2C137BAA-D27D-40D8-A92B-3A1EF393B717}"/>
    <cellStyle name="SAPBEXinputData 3 3 3" xfId="1714" xr:uid="{2BF9BE9D-4FAB-43CB-855B-C7865BD38BE0}"/>
    <cellStyle name="SAPBEXinputData 3 3 3 2" xfId="1715" xr:uid="{3CAC144B-5D74-428C-82A0-0A24E95A957A}"/>
    <cellStyle name="SAPBEXinputData 3 3 3 2 2" xfId="2105" xr:uid="{8A637E50-982D-4125-B29C-70C494F4B933}"/>
    <cellStyle name="SAPBEXinputData 3 3 3 2 2 2" xfId="2943" xr:uid="{3367BC72-3A10-4B85-9BC7-4C5D793A9A3C}"/>
    <cellStyle name="SAPBEXinputData 3 3 3 2 2 2 2" xfId="5378" xr:uid="{65EDA595-DA97-4DE3-86AC-36228A0416EE}"/>
    <cellStyle name="SAPBEXinputData 3 3 3 2 2 3" xfId="4622" xr:uid="{37DEDC46-02C9-46FC-8A86-CA2F738FB79D}"/>
    <cellStyle name="SAPBEXinputData 3 3 3 2 3" xfId="2585" xr:uid="{79481D60-6783-4AB2-877E-B0985AE06EDC}"/>
    <cellStyle name="SAPBEXinputData 3 3 3 2 3 2" xfId="5020" xr:uid="{6D45E1CF-8888-43FB-8793-406AFBBE6D22}"/>
    <cellStyle name="SAPBEXinputData 3 3 3 2 4" xfId="4250" xr:uid="{B8195268-A1AA-41E2-8AFE-6CFD6772EB91}"/>
    <cellStyle name="SAPBEXinputData 3 3 3 3" xfId="1935" xr:uid="{27ADB23A-A418-4A14-AC22-A4E8A8C4F24C}"/>
    <cellStyle name="SAPBEXinputData 3 3 3 3 2" xfId="2773" xr:uid="{E22F1A86-4D5C-4D34-93B2-953F68ED9945}"/>
    <cellStyle name="SAPBEXinputData 3 3 3 3 2 2" xfId="5208" xr:uid="{990B18E2-238C-45FD-B92A-8E52D5DDC8F3}"/>
    <cellStyle name="SAPBEXinputData 3 3 3 3 3" xfId="4452" xr:uid="{9389F7A5-FD50-412C-A235-6D656FEF72FB}"/>
    <cellStyle name="SAPBEXinputData 3 3 3 4" xfId="2584" xr:uid="{A9A9F4E4-E5C1-4FFF-A799-76F15328A3F7}"/>
    <cellStyle name="SAPBEXinputData 3 3 3 4 2" xfId="5019" xr:uid="{0C85DBA7-7A19-487C-A403-E74C06D9434B}"/>
    <cellStyle name="SAPBEXinputData 3 3 3 5" xfId="4249" xr:uid="{B47C5001-576A-4B60-BAEF-3E57E7B83CE5}"/>
    <cellStyle name="SAPBEXinputData 3 3 4" xfId="1716" xr:uid="{4D408A54-B5ED-40E4-923A-D8467199F613}"/>
    <cellStyle name="SAPBEXinputData 3 3 4 2" xfId="2103" xr:uid="{8F93ED7B-ECC5-4FFB-AE7B-E7D4E848FF5A}"/>
    <cellStyle name="SAPBEXinputData 3 3 4 2 2" xfId="2941" xr:uid="{10465F02-F2E7-4FCE-86CD-FDFAB56EFA2E}"/>
    <cellStyle name="SAPBEXinputData 3 3 4 2 2 2" xfId="5376" xr:uid="{CD5AABA8-A491-4EB0-934B-6654CBAC758E}"/>
    <cellStyle name="SAPBEXinputData 3 3 4 2 3" xfId="4620" xr:uid="{33F07994-5014-4C5A-AF55-ABACB651182D}"/>
    <cellStyle name="SAPBEXinputData 3 3 4 3" xfId="2586" xr:uid="{0AB524D2-C6E2-435F-8C75-99AC390E6EEA}"/>
    <cellStyle name="SAPBEXinputData 3 3 4 3 2" xfId="5021" xr:uid="{C9119ED5-20D8-4A66-B065-2E8F5F87244B}"/>
    <cellStyle name="SAPBEXinputData 3 3 4 4" xfId="4251" xr:uid="{81C586F6-62E9-4A61-9A4B-E447EB4FDA90}"/>
    <cellStyle name="SAPBEXinputData 3 3 5" xfId="1933" xr:uid="{82E14327-FC2E-42F1-A990-3EA35D112C92}"/>
    <cellStyle name="SAPBEXinputData 3 3 5 2" xfId="2771" xr:uid="{5BF0BF84-C591-4C44-AB95-50AE4CE8BA6D}"/>
    <cellStyle name="SAPBEXinputData 3 3 5 2 2" xfId="5206" xr:uid="{298C2A0F-DEE3-4662-A741-6F00991DB950}"/>
    <cellStyle name="SAPBEXinputData 3 3 5 3" xfId="4450" xr:uid="{339EA93A-475F-4BBB-9C15-261CA323E7DA}"/>
    <cellStyle name="SAPBEXinputData 3 3 6" xfId="2581" xr:uid="{762A5257-34DD-4611-B4D5-CB2B981C6F48}"/>
    <cellStyle name="SAPBEXinputData 3 3 6 2" xfId="5016" xr:uid="{6CDF7C48-ED0B-4D6A-8EF2-9C357D48C6E9}"/>
    <cellStyle name="SAPBEXinputData 3 3 7" xfId="4246" xr:uid="{46C5EE81-3784-4312-9B2D-A78D3E92F8DB}"/>
    <cellStyle name="SAPBEXinputData 3 4" xfId="1717" xr:uid="{DED8D001-BFA1-4383-B8A0-E990A6A3E58C}"/>
    <cellStyle name="SAPBEXinputData 3 4 2" xfId="1718" xr:uid="{B93EAE69-F8E5-4083-ABD2-51DB61B3220F}"/>
    <cellStyle name="SAPBEXinputData 3 4 2 2" xfId="2106" xr:uid="{93862EDE-D185-48BB-869D-8D4D6E48F987}"/>
    <cellStyle name="SAPBEXinputData 3 4 2 2 2" xfId="2944" xr:uid="{09729F31-54AD-4830-B976-8EF6367B70A4}"/>
    <cellStyle name="SAPBEXinputData 3 4 2 2 2 2" xfId="5379" xr:uid="{85627A21-6D5A-440D-94FE-11CE132F4A12}"/>
    <cellStyle name="SAPBEXinputData 3 4 2 2 3" xfId="4623" xr:uid="{D2ED13E9-13E2-4399-82E9-9B1FCFBB7CFC}"/>
    <cellStyle name="SAPBEXinputData 3 4 2 3" xfId="2588" xr:uid="{E42E7BEE-5108-493C-9706-BBC294382E90}"/>
    <cellStyle name="SAPBEXinputData 3 4 2 3 2" xfId="5023" xr:uid="{AF21F321-9E16-41E0-968F-5CD90BEC3E8A}"/>
    <cellStyle name="SAPBEXinputData 3 4 2 4" xfId="4253" xr:uid="{A2A23581-F397-4E50-9529-40DC3DCA039D}"/>
    <cellStyle name="SAPBEXinputData 3 4 3" xfId="1936" xr:uid="{F1C7D784-5A72-41BB-8BE1-52DF61EE07FA}"/>
    <cellStyle name="SAPBEXinputData 3 4 3 2" xfId="2774" xr:uid="{701F95A4-0EDA-41F0-B6E2-8FBB9351C097}"/>
    <cellStyle name="SAPBEXinputData 3 4 3 2 2" xfId="5209" xr:uid="{AEE03905-7F0E-461B-B992-E0FBA6D101D8}"/>
    <cellStyle name="SAPBEXinputData 3 4 3 3" xfId="4453" xr:uid="{85C6664D-AA62-46B0-B731-F815F59D857E}"/>
    <cellStyle name="SAPBEXinputData 3 4 4" xfId="2587" xr:uid="{E56333AD-37C3-426D-8AB9-AD73E2B0DAE9}"/>
    <cellStyle name="SAPBEXinputData 3 4 4 2" xfId="5022" xr:uid="{8EB0932C-C033-4E2B-A753-803EC4876EDC}"/>
    <cellStyle name="SAPBEXinputData 3 4 5" xfId="4252" xr:uid="{26DDA670-9357-447E-9137-89B91F7E30E3}"/>
    <cellStyle name="SAPBEXinputData 3 5" xfId="1719" xr:uid="{16BFFB29-3A13-4DF1-BD21-094AE0AEDF19}"/>
    <cellStyle name="SAPBEXinputData 3 5 2" xfId="1720" xr:uid="{498D8D6B-70E9-4394-9E38-DC350F4BDB90}"/>
    <cellStyle name="SAPBEXinputData 3 5 2 2" xfId="2107" xr:uid="{956C48D7-A560-4631-9A69-5990542694D3}"/>
    <cellStyle name="SAPBEXinputData 3 5 2 2 2" xfId="2945" xr:uid="{D000C9E1-9011-4E7D-8907-B6847999FE91}"/>
    <cellStyle name="SAPBEXinputData 3 5 2 2 2 2" xfId="5380" xr:uid="{85C2270B-3E6B-448C-AE79-91032951C3DD}"/>
    <cellStyle name="SAPBEXinputData 3 5 2 2 3" xfId="4624" xr:uid="{F6422E0D-5714-4885-AB46-6625534ECA44}"/>
    <cellStyle name="SAPBEXinputData 3 5 2 3" xfId="2590" xr:uid="{4D66178D-F3EC-45C6-93BD-D35A7A050298}"/>
    <cellStyle name="SAPBEXinputData 3 5 2 3 2" xfId="5025" xr:uid="{146E2E40-16FD-4582-9934-AB09A0D5A769}"/>
    <cellStyle name="SAPBEXinputData 3 5 2 4" xfId="4255" xr:uid="{65B9FAFF-6B30-458E-B065-79B51421F138}"/>
    <cellStyle name="SAPBEXinputData 3 5 3" xfId="1937" xr:uid="{8478C87B-EA67-47D7-8E48-4F864B5B9C06}"/>
    <cellStyle name="SAPBEXinputData 3 5 3 2" xfId="2775" xr:uid="{43B3F61D-8489-4CFF-A08C-3C832FF9D56B}"/>
    <cellStyle name="SAPBEXinputData 3 5 3 2 2" xfId="5210" xr:uid="{2920D18B-4531-49DA-8759-C47BC98B832B}"/>
    <cellStyle name="SAPBEXinputData 3 5 3 3" xfId="4454" xr:uid="{36A81AB0-CD38-4116-B97A-3CA92D0A5B72}"/>
    <cellStyle name="SAPBEXinputData 3 5 4" xfId="2589" xr:uid="{81B53D3E-A5D6-4ADE-9D84-6C400B8B5687}"/>
    <cellStyle name="SAPBEXinputData 3 5 4 2" xfId="5024" xr:uid="{77701A65-87EC-4215-A9F2-C2EDB6E55883}"/>
    <cellStyle name="SAPBEXinputData 3 5 5" xfId="4254" xr:uid="{B700A44E-76B2-4C79-8953-9F63333C1CF6}"/>
    <cellStyle name="SAPBEXinputData 3 6" xfId="1721" xr:uid="{8D92FC36-DCD2-4FE9-895B-4EEC31657FDB}"/>
    <cellStyle name="SAPBEXinputData 3 6 2" xfId="2096" xr:uid="{F4E9A190-476B-4810-AA58-EE2746A72E56}"/>
    <cellStyle name="SAPBEXinputData 3 6 2 2" xfId="2934" xr:uid="{1615206E-F9D2-44E3-AC2D-0A57CEF6212B}"/>
    <cellStyle name="SAPBEXinputData 3 6 2 2 2" xfId="5369" xr:uid="{5C78FA22-6476-4EF1-8E41-25EB80EFD0C3}"/>
    <cellStyle name="SAPBEXinputData 3 6 2 3" xfId="4613" xr:uid="{199D51ED-7836-46FA-A070-BDDE3471703E}"/>
    <cellStyle name="SAPBEXinputData 3 6 3" xfId="2591" xr:uid="{59957EFD-77FF-4D98-88D2-B46D41BAD10A}"/>
    <cellStyle name="SAPBEXinputData 3 6 3 2" xfId="5026" xr:uid="{070F42D5-8280-46E5-B165-E812C6D66884}"/>
    <cellStyle name="SAPBEXinputData 3 6 4" xfId="4256" xr:uid="{2E0E3F1A-DE7D-4519-92D2-F691F534B5F7}"/>
    <cellStyle name="SAPBEXinputData 3 7" xfId="1926" xr:uid="{1DDF0F80-74EA-4C2E-ADDC-0D1D081FB545}"/>
    <cellStyle name="SAPBEXinputData 3 7 2" xfId="2764" xr:uid="{224F7EBB-9B2B-47D3-B3C9-6F7B174F7596}"/>
    <cellStyle name="SAPBEXinputData 3 7 2 2" xfId="5199" xr:uid="{7A972553-56F5-43C5-9E31-5E05AF8CCC14}"/>
    <cellStyle name="SAPBEXinputData 3 7 3" xfId="4443" xr:uid="{AB1FCD97-DDDC-4423-8F0A-4308AE098F3A}"/>
    <cellStyle name="SAPBEXinputData 3 8" xfId="2568" xr:uid="{646A1240-742C-4B5D-86DC-F7A85D1E5C7E}"/>
    <cellStyle name="SAPBEXinputData 3 8 2" xfId="5003" xr:uid="{4CC097A4-D900-4F85-A639-D8358725EBB6}"/>
    <cellStyle name="SAPBEXinputData 3 9" xfId="4233" xr:uid="{258B7CE2-FFEA-43F2-905A-22EFE8695FE8}"/>
    <cellStyle name="SAPBEXinputData 4" xfId="1722" xr:uid="{F86C70C2-D51C-4681-99E7-379267F8BFEF}"/>
    <cellStyle name="SAPBEXinputData 4 2" xfId="1723" xr:uid="{6A0B938B-16EF-4685-9D6D-1A28B283B0DE}"/>
    <cellStyle name="SAPBEXinputData 4 2 2" xfId="1724" xr:uid="{50189E35-EEAD-47DC-B51A-A453604F9694}"/>
    <cellStyle name="SAPBEXinputData 4 2 2 2" xfId="1725" xr:uid="{8F549E5B-8BAD-4B11-A95A-E3A081454539}"/>
    <cellStyle name="SAPBEXinputData 4 2 2 2 2" xfId="2110" xr:uid="{422ABE01-94B9-4E22-A433-E9136F6C82FD}"/>
    <cellStyle name="SAPBEXinputData 4 2 2 2 2 2" xfId="2948" xr:uid="{3A55464A-FFD0-46E2-BA49-F00EDF5F53A8}"/>
    <cellStyle name="SAPBEXinputData 4 2 2 2 2 2 2" xfId="5383" xr:uid="{DB24497E-2015-4BDD-B3F2-A5DB0B5ADDB3}"/>
    <cellStyle name="SAPBEXinputData 4 2 2 2 2 3" xfId="4627" xr:uid="{BA92D004-E528-4614-BACF-AF8F64A2A860}"/>
    <cellStyle name="SAPBEXinputData 4 2 2 2 3" xfId="2595" xr:uid="{2EAE74A1-CDF6-40CF-B62F-3D9D82DB721F}"/>
    <cellStyle name="SAPBEXinputData 4 2 2 2 3 2" xfId="5030" xr:uid="{292861AB-3164-4093-9B3A-7AE83A2FD823}"/>
    <cellStyle name="SAPBEXinputData 4 2 2 2 4" xfId="4260" xr:uid="{BAA1AA0C-540E-4FBE-832F-D88C5A86F70A}"/>
    <cellStyle name="SAPBEXinputData 4 2 2 3" xfId="1940" xr:uid="{88B75914-9B56-46B7-A624-5A08AB9400DA}"/>
    <cellStyle name="SAPBEXinputData 4 2 2 3 2" xfId="2778" xr:uid="{28DAA0EE-37E3-499D-A984-9C70D1C841FF}"/>
    <cellStyle name="SAPBEXinputData 4 2 2 3 2 2" xfId="5213" xr:uid="{05E3E233-41C0-4329-9007-EB15B51CA0FC}"/>
    <cellStyle name="SAPBEXinputData 4 2 2 3 3" xfId="4457" xr:uid="{1AEDFAF7-7841-4500-A278-B35FE117F462}"/>
    <cellStyle name="SAPBEXinputData 4 2 2 4" xfId="2594" xr:uid="{6D0E931D-F845-4D84-8BD1-632459D01994}"/>
    <cellStyle name="SAPBEXinputData 4 2 2 4 2" xfId="5029" xr:uid="{689FBF51-9D30-4597-9729-8A99F80E3553}"/>
    <cellStyle name="SAPBEXinputData 4 2 2 5" xfId="4259" xr:uid="{91D329EF-E3A0-4456-957E-BE1443382FC6}"/>
    <cellStyle name="SAPBEXinputData 4 2 3" xfId="1726" xr:uid="{8DB53F7D-BA0B-4062-9C40-FF820ACA9D40}"/>
    <cellStyle name="SAPBEXinputData 4 2 3 2" xfId="1727" xr:uid="{C6A58774-E25B-42A1-884C-3A22196D08C3}"/>
    <cellStyle name="SAPBEXinputData 4 2 3 2 2" xfId="2111" xr:uid="{77E60597-9230-4339-9597-9482BEE23384}"/>
    <cellStyle name="SAPBEXinputData 4 2 3 2 2 2" xfId="2949" xr:uid="{63721460-05E8-4A6C-8D94-CD85342547E8}"/>
    <cellStyle name="SAPBEXinputData 4 2 3 2 2 2 2" xfId="5384" xr:uid="{75838B51-5ADC-4146-AD65-DDA87FC3A936}"/>
    <cellStyle name="SAPBEXinputData 4 2 3 2 2 3" xfId="4628" xr:uid="{2C4CB1CE-0B61-44C0-B7BD-0B1A0ECFCDD1}"/>
    <cellStyle name="SAPBEXinputData 4 2 3 2 3" xfId="2597" xr:uid="{B1902837-7A3A-40AD-A158-2C138FD38254}"/>
    <cellStyle name="SAPBEXinputData 4 2 3 2 3 2" xfId="5032" xr:uid="{63439BF6-60F9-4D11-9CDE-8D50FFFDEE01}"/>
    <cellStyle name="SAPBEXinputData 4 2 3 2 4" xfId="4262" xr:uid="{AA03456B-05AB-4043-BBDD-1DBA2A689170}"/>
    <cellStyle name="SAPBEXinputData 4 2 3 3" xfId="1941" xr:uid="{B01859D4-A00B-41D3-B2AC-A94E0B54FBB3}"/>
    <cellStyle name="SAPBEXinputData 4 2 3 3 2" xfId="2779" xr:uid="{AC1015E7-4002-4B32-89A2-26B19218282A}"/>
    <cellStyle name="SAPBEXinputData 4 2 3 3 2 2" xfId="5214" xr:uid="{9D05F15A-20D5-4D15-883B-C53AF27664E3}"/>
    <cellStyle name="SAPBEXinputData 4 2 3 3 3" xfId="4458" xr:uid="{DBD4C37F-F051-4CE9-86A9-2693B08F5F99}"/>
    <cellStyle name="SAPBEXinputData 4 2 3 4" xfId="2596" xr:uid="{D4F25CC6-122A-49F4-8288-B1C578DDF1ED}"/>
    <cellStyle name="SAPBEXinputData 4 2 3 4 2" xfId="5031" xr:uid="{CC3D40C8-7B91-4FFE-A87E-4E8F64C45619}"/>
    <cellStyle name="SAPBEXinputData 4 2 3 5" xfId="4261" xr:uid="{3C2FB233-1FED-412A-AA2F-6AB865A28849}"/>
    <cellStyle name="SAPBEXinputData 4 2 4" xfId="1728" xr:uid="{34D7F090-6CC1-47B5-B2F5-CCFB4A0CE391}"/>
    <cellStyle name="SAPBEXinputData 4 2 4 2" xfId="2109" xr:uid="{0F1E612D-452F-46DF-B4EB-A7F9FB9D9198}"/>
    <cellStyle name="SAPBEXinputData 4 2 4 2 2" xfId="2947" xr:uid="{82EE6838-DA26-4DF2-AD0F-66E97F4FF867}"/>
    <cellStyle name="SAPBEXinputData 4 2 4 2 2 2" xfId="5382" xr:uid="{8A855AE8-D107-4622-93E0-9274B57DCB4C}"/>
    <cellStyle name="SAPBEXinputData 4 2 4 2 3" xfId="4626" xr:uid="{B36CB8DA-4543-4C96-9894-B5CA1A2700D2}"/>
    <cellStyle name="SAPBEXinputData 4 2 4 3" xfId="2598" xr:uid="{6915977F-6868-4F0E-A54B-CE51D3E66155}"/>
    <cellStyle name="SAPBEXinputData 4 2 4 3 2" xfId="5033" xr:uid="{68F37A7B-3E4E-4462-B585-6B51669194AF}"/>
    <cellStyle name="SAPBEXinputData 4 2 4 4" xfId="4263" xr:uid="{8DD07F0B-95DA-4D8A-97C6-2279A984147C}"/>
    <cellStyle name="SAPBEXinputData 4 2 5" xfId="1939" xr:uid="{5EB2C34E-A30C-4BC4-8AAC-678F3E9E0313}"/>
    <cellStyle name="SAPBEXinputData 4 2 5 2" xfId="2777" xr:uid="{F7B7B427-AE75-4512-840E-B573F17E34C6}"/>
    <cellStyle name="SAPBEXinputData 4 2 5 2 2" xfId="5212" xr:uid="{6C33964B-DD4D-4849-8395-57388C2CE013}"/>
    <cellStyle name="SAPBEXinputData 4 2 5 3" xfId="4456" xr:uid="{5D6D2D47-CA1E-4A11-BFB4-38C2704A193F}"/>
    <cellStyle name="SAPBEXinputData 4 2 6" xfId="2593" xr:uid="{2BD2FBB2-CE01-4772-9C0A-1C4E0A555D94}"/>
    <cellStyle name="SAPBEXinputData 4 2 6 2" xfId="5028" xr:uid="{22E2781C-3BDE-487C-8882-C5FD7E2F5463}"/>
    <cellStyle name="SAPBEXinputData 4 2 7" xfId="4258" xr:uid="{AEAE8C13-EF09-43B7-BC73-7B68656A8B45}"/>
    <cellStyle name="SAPBEXinputData 4 3" xfId="1729" xr:uid="{BFCCA7AE-8AA1-46BC-B0E3-F92303DFB6EB}"/>
    <cellStyle name="SAPBEXinputData 4 3 2" xfId="1730" xr:uid="{22EAA5F7-03A3-4E85-B740-9E9DB18A47E7}"/>
    <cellStyle name="SAPBEXinputData 4 3 2 2" xfId="2112" xr:uid="{E5A49941-6E9E-4A02-8987-5924A1FE3F16}"/>
    <cellStyle name="SAPBEXinputData 4 3 2 2 2" xfId="2950" xr:uid="{57D30073-9DC2-4ED6-8203-17AFA49BA9C0}"/>
    <cellStyle name="SAPBEXinputData 4 3 2 2 2 2" xfId="5385" xr:uid="{D4F65CA6-9B7E-407F-AE2E-0A3A6E00BF5A}"/>
    <cellStyle name="SAPBEXinputData 4 3 2 2 3" xfId="4629" xr:uid="{5B87D475-F3E2-4888-8D10-F085C75587F8}"/>
    <cellStyle name="SAPBEXinputData 4 3 2 3" xfId="2600" xr:uid="{C8C8EFCE-76E0-4C40-AE54-1640848F4E8E}"/>
    <cellStyle name="SAPBEXinputData 4 3 2 3 2" xfId="5035" xr:uid="{36633675-18A7-40F1-B8F1-CE32215C91BC}"/>
    <cellStyle name="SAPBEXinputData 4 3 2 4" xfId="4265" xr:uid="{36FC3921-2893-4988-B594-27935BEFD7D9}"/>
    <cellStyle name="SAPBEXinputData 4 3 3" xfId="1942" xr:uid="{8E6CC0FA-E2E0-4CB4-BB52-DA182DBA2F2A}"/>
    <cellStyle name="SAPBEXinputData 4 3 3 2" xfId="2780" xr:uid="{75DB3914-4466-443D-9D9D-23BB075DB32E}"/>
    <cellStyle name="SAPBEXinputData 4 3 3 2 2" xfId="5215" xr:uid="{277D1994-E483-47BF-B463-4E62C9E6BB77}"/>
    <cellStyle name="SAPBEXinputData 4 3 3 3" xfId="4459" xr:uid="{919F7574-DA32-4BBB-B4E4-E838694CE98C}"/>
    <cellStyle name="SAPBEXinputData 4 3 4" xfId="2599" xr:uid="{7EADADB6-353A-4EF0-92C0-E5709730C644}"/>
    <cellStyle name="SAPBEXinputData 4 3 4 2" xfId="5034" xr:uid="{4C7FD76F-85E3-4721-8293-0071DFF217CE}"/>
    <cellStyle name="SAPBEXinputData 4 3 5" xfId="4264" xr:uid="{1DC9F9CE-EE78-490E-8076-06A3637C7D09}"/>
    <cellStyle name="SAPBEXinputData 4 4" xfId="1731" xr:uid="{1DF2D2FA-FD80-4EFE-9FDF-BA3A5639E8EB}"/>
    <cellStyle name="SAPBEXinputData 4 4 2" xfId="1732" xr:uid="{159A95B9-2DF0-49C0-ACFA-3311E142DDF7}"/>
    <cellStyle name="SAPBEXinputData 4 4 2 2" xfId="2113" xr:uid="{A180B4C3-EFF8-416C-B84D-5EC5638E7710}"/>
    <cellStyle name="SAPBEXinputData 4 4 2 2 2" xfId="2951" xr:uid="{4112376F-6FB6-41E2-88E9-FB61C30087E1}"/>
    <cellStyle name="SAPBEXinputData 4 4 2 2 2 2" xfId="5386" xr:uid="{F6D22EFF-9ED7-4246-B792-7F8F6D2B4D45}"/>
    <cellStyle name="SAPBEXinputData 4 4 2 2 3" xfId="4630" xr:uid="{BA185174-24EC-4EAF-B463-6ED9A7E87626}"/>
    <cellStyle name="SAPBEXinputData 4 4 2 3" xfId="2602" xr:uid="{B14EB756-E5A7-475E-8E29-6F837E480DEE}"/>
    <cellStyle name="SAPBEXinputData 4 4 2 3 2" xfId="5037" xr:uid="{985E592D-44E3-4A83-B9D9-19592174D9A4}"/>
    <cellStyle name="SAPBEXinputData 4 4 2 4" xfId="4267" xr:uid="{2693DD9B-FD52-4063-A116-C7B9893BA4D6}"/>
    <cellStyle name="SAPBEXinputData 4 4 3" xfId="1943" xr:uid="{ECD161EF-C41C-4218-B765-E7300B860C18}"/>
    <cellStyle name="SAPBEXinputData 4 4 3 2" xfId="2781" xr:uid="{1310E3C7-9AB5-4A77-899B-54BAACD49821}"/>
    <cellStyle name="SAPBEXinputData 4 4 3 2 2" xfId="5216" xr:uid="{85C67C44-F4E4-433C-887E-28693F5F1827}"/>
    <cellStyle name="SAPBEXinputData 4 4 3 3" xfId="4460" xr:uid="{338161AE-DEBD-417D-BB62-7ADF5DFCCB19}"/>
    <cellStyle name="SAPBEXinputData 4 4 4" xfId="2601" xr:uid="{FABC820D-BA09-42D3-85E4-95AA0D20124A}"/>
    <cellStyle name="SAPBEXinputData 4 4 4 2" xfId="5036" xr:uid="{91735020-016A-40ED-ABFC-F2F1D65593D6}"/>
    <cellStyle name="SAPBEXinputData 4 4 5" xfId="4266" xr:uid="{040625C5-4964-43F5-9137-FCFFD53CBA18}"/>
    <cellStyle name="SAPBEXinputData 4 5" xfId="1733" xr:uid="{BCB4BDFE-4CF9-44D0-BE0D-5D9459CD7CE6}"/>
    <cellStyle name="SAPBEXinputData 4 5 2" xfId="2108" xr:uid="{28A472B6-00FC-484A-82AE-37019F78F01D}"/>
    <cellStyle name="SAPBEXinputData 4 5 2 2" xfId="2946" xr:uid="{4557CDF0-58A6-46F6-8742-0C9EB966047A}"/>
    <cellStyle name="SAPBEXinputData 4 5 2 2 2" xfId="5381" xr:uid="{22183BD0-81F1-4374-A6AD-860AC0A6266D}"/>
    <cellStyle name="SAPBEXinputData 4 5 2 3" xfId="4625" xr:uid="{071FB007-8162-4B15-A4D3-6620F54A15F4}"/>
    <cellStyle name="SAPBEXinputData 4 5 3" xfId="2603" xr:uid="{C54BF548-223D-4364-9F65-CC04C59043D9}"/>
    <cellStyle name="SAPBEXinputData 4 5 3 2" xfId="5038" xr:uid="{D85394DB-03B5-404B-9BE8-E62837BC5983}"/>
    <cellStyle name="SAPBEXinputData 4 5 4" xfId="4268" xr:uid="{629BF795-64D5-4C2A-A9BA-119405863193}"/>
    <cellStyle name="SAPBEXinputData 4 6" xfId="1938" xr:uid="{ADCF935C-74F4-438C-9B55-C08943C103DF}"/>
    <cellStyle name="SAPBEXinputData 4 6 2" xfId="2776" xr:uid="{C68B494D-9C2F-457B-A575-640E7A037CC7}"/>
    <cellStyle name="SAPBEXinputData 4 6 2 2" xfId="5211" xr:uid="{C535E8A4-5BEC-4AE6-B7C7-F2216A2808DC}"/>
    <cellStyle name="SAPBEXinputData 4 6 3" xfId="4455" xr:uid="{C409E946-C30C-4C06-9DD7-E5FB076F702F}"/>
    <cellStyle name="SAPBEXinputData 4 7" xfId="2592" xr:uid="{B0660C25-8D44-4B4C-98D6-67E5695C59B3}"/>
    <cellStyle name="SAPBEXinputData 4 7 2" xfId="5027" xr:uid="{E2136055-B27A-4F36-9C7A-36A1517C3974}"/>
    <cellStyle name="SAPBEXinputData 4 8" xfId="4257" xr:uid="{C29C5910-C274-41A2-957F-0995510D1B11}"/>
    <cellStyle name="SAPBEXinputData 5" xfId="1734" xr:uid="{0D1EA735-CB7F-4E59-8FA2-2E407DCF8172}"/>
    <cellStyle name="SAPBEXinputData 5 2" xfId="1735" xr:uid="{8395ED8E-4DBE-440E-BA3A-B47179916084}"/>
    <cellStyle name="SAPBEXinputData 5 2 2" xfId="1736" xr:uid="{759DAB5D-8E37-4A17-BA62-9E1CBE47EC3D}"/>
    <cellStyle name="SAPBEXinputData 5 2 2 2" xfId="2115" xr:uid="{F47141D3-E797-4324-AD0E-5F3FFCAD70FD}"/>
    <cellStyle name="SAPBEXinputData 5 2 2 2 2" xfId="2953" xr:uid="{D60F6199-EC52-4599-83DB-87F2408EFB26}"/>
    <cellStyle name="SAPBEXinputData 5 2 2 2 2 2" xfId="5388" xr:uid="{C09E9B4B-E5A9-4548-8816-F675C7099AD2}"/>
    <cellStyle name="SAPBEXinputData 5 2 2 2 3" xfId="4632" xr:uid="{44ED45D8-7BBF-4AE0-98DF-C125DA5CBB94}"/>
    <cellStyle name="SAPBEXinputData 5 2 2 3" xfId="2606" xr:uid="{651D8948-BE09-46F2-9274-65AC252440D8}"/>
    <cellStyle name="SAPBEXinputData 5 2 2 3 2" xfId="5041" xr:uid="{7E7594F6-86D3-488A-BF46-1861A76773A2}"/>
    <cellStyle name="SAPBEXinputData 5 2 2 4" xfId="4271" xr:uid="{3B7A28BE-A37F-4163-BA71-688942BB8E6E}"/>
    <cellStyle name="SAPBEXinputData 5 2 3" xfId="1945" xr:uid="{BBEA4784-D1A6-4899-8798-BD8662343B3B}"/>
    <cellStyle name="SAPBEXinputData 5 2 3 2" xfId="2783" xr:uid="{E5733EF6-8BA0-4D5E-A08E-E1BD63D27CFF}"/>
    <cellStyle name="SAPBEXinputData 5 2 3 2 2" xfId="5218" xr:uid="{8E5FCDE0-1A11-4FD7-B28F-BC3DC0744944}"/>
    <cellStyle name="SAPBEXinputData 5 2 3 3" xfId="4462" xr:uid="{64D4987B-8387-49D1-B008-342AB80FE0AF}"/>
    <cellStyle name="SAPBEXinputData 5 2 4" xfId="2605" xr:uid="{0F0A4A30-63A5-4D4E-BA3D-BD857392CDCD}"/>
    <cellStyle name="SAPBEXinputData 5 2 4 2" xfId="5040" xr:uid="{21CD1FFB-4A17-45DB-AE97-3407E2661ACF}"/>
    <cellStyle name="SAPBEXinputData 5 2 5" xfId="4270" xr:uid="{990C60A4-3200-4B58-884E-820F26A163E9}"/>
    <cellStyle name="SAPBEXinputData 5 3" xfId="1737" xr:uid="{0A35D69B-987D-4CE8-B943-DC73F11B3A41}"/>
    <cellStyle name="SAPBEXinputData 5 3 2" xfId="1738" xr:uid="{21070AFE-0ED0-4224-966E-E6F9AC3CDEED}"/>
    <cellStyle name="SAPBEXinputData 5 3 2 2" xfId="2116" xr:uid="{A82EE016-144B-4E03-87C3-F7F62E516427}"/>
    <cellStyle name="SAPBEXinputData 5 3 2 2 2" xfId="2954" xr:uid="{AA2623FC-C9E6-4708-95D2-29D457565E8C}"/>
    <cellStyle name="SAPBEXinputData 5 3 2 2 2 2" xfId="5389" xr:uid="{A4065314-FBCA-47D3-ACF9-EC32670CB154}"/>
    <cellStyle name="SAPBEXinputData 5 3 2 2 3" xfId="4633" xr:uid="{6DEA340B-B8A3-4798-80CA-A0BC21F926C3}"/>
    <cellStyle name="SAPBEXinputData 5 3 2 3" xfId="2608" xr:uid="{9C3445DF-9509-421C-B633-5F31EC43F1A1}"/>
    <cellStyle name="SAPBEXinputData 5 3 2 3 2" xfId="5043" xr:uid="{09C79892-E37E-4B25-92BA-92300D6EAC21}"/>
    <cellStyle name="SAPBEXinputData 5 3 2 4" xfId="4273" xr:uid="{A9CB53B4-D61A-4A07-B0CA-0DACA8FBF103}"/>
    <cellStyle name="SAPBEXinputData 5 3 3" xfId="1946" xr:uid="{9A203C3B-A693-4550-A338-1D7BF656CF12}"/>
    <cellStyle name="SAPBEXinputData 5 3 3 2" xfId="2784" xr:uid="{61F4CEA1-34B5-47EA-8585-61E838D4A701}"/>
    <cellStyle name="SAPBEXinputData 5 3 3 2 2" xfId="5219" xr:uid="{373C8D0C-1D8C-45BE-8F25-E1FBB320145B}"/>
    <cellStyle name="SAPBEXinputData 5 3 3 3" xfId="4463" xr:uid="{F1005711-D0A9-4972-88D9-00C2154DC3E3}"/>
    <cellStyle name="SAPBEXinputData 5 3 4" xfId="2607" xr:uid="{202778C2-CEDD-4B64-830B-6D01744CF48B}"/>
    <cellStyle name="SAPBEXinputData 5 3 4 2" xfId="5042" xr:uid="{F4615492-DB1A-40E8-8444-2C4760D14F45}"/>
    <cellStyle name="SAPBEXinputData 5 3 5" xfId="4272" xr:uid="{9511D5E0-2698-473E-B75B-D2ED8704C8E9}"/>
    <cellStyle name="SAPBEXinputData 5 4" xfId="1739" xr:uid="{26ED4FF3-3D0E-4E55-8962-0EFE1A87EA87}"/>
    <cellStyle name="SAPBEXinputData 5 4 2" xfId="2114" xr:uid="{0DAF5ED4-E90B-4BD6-91B5-134C1F4F71A4}"/>
    <cellStyle name="SAPBEXinputData 5 4 2 2" xfId="2952" xr:uid="{7AA8DF3C-5F99-4B66-BF47-E1DDE1DC3F00}"/>
    <cellStyle name="SAPBEXinputData 5 4 2 2 2" xfId="5387" xr:uid="{DAC6BDFF-2C4F-445A-81E3-47161DEEAB11}"/>
    <cellStyle name="SAPBEXinputData 5 4 2 3" xfId="4631" xr:uid="{491D71A6-7463-4EB2-8D3B-5174199ECB33}"/>
    <cellStyle name="SAPBEXinputData 5 4 3" xfId="2609" xr:uid="{77591C62-202A-411E-97A4-D92049A492B3}"/>
    <cellStyle name="SAPBEXinputData 5 4 3 2" xfId="5044" xr:uid="{508FA169-600A-4B9A-92CD-E49E54866402}"/>
    <cellStyle name="SAPBEXinputData 5 4 4" xfId="4274" xr:uid="{CE52E37C-8324-478C-84F0-9509F27D1892}"/>
    <cellStyle name="SAPBEXinputData 5 5" xfId="1944" xr:uid="{2BFA106E-7F0D-46CD-9C49-8F67178707F6}"/>
    <cellStyle name="SAPBEXinputData 5 5 2" xfId="2782" xr:uid="{A744B0A5-E6C7-4751-A352-3160158C18A0}"/>
    <cellStyle name="SAPBEXinputData 5 5 2 2" xfId="5217" xr:uid="{8A1256D9-3FCB-4BB8-84A2-BEF40266978C}"/>
    <cellStyle name="SAPBEXinputData 5 5 3" xfId="4461" xr:uid="{20134D7F-AA96-43AC-9D7D-A5F1C56D64BA}"/>
    <cellStyle name="SAPBEXinputData 5 6" xfId="2604" xr:uid="{726AE2ED-CF95-4FED-879B-952EBE38E111}"/>
    <cellStyle name="SAPBEXinputData 5 6 2" xfId="5039" xr:uid="{F3CAD75B-12D1-41C0-9047-3633261C29BE}"/>
    <cellStyle name="SAPBEXinputData 5 7" xfId="4269" xr:uid="{DD21A4ED-9437-4FD0-B6D4-08FC337F7DCD}"/>
    <cellStyle name="SAPBEXinputData 6" xfId="1740" xr:uid="{4DD5EBF9-77D8-4017-8EF3-AF5AE7E80B87}"/>
    <cellStyle name="SAPBEXinputData 6 2" xfId="1741" xr:uid="{0D8B4FBC-D01F-4B09-AC5A-A006F2F19B8F}"/>
    <cellStyle name="SAPBEXinputData 6 2 2" xfId="2117" xr:uid="{C44B2133-6A3C-4FFF-9ADB-170DD1F49A94}"/>
    <cellStyle name="SAPBEXinputData 6 2 2 2" xfId="2955" xr:uid="{609A86C9-2986-41A6-A9C7-94E9E3C8E1B8}"/>
    <cellStyle name="SAPBEXinputData 6 2 2 2 2" xfId="5390" xr:uid="{1BAE9532-E0CA-449E-BB90-2E0C935234BD}"/>
    <cellStyle name="SAPBEXinputData 6 2 2 3" xfId="4634" xr:uid="{3333E0CC-2C0C-4934-A64F-EB42CFA009AB}"/>
    <cellStyle name="SAPBEXinputData 6 2 3" xfId="2611" xr:uid="{28A49CBE-3FFE-47C2-8BB8-2BB510040A4C}"/>
    <cellStyle name="SAPBEXinputData 6 2 3 2" xfId="5046" xr:uid="{5C4CEACC-5884-45CD-857F-0FB8545466B5}"/>
    <cellStyle name="SAPBEXinputData 6 2 4" xfId="4276" xr:uid="{2D50F023-5369-446E-BEAB-A1D0B70E6918}"/>
    <cellStyle name="SAPBEXinputData 6 3" xfId="1947" xr:uid="{576A6C4E-41DF-49A0-8540-39E53DEEFA99}"/>
    <cellStyle name="SAPBEXinputData 6 3 2" xfId="2785" xr:uid="{2AB139A8-2A4E-47B2-A3CC-47E1D9095094}"/>
    <cellStyle name="SAPBEXinputData 6 3 2 2" xfId="5220" xr:uid="{6AB4FEFA-CAFD-4AAD-AFED-3B2D85B3F01B}"/>
    <cellStyle name="SAPBEXinputData 6 3 3" xfId="4464" xr:uid="{6CA8BC08-887F-4E81-A402-34A13CC6E270}"/>
    <cellStyle name="SAPBEXinputData 6 4" xfId="2610" xr:uid="{887F7A9F-2E81-45EB-BF98-C64BF48B37B2}"/>
    <cellStyle name="SAPBEXinputData 6 4 2" xfId="5045" xr:uid="{AFE0C273-E358-464F-9457-3127D54253CE}"/>
    <cellStyle name="SAPBEXinputData 6 5" xfId="4275" xr:uid="{18177171-BAFA-4FB0-8EC5-1D7CA6466A63}"/>
    <cellStyle name="SAPBEXinputData 7" xfId="1742" xr:uid="{8ABF0873-3797-4419-8903-B5D4728A32F3}"/>
    <cellStyle name="SAPBEXinputData 7 2" xfId="1743" xr:uid="{1656F05A-3718-4D62-BAEB-CAC556B88FEA}"/>
    <cellStyle name="SAPBEXinputData 7 2 2" xfId="2118" xr:uid="{EA7862D4-4542-481C-9F5C-07650E851960}"/>
    <cellStyle name="SAPBEXinputData 7 2 2 2" xfId="2956" xr:uid="{340BFD65-C56A-44E5-ACE3-95F851EC276B}"/>
    <cellStyle name="SAPBEXinputData 7 2 2 2 2" xfId="5391" xr:uid="{6FD9090E-73B8-4738-9C2F-07286A6462F2}"/>
    <cellStyle name="SAPBEXinputData 7 2 2 3" xfId="4635" xr:uid="{AA8CB639-F466-4595-9646-8DC5CE5DE12E}"/>
    <cellStyle name="SAPBEXinputData 7 2 3" xfId="2613" xr:uid="{40ACEDCB-1DC8-4B37-8E6B-929F9E502B83}"/>
    <cellStyle name="SAPBEXinputData 7 2 3 2" xfId="5048" xr:uid="{E87FFD49-9450-47D9-BAEC-03E65BDA3C45}"/>
    <cellStyle name="SAPBEXinputData 7 2 4" xfId="4278" xr:uid="{1B0842B4-0ABC-4479-B8C3-BB2659DE9DBE}"/>
    <cellStyle name="SAPBEXinputData 7 3" xfId="1948" xr:uid="{EDFBBEB9-F0DF-4840-B0A1-699AEA3C5305}"/>
    <cellStyle name="SAPBEXinputData 7 3 2" xfId="2786" xr:uid="{4E519B49-4883-4BB5-AA0F-CA1D97D9D500}"/>
    <cellStyle name="SAPBEXinputData 7 3 2 2" xfId="5221" xr:uid="{EEB75EB1-9C2D-44DB-8822-126B0A63442C}"/>
    <cellStyle name="SAPBEXinputData 7 3 3" xfId="4465" xr:uid="{D65761C7-2E13-4A3C-979C-EA31B94CE777}"/>
    <cellStyle name="SAPBEXinputData 7 4" xfId="2612" xr:uid="{79372DB8-D707-42FE-934E-3BE012077E30}"/>
    <cellStyle name="SAPBEXinputData 7 4 2" xfId="5047" xr:uid="{1FA324C4-F787-4630-9AE4-68BA9B4A4DE0}"/>
    <cellStyle name="SAPBEXinputData 7 5" xfId="4277" xr:uid="{CF3D713F-E48D-49D1-A58F-A7ED3F9F7E11}"/>
    <cellStyle name="SAPBEXinputData 8" xfId="1744" xr:uid="{20692C8D-BC70-480B-8AAD-90F3005CB57D}"/>
    <cellStyle name="SAPBEXinputData 8 2" xfId="2095" xr:uid="{776AADCC-CCBF-460C-BD1E-651A2A965DA7}"/>
    <cellStyle name="SAPBEXinputData 8 2 2" xfId="2933" xr:uid="{4A8BA7EB-2204-4E6B-B80B-B0BC613E7BF4}"/>
    <cellStyle name="SAPBEXinputData 8 2 2 2" xfId="5368" xr:uid="{CAFAF4A5-1D5B-4298-A86B-0399B4FDF9F4}"/>
    <cellStyle name="SAPBEXinputData 8 2 3" xfId="4612" xr:uid="{ED19E0DF-C0F0-45F6-8DC0-D5D70D76B258}"/>
    <cellStyle name="SAPBEXinputData 8 3" xfId="2614" xr:uid="{83A102BC-1B4D-4DE9-85C4-E7210BF91455}"/>
    <cellStyle name="SAPBEXinputData 8 3 2" xfId="5049" xr:uid="{4C95BC85-61DA-457C-80FC-9FB98EDFC0C0}"/>
    <cellStyle name="SAPBEXinputData 8 4" xfId="4279" xr:uid="{CEF1BEB9-783D-4BD7-BE97-8140B257B84D}"/>
    <cellStyle name="SAPBEXinputData 9" xfId="1925" xr:uid="{7F807C61-556E-4BEA-A6BB-8C081C68A9C7}"/>
    <cellStyle name="SAPBEXinputData 9 2" xfId="2763" xr:uid="{E6B183FF-7F4A-4D2E-A70B-5061D0BE0491}"/>
    <cellStyle name="SAPBEXinputData 9 2 2" xfId="5198" xr:uid="{ADC63C79-18DE-4C22-BD0A-9086961852F6}"/>
    <cellStyle name="SAPBEXinputData 9 3" xfId="4442" xr:uid="{0F4B45A2-5D7E-4DF8-9241-FC7C06EEAC44}"/>
    <cellStyle name="SAPBEXItemHeader" xfId="1745" xr:uid="{DD6CA560-4A36-483C-8953-1BF231E1EB1F}"/>
    <cellStyle name="SAPBEXItemHeader 2" xfId="3265" xr:uid="{2EC7314F-6A05-4E67-99E1-4DE74E76035E}"/>
    <cellStyle name="SAPBEXItemHeader 2 2" xfId="5639" xr:uid="{30C56DEF-4E2B-405C-8B72-B34B75396D9C}"/>
    <cellStyle name="SAPBEXItemHeader 3" xfId="3060" xr:uid="{0738AF2B-D779-4A85-9E5B-65EDC3B5AF8D}"/>
    <cellStyle name="SAPBEXItemHeader 3 2" xfId="5434" xr:uid="{A7F4E2F9-12E8-452B-8A15-69C7C21F565B}"/>
    <cellStyle name="SAPBEXItemHeader 4" xfId="4280" xr:uid="{0BFF4FDA-CCAB-4644-9DC6-512FC2C90BAA}"/>
    <cellStyle name="SAPBEXresData" xfId="101" xr:uid="{00000000-0005-0000-0000-00004F030000}"/>
    <cellStyle name="SAPBEXresData 2" xfId="139" xr:uid="{00000000-0005-0000-0000-000050030000}"/>
    <cellStyle name="SAPBEXresData 2 2" xfId="3230" xr:uid="{4801B8EF-FC35-473B-82C7-C6A72948F30E}"/>
    <cellStyle name="SAPBEXresData 2 2 2" xfId="5604" xr:uid="{0624EE80-F7D9-4996-8E30-E82A337DE200}"/>
    <cellStyle name="SAPBEXresData 2 3" xfId="3229" xr:uid="{EF224C7C-6E01-407D-9911-6C5CC6050B76}"/>
    <cellStyle name="SAPBEXresData 2 3 2" xfId="5603" xr:uid="{219B1DE0-A694-4F24-BBE8-E86798E3947E}"/>
    <cellStyle name="SAPBEXresData 2 4" xfId="1747" xr:uid="{FBE9E92B-255D-4B37-82A1-B9F118BB2257}"/>
    <cellStyle name="SAPBEXresData 2 4 2" xfId="4282" xr:uid="{AE1C1E15-91F0-4E1D-8ACE-054D398CF8B6}"/>
    <cellStyle name="SAPBEXresData 2 5" xfId="3360" xr:uid="{B24C225E-C21B-4125-860F-24A057731B1D}"/>
    <cellStyle name="SAPBEXresData 3" xfId="3045" xr:uid="{D90D24B0-9330-4026-B44D-E73E2B9A938C}"/>
    <cellStyle name="SAPBEXresData 3 2" xfId="5419" xr:uid="{F724DF32-D76F-49C3-93C9-040DD14483A2}"/>
    <cellStyle name="SAPBEXresData 4" xfId="3165" xr:uid="{576E1856-1214-4D79-A8BD-8B58BF6DE9A9}"/>
    <cellStyle name="SAPBEXresData 4 2" xfId="5539" xr:uid="{9BD21E5D-9171-4223-B93F-6776D4E90B51}"/>
    <cellStyle name="SAPBEXresData 5" xfId="1746" xr:uid="{671C23F3-614D-4F0F-A68D-50BAA3C21D10}"/>
    <cellStyle name="SAPBEXresData 5 2" xfId="4281" xr:uid="{2EE80BA1-2FC2-4E27-A35D-D3FF13DFCCD3}"/>
    <cellStyle name="SAPBEXresData 6" xfId="3340" xr:uid="{8D0E6CB0-323B-492E-99A4-509626816358}"/>
    <cellStyle name="SAPBEXresDataEmph" xfId="102" xr:uid="{00000000-0005-0000-0000-000051030000}"/>
    <cellStyle name="SAPBEXresDataEmph 2" xfId="1749" xr:uid="{1C541A26-0409-45DA-A414-55DDA3080D07}"/>
    <cellStyle name="SAPBEXresDataEmph 2 2" xfId="3104" xr:uid="{05692A21-EEE4-431F-BE09-0D252F5A93D3}"/>
    <cellStyle name="SAPBEXresDataEmph 2 2 2" xfId="5478" xr:uid="{05489A13-E713-4F75-B179-14FD6F338094}"/>
    <cellStyle name="SAPBEXresDataEmph 3" xfId="3109" xr:uid="{FB2B5432-778B-4941-B9D1-6B66B275C095}"/>
    <cellStyle name="SAPBEXresDataEmph 3 2" xfId="5483" xr:uid="{6FFA06BF-2F03-4D6D-933E-F9CDC696C73D}"/>
    <cellStyle name="SAPBEXresDataEmph 4" xfId="3207" xr:uid="{6140352F-6FED-4E25-9619-2297603739B0}"/>
    <cellStyle name="SAPBEXresDataEmph 4 2" xfId="5581" xr:uid="{8D525B17-6D72-4C33-99D5-61107AC512A2}"/>
    <cellStyle name="SAPBEXresDataEmph 5" xfId="1748" xr:uid="{0566DAAE-C3FB-472B-A76C-DB5553C496AB}"/>
    <cellStyle name="SAPBEXresDataEmph 5 2" xfId="4283" xr:uid="{9B20A395-60F6-46D4-ABFD-CD9D942794F4}"/>
    <cellStyle name="SAPBEXresDataEmph 6" xfId="3341" xr:uid="{2C351558-57F9-4B30-85AE-AF21F078E2CF}"/>
    <cellStyle name="SAPBEXresItem" xfId="103" xr:uid="{00000000-0005-0000-0000-000052030000}"/>
    <cellStyle name="SAPBEXresItem 2" xfId="140" xr:uid="{00000000-0005-0000-0000-000053030000}"/>
    <cellStyle name="SAPBEXresItem 2 2" xfId="3271" xr:uid="{ED142BE8-CE84-4036-B482-C8705B9177A4}"/>
    <cellStyle name="SAPBEXresItem 2 2 2" xfId="5645" xr:uid="{9D289A1D-B4EC-429B-8830-AD3D1A0E4D2F}"/>
    <cellStyle name="SAPBEXresItem 2 3" xfId="3145" xr:uid="{59241FFD-4891-43B2-9E20-E0C288986ADF}"/>
    <cellStyle name="SAPBEXresItem 2 3 2" xfId="5519" xr:uid="{1482167A-01DD-4A62-9498-4A8489D5C7EE}"/>
    <cellStyle name="SAPBEXresItem 2 4" xfId="1751" xr:uid="{849A065E-F31F-40FD-95D8-4729FDA2A894}"/>
    <cellStyle name="SAPBEXresItem 2 4 2" xfId="4285" xr:uid="{56994426-548B-44F8-80B1-3D04D1CAD3C6}"/>
    <cellStyle name="SAPBEXresItem 2 5" xfId="3361" xr:uid="{74B7B49B-7A3A-4A98-9E68-AED3F7899087}"/>
    <cellStyle name="SAPBEXresItem 3" xfId="3142" xr:uid="{6790EF59-35F7-49E2-B284-9610B159AD0F}"/>
    <cellStyle name="SAPBEXresItem 3 2" xfId="5516" xr:uid="{C7C2FE81-3996-406C-983D-B9AD904EFB0A}"/>
    <cellStyle name="SAPBEXresItem 4" xfId="3259" xr:uid="{44213227-9F9E-4DC7-9299-F0DB1D31C26F}"/>
    <cellStyle name="SAPBEXresItem 4 2" xfId="5633" xr:uid="{05A02F71-1659-41A1-97D2-DCB23E259CB5}"/>
    <cellStyle name="SAPBEXresItem 5" xfId="1750" xr:uid="{D2F22319-EFC3-4421-8AE6-D304A2DE7E78}"/>
    <cellStyle name="SAPBEXresItem 5 2" xfId="4284" xr:uid="{793EAECF-BAD7-4E9B-A96A-05C28A4E6BB9}"/>
    <cellStyle name="SAPBEXresItem 6" xfId="3342" xr:uid="{CC40826C-A38E-42F4-9802-45EABAD433A3}"/>
    <cellStyle name="SAPBEXresItemX" xfId="104" xr:uid="{00000000-0005-0000-0000-000054030000}"/>
    <cellStyle name="SAPBEXresItemX 2" xfId="141" xr:uid="{00000000-0005-0000-0000-000055030000}"/>
    <cellStyle name="SAPBEXresItemX 2 2" xfId="3184" xr:uid="{53690D77-EBAB-472F-8354-41FE608EA1AB}"/>
    <cellStyle name="SAPBEXresItemX 2 2 2" xfId="5558" xr:uid="{340B422C-0C34-4BFD-BAF3-38659F576C32}"/>
    <cellStyle name="SAPBEXresItemX 2 3" xfId="3078" xr:uid="{0910C8F3-FD5A-4553-AA14-033D8AD3B238}"/>
    <cellStyle name="SAPBEXresItemX 2 3 2" xfId="5452" xr:uid="{CFCBC59C-DC76-4016-BB6B-957945871CF4}"/>
    <cellStyle name="SAPBEXresItemX 2 4" xfId="1753" xr:uid="{AEF461DC-586E-4C07-9D3B-E160EE9E1E14}"/>
    <cellStyle name="SAPBEXresItemX 2 4 2" xfId="4287" xr:uid="{227A3B16-5DCB-4732-8F14-1291E3CB6CB5}"/>
    <cellStyle name="SAPBEXresItemX 2 5" xfId="3362" xr:uid="{55588F35-41B1-4433-A7D2-7F1F3FF4484F}"/>
    <cellStyle name="SAPBEXresItemX 3" xfId="945" xr:uid="{A986BF0C-E6BA-4D74-9C4F-43A03DE97EEB}"/>
    <cellStyle name="SAPBEXresItemX 3 2" xfId="3228" xr:uid="{1F65111D-43F9-4795-AE1F-8D3C9AFA6B34}"/>
    <cellStyle name="SAPBEXresItemX 3 2 2" xfId="5602" xr:uid="{DDC389BE-58B9-440A-B3DB-F3721D26927F}"/>
    <cellStyle name="SAPBEXresItemX 3 3" xfId="3841" xr:uid="{94C83636-6FB2-4964-9281-59A786F7ADA1}"/>
    <cellStyle name="SAPBEXresItemX 4" xfId="3274" xr:uid="{5B955A2D-A3B4-45A6-9EE9-1BB265851C65}"/>
    <cellStyle name="SAPBEXresItemX 4 2" xfId="5648" xr:uid="{06B1B491-76B6-4F63-A68A-6EB743FD0326}"/>
    <cellStyle name="SAPBEXresItemX 5" xfId="1752" xr:uid="{95CABAE8-6F63-425C-A835-3752583C5DB9}"/>
    <cellStyle name="SAPBEXresItemX 5 2" xfId="4286" xr:uid="{DE4D7B77-EADD-4328-9C75-3214F09850A5}"/>
    <cellStyle name="SAPBEXresItemX 6" xfId="3343" xr:uid="{14892A91-01D6-41D4-A8B2-AA7D682ABA7D}"/>
    <cellStyle name="SAPBEXstdData" xfId="105" xr:uid="{00000000-0005-0000-0000-000056030000}"/>
    <cellStyle name="SAPBEXstdData 2" xfId="142" xr:uid="{00000000-0005-0000-0000-000057030000}"/>
    <cellStyle name="SAPBEXstdData 2 2" xfId="1756" xr:uid="{6D0503D9-06FA-4A1E-8978-852D7092B6F7}"/>
    <cellStyle name="SAPBEXstdData 2 2 2" xfId="1757" xr:uid="{C07CBB7E-FCE5-48FC-97C7-E9C047B60693}"/>
    <cellStyle name="SAPBEXstdData 2 2 2 2" xfId="3241" xr:uid="{F66C1BE5-10D8-42DB-A1ED-83AEB2B1AA8C}"/>
    <cellStyle name="SAPBEXstdData 2 2 2 2 2" xfId="5615" xr:uid="{FA1F26BE-9D46-4EF9-9DCF-391E21198CB0}"/>
    <cellStyle name="SAPBEXstdData 2 2 2 3" xfId="3254" xr:uid="{E7E79820-5EC9-40A0-B44A-BBEB895994B0}"/>
    <cellStyle name="SAPBEXstdData 2 2 2 3 2" xfId="5628" xr:uid="{1E2D2907-5334-44A3-A3AB-E0CCA178E968}"/>
    <cellStyle name="SAPBEXstdData 2 2 2 4" xfId="4291" xr:uid="{9B53BCEB-9933-4676-AE64-BC46EC244728}"/>
    <cellStyle name="SAPBEXstdData 2 2 3" xfId="3052" xr:uid="{7E41A4BC-2233-4ADE-B5DB-6629EC38C317}"/>
    <cellStyle name="SAPBEXstdData 2 2 3 2" xfId="5426" xr:uid="{DFC6CAD6-E526-453C-A17E-777BBA7899C1}"/>
    <cellStyle name="SAPBEXstdData 2 2 4" xfId="3301" xr:uid="{1B8A748A-4372-4C18-A2F5-01CFF9879DBB}"/>
    <cellStyle name="SAPBEXstdData 2 2 4 2" xfId="5675" xr:uid="{B09A114B-6E42-4611-B2FC-4BD2F767C49A}"/>
    <cellStyle name="SAPBEXstdData 2 2 5" xfId="4290" xr:uid="{F6589F00-9791-4F28-B16D-C56ED7CC8240}"/>
    <cellStyle name="SAPBEXstdData 2 3" xfId="1758" xr:uid="{E9F317E6-DEB5-40EF-B50A-F9DE0919E3B3}"/>
    <cellStyle name="SAPBEXstdData 2 3 2" xfId="3044" xr:uid="{D2B9FA23-59FF-4C27-BF71-E03D5B97670F}"/>
    <cellStyle name="SAPBEXstdData 2 3 2 2" xfId="5418" xr:uid="{E6C6B321-0237-4E5C-BBEA-B5FC26067E67}"/>
    <cellStyle name="SAPBEXstdData 2 3 3" xfId="3299" xr:uid="{E13CD35D-934C-409F-B688-8237B74A5BB3}"/>
    <cellStyle name="SAPBEXstdData 2 3 3 2" xfId="5673" xr:uid="{1B63D55B-AC27-4D86-8F31-496B3A2A54A7}"/>
    <cellStyle name="SAPBEXstdData 2 3 4" xfId="4292" xr:uid="{5ECEC8DD-779C-4176-BA30-CB41D5CD9B9B}"/>
    <cellStyle name="SAPBEXstdData 2 4" xfId="3159" xr:uid="{D39A96E0-4920-46B3-9D15-EE9D8AB47BFD}"/>
    <cellStyle name="SAPBEXstdData 2 4 2" xfId="5533" xr:uid="{1F2A5F3F-F22E-411B-B46D-88E65F9BA133}"/>
    <cellStyle name="SAPBEXstdData 2 5" xfId="3098" xr:uid="{37F73EF2-E06D-44F2-94FB-03CFFDDED03F}"/>
    <cellStyle name="SAPBEXstdData 2 5 2" xfId="5472" xr:uid="{F3051B3F-2E7C-4E87-A39C-8D554773E2A6}"/>
    <cellStyle name="SAPBEXstdData 2 6" xfId="1755" xr:uid="{9755F09E-688B-4712-89A1-DFF3A552EE58}"/>
    <cellStyle name="SAPBEXstdData 2 6 2" xfId="4289" xr:uid="{270B092B-1CD9-410C-87F6-50109CB3CD86}"/>
    <cellStyle name="SAPBEXstdData 2 7" xfId="3363" xr:uid="{BCEAD2FE-3FC2-42B8-AE0B-AE9FD3FA7A35}"/>
    <cellStyle name="SAPBEXstdData 3" xfId="889" xr:uid="{A87DB1B3-E42C-412B-BA07-8E4275339EE4}"/>
    <cellStyle name="SAPBEXstdData 3 2" xfId="3100" xr:uid="{FC058B3D-AC7E-4D8C-9597-83CD34034591}"/>
    <cellStyle name="SAPBEXstdData 3 2 2" xfId="5474" xr:uid="{295B8167-7829-4180-A293-B078FB397BE3}"/>
    <cellStyle name="SAPBEXstdData 3 3" xfId="3820" xr:uid="{7EB43ECC-BAC1-4E26-B57C-658ED6B65545}"/>
    <cellStyle name="SAPBEXstdData 4" xfId="3113" xr:uid="{F322F71E-43BB-4C50-B396-D6A505D15F9E}"/>
    <cellStyle name="SAPBEXstdData 4 2" xfId="5487" xr:uid="{FEA26559-4F74-418F-B1E7-2DAE7BFE2E40}"/>
    <cellStyle name="SAPBEXstdData 5" xfId="1754" xr:uid="{FFE62272-6AD1-4EFC-A9DE-1C29880286ED}"/>
    <cellStyle name="SAPBEXstdData 5 2" xfId="4288" xr:uid="{C848AC14-F7CE-4326-BF02-5A00715C0B2B}"/>
    <cellStyle name="SAPBEXstdData 6" xfId="3344" xr:uid="{C19784C1-9DD6-4DB6-B6BA-E4182268F89F}"/>
    <cellStyle name="SAPBEXstdData_BW Data" xfId="1759" xr:uid="{A8564423-0D34-4F8A-BDAB-A047CC6AF791}"/>
    <cellStyle name="SAPBEXstdDataEmph" xfId="106" xr:uid="{00000000-0005-0000-0000-000058030000}"/>
    <cellStyle name="SAPBEXstdDataEmph 2" xfId="1761" xr:uid="{0FD93C9C-B194-487C-A3C9-A318EB75B322}"/>
    <cellStyle name="SAPBEXstdDataEmph 2 2" xfId="3262" xr:uid="{EDBBA322-47D3-4478-8A15-99CF7389D00E}"/>
    <cellStyle name="SAPBEXstdDataEmph 2 2 2" xfId="5636" xr:uid="{F6F03500-C6EC-4076-AFC8-CB5A5CAE9E6D}"/>
    <cellStyle name="SAPBEXstdDataEmph 2 3" xfId="3239" xr:uid="{91B0E418-6484-47CE-AC7E-2FFEE8193AA6}"/>
    <cellStyle name="SAPBEXstdDataEmph 2 3 2" xfId="5613" xr:uid="{2824C20C-CB24-4F4C-8CB0-19AC36F80070}"/>
    <cellStyle name="SAPBEXstdDataEmph 2 4" xfId="4294" xr:uid="{68743FD8-C9C8-415E-9313-93A9E71F111C}"/>
    <cellStyle name="SAPBEXstdDataEmph 3" xfId="3208" xr:uid="{B02E2C00-F475-431C-A96D-17321273C03C}"/>
    <cellStyle name="SAPBEXstdDataEmph 3 2" xfId="5582" xr:uid="{FA8F1494-DBD7-4459-81E4-F892B639FC3F}"/>
    <cellStyle name="SAPBEXstdDataEmph 4" xfId="3303" xr:uid="{142E2079-46D2-4A14-A8D9-591CCC38FD42}"/>
    <cellStyle name="SAPBEXstdDataEmph 4 2" xfId="5677" xr:uid="{DFEC6CCC-FCC4-4E2F-9F05-09D41061260F}"/>
    <cellStyle name="SAPBEXstdDataEmph 5" xfId="1760" xr:uid="{1D8F0283-0FA9-424B-BBBD-598B4EE031F5}"/>
    <cellStyle name="SAPBEXstdDataEmph 5 2" xfId="4293" xr:uid="{B3122C8E-DFD8-4438-BC96-9961AF233715}"/>
    <cellStyle name="SAPBEXstdDataEmph 6" xfId="3345" xr:uid="{4B1CB224-FAA4-4670-8320-8163220C87AB}"/>
    <cellStyle name="SAPBEXstdItem" xfId="107" xr:uid="{00000000-0005-0000-0000-000059030000}"/>
    <cellStyle name="SAPBEXstdItem 2" xfId="143" xr:uid="{00000000-0005-0000-0000-00005A030000}"/>
    <cellStyle name="SAPBEXstdItem 2 2" xfId="1764" xr:uid="{2C531197-EABD-489B-B46D-A686EC476276}"/>
    <cellStyle name="SAPBEXstdItem 2 2 2" xfId="3081" xr:uid="{38ACEFD6-535B-439A-86DE-9C8C2B0B0A19}"/>
    <cellStyle name="SAPBEXstdItem 2 2 2 2" xfId="5455" xr:uid="{4A4DCA5B-DA9B-4A73-B4CE-4B71A9CD08E3}"/>
    <cellStyle name="SAPBEXstdItem 2 2 3" xfId="3302" xr:uid="{4BB1D325-2816-4AE4-8635-C4F430D4F726}"/>
    <cellStyle name="SAPBEXstdItem 2 2 3 2" xfId="5676" xr:uid="{1A8AE7AC-8841-4A95-917A-72D71C6FF5A1}"/>
    <cellStyle name="SAPBEXstdItem 2 2 4" xfId="4297" xr:uid="{BCAEF312-D3CA-438A-A54D-24BA91FEBB83}"/>
    <cellStyle name="SAPBEXstdItem 2 3" xfId="1765" xr:uid="{CDD482C5-4598-46EF-95EC-76B6E87D3B67}"/>
    <cellStyle name="SAPBEXstdItem 2 3 2" xfId="3257" xr:uid="{3B3AB500-1125-40A4-9849-51E489E0E5A9}"/>
    <cellStyle name="SAPBEXstdItem 2 3 2 2" xfId="5631" xr:uid="{B342766D-C8D9-4D25-A74E-96D6D880A57F}"/>
    <cellStyle name="SAPBEXstdItem 2 3 3" xfId="3108" xr:uid="{9B37BABF-B24F-4A49-8677-DAE7E65DB18E}"/>
    <cellStyle name="SAPBEXstdItem 2 3 3 2" xfId="5482" xr:uid="{95D4E2F2-4DDD-4FEA-BA8A-B33F20424F91}"/>
    <cellStyle name="SAPBEXstdItem 2 3 4" xfId="4298" xr:uid="{225F8358-0A7A-4958-B175-3FB03CE4D1C3}"/>
    <cellStyle name="SAPBEXstdItem 2 4" xfId="3095" xr:uid="{8BB18BED-6EAC-43C6-BD27-B49F1C945BE6}"/>
    <cellStyle name="SAPBEXstdItem 2 4 2" xfId="5469" xr:uid="{210D5125-8CAD-42DC-BB49-4D11EFA91B94}"/>
    <cellStyle name="SAPBEXstdItem 2 5" xfId="3180" xr:uid="{F5CF98F1-D9E0-4D08-A549-189006DF9200}"/>
    <cellStyle name="SAPBEXstdItem 2 5 2" xfId="5554" xr:uid="{0C5F4A66-08EC-4B64-BD5F-2F2CC6C16B1D}"/>
    <cellStyle name="SAPBEXstdItem 2 6" xfId="1763" xr:uid="{3999662E-782D-4D68-820D-4F757E8C65C6}"/>
    <cellStyle name="SAPBEXstdItem 2 6 2" xfId="4296" xr:uid="{449EF79F-7515-4E39-8FB1-65F193FA8F6C}"/>
    <cellStyle name="SAPBEXstdItem 2 7" xfId="3364" xr:uid="{A22E0474-E919-4A54-939B-CF01D19954A6}"/>
    <cellStyle name="SAPBEXstdItem 3" xfId="890" xr:uid="{045C2561-423E-4B09-9F8E-E7C7DA435F49}"/>
    <cellStyle name="SAPBEXstdItem 3 2" xfId="3244" xr:uid="{77FA904F-8838-45F4-9FA0-10EF2C0A0822}"/>
    <cellStyle name="SAPBEXstdItem 3 2 2" xfId="5618" xr:uid="{01DA8E0D-327B-4D1A-BF4C-B1ECA48488C6}"/>
    <cellStyle name="SAPBEXstdItem 3 3" xfId="3821" xr:uid="{F0E6AB7C-72A4-49BD-8D8F-1629896BC55C}"/>
    <cellStyle name="SAPBEXstdItem 4" xfId="3300" xr:uid="{8EB0487E-28F8-46C9-9F68-847257ED2211}"/>
    <cellStyle name="SAPBEXstdItem 4 2" xfId="5674" xr:uid="{0E24B171-5AAF-43C1-B103-BF9E3058D3FB}"/>
    <cellStyle name="SAPBEXstdItem 5" xfId="1762" xr:uid="{FEC4E776-1285-4D59-9D0E-66AD54C7993B}"/>
    <cellStyle name="SAPBEXstdItem 5 2" xfId="4295" xr:uid="{14D84144-D10C-41E1-8D43-5D0825E5EBD1}"/>
    <cellStyle name="SAPBEXstdItem 6" xfId="3346" xr:uid="{6F725798-F779-4608-8AB3-A8A2437EB26F}"/>
    <cellStyle name="SAPBEXstdItem_BW Data" xfId="1766" xr:uid="{9CD82F8C-69F2-447E-B215-16CA6831348C}"/>
    <cellStyle name="SAPBEXstdItemX" xfId="108" xr:uid="{00000000-0005-0000-0000-00005B030000}"/>
    <cellStyle name="SAPBEXstdItemX 2" xfId="144" xr:uid="{00000000-0005-0000-0000-00005C030000}"/>
    <cellStyle name="SAPBEXstdItemX 2 2" xfId="3105" xr:uid="{E3B5FC41-B60B-4ECC-B00B-ECE747389983}"/>
    <cellStyle name="SAPBEXstdItemX 2 2 2" xfId="5479" xr:uid="{22916A8C-3F18-42AA-8EE7-4C30EBAAE73C}"/>
    <cellStyle name="SAPBEXstdItemX 2 3" xfId="3297" xr:uid="{10EAD126-FD20-43EF-B373-8D15196882E9}"/>
    <cellStyle name="SAPBEXstdItemX 2 3 2" xfId="5671" xr:uid="{8C8BB632-1994-45A1-B17C-3EDAAC9EB5C3}"/>
    <cellStyle name="SAPBEXstdItemX 2 4" xfId="1768" xr:uid="{41A06426-20C4-4E20-8EB0-43AE83C99905}"/>
    <cellStyle name="SAPBEXstdItemX 2 4 2" xfId="4300" xr:uid="{1969A23E-9779-42ED-90D2-9E72F1B3750E}"/>
    <cellStyle name="SAPBEXstdItemX 2 5" xfId="3365" xr:uid="{3054E2B9-EC3A-46AA-B5F8-335FFCCECF2F}"/>
    <cellStyle name="SAPBEXstdItemX 3" xfId="949" xr:uid="{BC771335-9857-4003-AA06-21242087AB2F}"/>
    <cellStyle name="SAPBEXstdItemX 3 2" xfId="3097" xr:uid="{7A282F8C-A837-4F0B-A93B-5CCEDF314816}"/>
    <cellStyle name="SAPBEXstdItemX 3 2 2" xfId="5471" xr:uid="{FB7EEAF0-DE1C-4C7E-BD43-A37080DCACF0}"/>
    <cellStyle name="SAPBEXstdItemX 3 3" xfId="3844" xr:uid="{17B507B2-AF9D-4F30-9984-A4B9FF823DBB}"/>
    <cellStyle name="SAPBEXstdItemX 4" xfId="3114" xr:uid="{D71F835E-5326-4EE7-8749-1AF43A646AEA}"/>
    <cellStyle name="SAPBEXstdItemX 4 2" xfId="5488" xr:uid="{82420BD5-91C9-4FC0-9D1A-4F021726CF5A}"/>
    <cellStyle name="SAPBEXstdItemX 5" xfId="1767" xr:uid="{51DB7923-555E-47B1-99BF-E5192B0AF1AE}"/>
    <cellStyle name="SAPBEXstdItemX 5 2" xfId="4299" xr:uid="{D8F7DA30-0F94-411A-A4E2-19B86CD69DB2}"/>
    <cellStyle name="SAPBEXstdItemX 6" xfId="3347" xr:uid="{36DDBD02-3280-4A12-BAD0-A534D6D3B633}"/>
    <cellStyle name="SAPBEXtitle" xfId="109" xr:uid="{00000000-0005-0000-0000-00005D030000}"/>
    <cellStyle name="SAPBEXtitle 2" xfId="1770" xr:uid="{AB380B6C-104A-4764-A557-2620C69181A7}"/>
    <cellStyle name="SAPBEXtitle 2 2" xfId="3148" xr:uid="{01CBBD32-3A40-45CA-B2BB-AC26D67E1ED8}"/>
    <cellStyle name="SAPBEXtitle 2 2 2" xfId="5522" xr:uid="{C888C778-2BA3-44EE-A249-8C98D9EC713A}"/>
    <cellStyle name="SAPBEXtitle 2 3" xfId="3295" xr:uid="{4131EAF6-F201-4FEA-B8BA-EB88098CD1CF}"/>
    <cellStyle name="SAPBEXtitle 2 3 2" xfId="5669" xr:uid="{897B12FF-50A4-4279-AC89-AC78F8436683}"/>
    <cellStyle name="SAPBEXtitle 2 4" xfId="4301" xr:uid="{2445A2F1-2B99-494B-A08D-9AFC155A8398}"/>
    <cellStyle name="SAPBEXtitle 3" xfId="1769" xr:uid="{7AB02CA9-3B46-46B6-99D8-5638F87CF745}"/>
    <cellStyle name="SAPBEXunassignedItem" xfId="1771" xr:uid="{3F250E2C-E22E-4142-8AA5-5F24A5378037}"/>
    <cellStyle name="SAPBEXunassignedItem 2" xfId="1772" xr:uid="{25461E51-BAD8-453F-B087-BE48A3487B5B}"/>
    <cellStyle name="SAPBEXunassignedItem 2 2" xfId="3296" xr:uid="{05B806B4-B4DC-42C3-B00F-005C1CAA0847}"/>
    <cellStyle name="SAPBEXunassignedItem 2 2 2" xfId="5670" xr:uid="{14CF8098-033E-4CB8-BF6E-C8E46B3D61DE}"/>
    <cellStyle name="SAPBEXunassignedItem 3" xfId="1773" xr:uid="{0C8120C1-8347-4CFB-A22C-998861B79FB7}"/>
    <cellStyle name="SAPBEXunassignedItem 3 2" xfId="3151" xr:uid="{BE7FB166-B4C2-4502-96A8-36DEC2E5D607}"/>
    <cellStyle name="SAPBEXunassignedItem 3 2 2" xfId="5525" xr:uid="{428AE45B-3791-46D1-BCD3-F03DF1FF7038}"/>
    <cellStyle name="SAPBEXunassignedItem 4" xfId="3080" xr:uid="{82A2B1BF-FE18-4A65-91E3-977ECE9D76B9}"/>
    <cellStyle name="SAPBEXunassignedItem 4 2" xfId="5454" xr:uid="{B5C6344A-C3D7-4857-87AD-A6E96D1F9AE9}"/>
    <cellStyle name="SAPBEXundefined" xfId="110" xr:uid="{00000000-0005-0000-0000-00005E030000}"/>
    <cellStyle name="SAPBEXundefined 2" xfId="1775" xr:uid="{EDD78056-FAC7-483C-B368-650D12C59F96}"/>
    <cellStyle name="SAPBEXundefined 2 2" xfId="3213" xr:uid="{7A758E2A-FA07-40BE-9A4E-23441FC25F7B}"/>
    <cellStyle name="SAPBEXundefined 2 2 2" xfId="5587" xr:uid="{2918B7E8-E711-407C-A47D-C92E97944910}"/>
    <cellStyle name="SAPBEXundefined 2 3" xfId="3068" xr:uid="{ACD26AF5-F260-4E8B-BFDD-7A3C7DB6AA59}"/>
    <cellStyle name="SAPBEXundefined 2 3 2" xfId="5442" xr:uid="{47E8233F-B1B1-47DC-9802-A0D70275FC07}"/>
    <cellStyle name="SAPBEXundefined 2 4" xfId="4303" xr:uid="{03CF2259-2DE7-4A2C-BDD5-43F909C9CFAD}"/>
    <cellStyle name="SAPBEXundefined 3" xfId="3284" xr:uid="{377F57E8-45FD-414D-A171-B817545A4E1F}"/>
    <cellStyle name="SAPBEXundefined 3 2" xfId="5658" xr:uid="{5E835B97-FAE3-4F62-BB4C-9A599CF8EC06}"/>
    <cellStyle name="SAPBEXundefined 4" xfId="3298" xr:uid="{8DFEED10-5827-4ED4-9253-788C0AECFABD}"/>
    <cellStyle name="SAPBEXundefined 4 2" xfId="5672" xr:uid="{262ED546-13DA-4837-8339-41D19795D6F5}"/>
    <cellStyle name="SAPBEXundefined 5" xfId="1774" xr:uid="{98824E1C-FBA2-457A-B508-9FB42F451674}"/>
    <cellStyle name="SAPBEXundefined 5 2" xfId="4302" xr:uid="{875FBCF8-02EB-487E-9520-B7CDB89055BE}"/>
    <cellStyle name="SAPBEXundefined 6" xfId="3348" xr:uid="{FDF3671F-1093-4636-8420-2E864B7CB116}"/>
    <cellStyle name="Sheet Title" xfId="111" xr:uid="{00000000-0005-0000-0000-00005F030000}"/>
    <cellStyle name="Sheet Title 2" xfId="952" xr:uid="{8BCFC3A6-BB2D-4D5E-8020-D05FFC9C02FE}"/>
    <cellStyle name="Title" xfId="112" builtinId="15" customBuiltin="1"/>
    <cellStyle name="Title 2" xfId="188" xr:uid="{00000000-0005-0000-0000-000061030000}"/>
    <cellStyle name="Title 2 2" xfId="1776" xr:uid="{ADB98B37-8AFA-435A-99A3-7B4665CC5D99}"/>
    <cellStyle name="Title 3" xfId="234" xr:uid="{00000000-0005-0000-0000-000062030000}"/>
    <cellStyle name="Title 3 2" xfId="1781" xr:uid="{7A96A93C-5C7A-48C4-892A-D1210E7AD1F9}"/>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10" xfId="3349" xr:uid="{D7069E8E-C5C8-4D8A-8D21-06F42D88D1FE}"/>
    <cellStyle name="Total 2" xfId="189" xr:uid="{00000000-0005-0000-0000-000069030000}"/>
    <cellStyle name="Total 2 2" xfId="1778" xr:uid="{179976E3-04EB-4C47-B29E-63F54A6D3201}"/>
    <cellStyle name="Total 2 2 2" xfId="3162" xr:uid="{ED8282DE-82DE-4016-90DC-792A93E0888E}"/>
    <cellStyle name="Total 2 2 2 2" xfId="5536" xr:uid="{0D074F41-AC6B-42D8-B87D-C13032F7C791}"/>
    <cellStyle name="Total 2 2 3" xfId="4305" xr:uid="{09D15B14-368C-4E7E-BC27-6DDD8566482D}"/>
    <cellStyle name="Total 2 3" xfId="3172" xr:uid="{EC3534D5-41D2-43AF-B4AC-8C381F170761}"/>
    <cellStyle name="Total 2 3 2" xfId="5546" xr:uid="{B5BF204F-3FB5-4E38-BC83-CB451AD0B6D0}"/>
    <cellStyle name="Total 2 4" xfId="1777" xr:uid="{20809672-789B-4F9B-B2B6-D104885B016E}"/>
    <cellStyle name="Total 2 4 2" xfId="4304" xr:uid="{F7CE4193-E4B3-462F-8B12-7435128CEF8A}"/>
    <cellStyle name="Total 2 5" xfId="3371" xr:uid="{1103A734-153C-4098-B797-D6FD4A51468B}"/>
    <cellStyle name="Total 3" xfId="235" xr:uid="{00000000-0005-0000-0000-00006A030000}"/>
    <cellStyle name="Total 3 2" xfId="3377" xr:uid="{5D2B5F47-9080-49AC-BBA9-2F027F241805}"/>
    <cellStyle name="Total 4" xfId="281" xr:uid="{00000000-0005-0000-0000-00006B030000}"/>
    <cellStyle name="Total 4 2" xfId="3384" xr:uid="{A82AC5A3-40FE-4084-827E-98A774AFC015}"/>
    <cellStyle name="Total 5" xfId="330" xr:uid="{00000000-0005-0000-0000-00006C030000}"/>
    <cellStyle name="Total 5 2" xfId="3393" xr:uid="{85C14A04-FB92-4CEE-9044-8C239D082C5F}"/>
    <cellStyle name="Total 6" xfId="394" xr:uid="{00000000-0005-0000-0000-00006D030000}"/>
    <cellStyle name="Total 6 2" xfId="3416" xr:uid="{74B17500-BD18-4A7F-913D-95E1C05178AB}"/>
    <cellStyle name="Total 7" xfId="465" xr:uid="{00000000-0005-0000-0000-00006E030000}"/>
    <cellStyle name="Total 7 2" xfId="3447" xr:uid="{954AC2C2-645F-445D-B243-FF8A352B395D}"/>
    <cellStyle name="Total 8" xfId="569" xr:uid="{00000000-0005-0000-0000-00006F030000}"/>
    <cellStyle name="Total 8 2" xfId="3505" xr:uid="{EE3D9FF1-F417-4123-938B-4DFF45DA82C4}"/>
    <cellStyle name="Total 9" xfId="921" xr:uid="{CBF16F10-0DCE-471F-A0DF-D7C35B026FA1}"/>
    <cellStyle name="Warning Text" xfId="114" builtinId="11" customBuiltin="1"/>
    <cellStyle name="Warning Text 2" xfId="190" xr:uid="{00000000-0005-0000-0000-000071030000}"/>
    <cellStyle name="Warning Text 2 2" xfId="1780" xr:uid="{EA50F5AF-5E34-46C1-BA71-AEF18B03B35A}"/>
    <cellStyle name="Warning Text 2 3" xfId="1779" xr:uid="{98C1911D-39B9-4F4F-9CB0-6DD0C6BC9035}"/>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 name="Warning Text 9" xfId="982" xr:uid="{7D936705-C758-4CB3-936A-91C98D837605}"/>
  </cellStyles>
  <dxfs count="10">
    <dxf>
      <font>
        <b val="0"/>
        <i val="0"/>
        <strike val="0"/>
        <condense val="0"/>
        <extend val="0"/>
        <outline val="0"/>
        <shadow val="0"/>
        <u val="none"/>
        <vertAlign val="baseline"/>
        <sz val="10"/>
        <color auto="1"/>
        <name val="Arial"/>
        <family val="2"/>
        <scheme val="none"/>
      </font>
      <numFmt numFmtId="176"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CCFF66"/>
      <color rgb="FF00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2021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refreshError="1"/>
      <sheetData sheetId="1" refreshError="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6953125" defaultRowHeight="12.5"/>
  <cols>
    <col min="1" max="1" width="9.7265625" style="10" customWidth="1"/>
    <col min="2" max="2" width="28.54296875" style="10" customWidth="1"/>
    <col min="3" max="3" width="16.54296875" style="10" customWidth="1"/>
    <col min="4" max="4" width="17.453125" style="10" customWidth="1"/>
    <col min="5" max="5" width="15" style="10" customWidth="1"/>
    <col min="6" max="6" width="23.26953125" style="10" bestFit="1" customWidth="1"/>
    <col min="7" max="7" width="13.26953125" style="10" bestFit="1" customWidth="1"/>
    <col min="8" max="16384" width="9.26953125" style="10"/>
  </cols>
  <sheetData>
    <row r="1" spans="1:8" s="393" customFormat="1" ht="39.5" thickBot="1">
      <c r="A1" s="394" t="s">
        <v>0</v>
      </c>
      <c r="B1" s="394" t="s">
        <v>1</v>
      </c>
      <c r="C1" s="394" t="s">
        <v>2</v>
      </c>
      <c r="D1" s="394" t="s">
        <v>3</v>
      </c>
      <c r="E1" s="395" t="s">
        <v>4</v>
      </c>
      <c r="F1" s="396" t="s">
        <v>5</v>
      </c>
      <c r="G1" s="397" t="s">
        <v>6</v>
      </c>
      <c r="H1" s="398" t="s">
        <v>7</v>
      </c>
    </row>
    <row r="2" spans="1:8" ht="15.5" thickTop="1" thickBot="1">
      <c r="A2" s="403">
        <v>0</v>
      </c>
      <c r="B2" s="85" t="s">
        <v>8</v>
      </c>
      <c r="C2" s="404"/>
      <c r="D2" s="394" t="s">
        <v>9</v>
      </c>
      <c r="E2" s="399">
        <v>1</v>
      </c>
      <c r="F2" s="400" t="s">
        <v>10</v>
      </c>
      <c r="G2" s="390">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4</v>
      </c>
      <c r="H2" s="402">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0.591757080078125</v>
      </c>
    </row>
    <row r="3" spans="1:8" ht="15.5" thickTop="1" thickBot="1">
      <c r="A3" s="391">
        <v>1</v>
      </c>
      <c r="B3" s="388" t="s">
        <v>11</v>
      </c>
      <c r="C3" s="404"/>
      <c r="D3" s="389" t="s">
        <v>9</v>
      </c>
      <c r="E3" s="399">
        <v>1</v>
      </c>
      <c r="F3" s="400" t="s">
        <v>10</v>
      </c>
      <c r="G3"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14093</v>
      </c>
      <c r="H3"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1.9730200000000002</v>
      </c>
    </row>
    <row r="4" spans="1:8" ht="15.5" thickTop="1" thickBot="1">
      <c r="A4" s="391">
        <v>2</v>
      </c>
      <c r="B4" s="388" t="s">
        <v>12</v>
      </c>
      <c r="C4" s="404" t="s">
        <v>13</v>
      </c>
      <c r="D4" s="389" t="s">
        <v>9</v>
      </c>
      <c r="E4" s="399">
        <v>1</v>
      </c>
      <c r="F4" s="400" t="s">
        <v>10</v>
      </c>
      <c r="G4" s="39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4" s="40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5" spans="1:8" ht="15.5" thickTop="1" thickBot="1">
      <c r="A5" s="391">
        <v>3</v>
      </c>
      <c r="B5" s="388" t="s">
        <v>14</v>
      </c>
      <c r="C5" s="404"/>
      <c r="D5" s="389" t="s">
        <v>9</v>
      </c>
      <c r="E5" s="399">
        <v>1</v>
      </c>
      <c r="F5" s="400" t="s">
        <v>10</v>
      </c>
      <c r="G5" s="39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5" s="40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6" spans="1:8" ht="15.5" thickTop="1" thickBot="1">
      <c r="A6" s="391">
        <v>4</v>
      </c>
      <c r="B6" s="388" t="s">
        <v>15</v>
      </c>
      <c r="C6" s="404" t="s">
        <v>16</v>
      </c>
      <c r="D6" s="389" t="s">
        <v>9</v>
      </c>
      <c r="E6" s="399">
        <v>1</v>
      </c>
      <c r="F6" s="400" t="s">
        <v>10</v>
      </c>
      <c r="G6" s="390"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6" s="402"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7" spans="1:8" ht="15.5" thickTop="1" thickBot="1">
      <c r="A7" s="391">
        <v>5</v>
      </c>
      <c r="B7" s="389" t="s">
        <v>17</v>
      </c>
      <c r="C7" s="404" t="s">
        <v>18</v>
      </c>
      <c r="D7" s="389" t="s">
        <v>19</v>
      </c>
      <c r="E7" s="399">
        <v>1</v>
      </c>
      <c r="F7" s="400" t="s">
        <v>10</v>
      </c>
      <c r="G7"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17376</v>
      </c>
      <c r="H7"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1.9547919699107298E-4</v>
      </c>
    </row>
    <row r="8" spans="1:8" ht="15.5" thickTop="1" thickBot="1">
      <c r="A8" s="391">
        <v>6</v>
      </c>
      <c r="B8" s="389" t="s">
        <v>20</v>
      </c>
      <c r="C8" s="404" t="s">
        <v>18</v>
      </c>
      <c r="D8" s="389" t="s">
        <v>9</v>
      </c>
      <c r="E8" s="399">
        <v>1</v>
      </c>
      <c r="F8" s="400" t="s">
        <v>10</v>
      </c>
      <c r="G8"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704</v>
      </c>
      <c r="H8"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2.559620887041092E-4</v>
      </c>
    </row>
    <row r="9" spans="1:8" ht="15.5" thickTop="1" thickBot="1">
      <c r="A9" s="391">
        <v>7</v>
      </c>
      <c r="B9" s="389" t="s">
        <v>21</v>
      </c>
      <c r="C9" s="404" t="s">
        <v>22</v>
      </c>
      <c r="D9" s="389" t="s">
        <v>19</v>
      </c>
      <c r="E9" s="399">
        <v>1</v>
      </c>
      <c r="F9" s="400" t="s">
        <v>10</v>
      </c>
      <c r="G9"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10225</v>
      </c>
      <c r="H9"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0" spans="1:8" ht="15.5" thickTop="1" thickBot="1">
      <c r="A10" s="391">
        <v>8</v>
      </c>
      <c r="B10" s="389" t="s">
        <v>23</v>
      </c>
      <c r="C10" s="404" t="s">
        <v>22</v>
      </c>
      <c r="D10" s="389" t="s">
        <v>9</v>
      </c>
      <c r="E10" s="399">
        <v>1</v>
      </c>
      <c r="F10" s="400" t="s">
        <v>10</v>
      </c>
      <c r="G10"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2652</v>
      </c>
      <c r="H10"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1" spans="1:8" ht="15.5" thickTop="1" thickBot="1">
      <c r="A11" s="391">
        <v>9</v>
      </c>
      <c r="B11" s="389" t="s">
        <v>24</v>
      </c>
      <c r="C11" s="404"/>
      <c r="D11" s="389" t="s">
        <v>9</v>
      </c>
      <c r="E11" s="399">
        <v>1</v>
      </c>
      <c r="F11" s="400" t="s">
        <v>10</v>
      </c>
      <c r="G11"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1"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2" spans="1:8" ht="15.5" thickTop="1" thickBot="1">
      <c r="A12" s="391">
        <v>10</v>
      </c>
      <c r="B12" s="389" t="s">
        <v>25</v>
      </c>
      <c r="C12" s="404"/>
      <c r="D12" s="389" t="s">
        <v>9</v>
      </c>
      <c r="E12" s="399">
        <v>1</v>
      </c>
      <c r="F12" s="400" t="s">
        <v>10</v>
      </c>
      <c r="G12"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2"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3" spans="1:8" ht="18" customHeight="1" thickTop="1" thickBot="1">
      <c r="A13" s="391">
        <v>11</v>
      </c>
      <c r="B13" s="389" t="s">
        <v>26</v>
      </c>
      <c r="C13" s="404"/>
      <c r="D13" s="389" t="s">
        <v>9</v>
      </c>
      <c r="E13" s="399">
        <v>1</v>
      </c>
      <c r="F13" s="400" t="s">
        <v>10</v>
      </c>
      <c r="G13"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17743</v>
      </c>
      <c r="H13"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0.17743</v>
      </c>
    </row>
    <row r="14" spans="1:8" ht="13.5" thickTop="1" thickBot="1">
      <c r="A14" s="391">
        <v>12</v>
      </c>
      <c r="B14" s="388" t="s">
        <v>27</v>
      </c>
      <c r="C14" s="388"/>
      <c r="D14" s="389" t="s">
        <v>19</v>
      </c>
      <c r="E14" s="399">
        <v>1</v>
      </c>
      <c r="F14" s="400" t="s">
        <v>10</v>
      </c>
      <c r="G14" s="390">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111812</v>
      </c>
      <c r="H14" s="402">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4.327015207260847</v>
      </c>
    </row>
    <row r="15" spans="1:8" ht="15.5" thickTop="1" thickBot="1">
      <c r="A15" s="403">
        <v>0</v>
      </c>
      <c r="B15" s="85" t="s">
        <v>8</v>
      </c>
      <c r="C15" s="404"/>
      <c r="D15" s="394" t="s">
        <v>9</v>
      </c>
      <c r="E15" s="399">
        <v>2</v>
      </c>
      <c r="F15" s="400" t="s">
        <v>28</v>
      </c>
      <c r="G15" s="390">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4</v>
      </c>
      <c r="H15" s="402">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0.49343344116210935</v>
      </c>
    </row>
    <row r="16" spans="1:8" ht="15.5" thickTop="1" thickBot="1">
      <c r="A16" s="391">
        <v>1</v>
      </c>
      <c r="B16" s="389" t="s">
        <v>11</v>
      </c>
      <c r="C16" s="404"/>
      <c r="D16" s="389" t="s">
        <v>9</v>
      </c>
      <c r="E16" s="392">
        <v>2</v>
      </c>
      <c r="F16" s="401" t="s">
        <v>28</v>
      </c>
      <c r="G16"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14068</v>
      </c>
      <c r="H16"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1.9695200000000002</v>
      </c>
    </row>
    <row r="17" spans="1:8" ht="15.5" thickTop="1" thickBot="1">
      <c r="A17" s="391">
        <v>2</v>
      </c>
      <c r="B17" s="389" t="s">
        <v>12</v>
      </c>
      <c r="C17" s="404" t="s">
        <v>13</v>
      </c>
      <c r="D17" s="389" t="s">
        <v>9</v>
      </c>
      <c r="E17" s="392">
        <v>2</v>
      </c>
      <c r="F17" s="401" t="s">
        <v>28</v>
      </c>
      <c r="G17" s="39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7" s="40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8" spans="1:8" ht="15.5" thickTop="1" thickBot="1">
      <c r="A18" s="391">
        <v>3</v>
      </c>
      <c r="B18" s="389" t="s">
        <v>14</v>
      </c>
      <c r="C18" s="404"/>
      <c r="D18" s="389" t="s">
        <v>9</v>
      </c>
      <c r="E18" s="392">
        <v>2</v>
      </c>
      <c r="F18" s="401" t="s">
        <v>28</v>
      </c>
      <c r="G18" s="39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8" s="40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9" spans="1:8" ht="15.5" thickTop="1" thickBot="1">
      <c r="A19" s="391">
        <v>4</v>
      </c>
      <c r="B19" s="389" t="s">
        <v>15</v>
      </c>
      <c r="C19" s="404" t="s">
        <v>16</v>
      </c>
      <c r="D19" s="389" t="s">
        <v>9</v>
      </c>
      <c r="E19" s="392">
        <v>2</v>
      </c>
      <c r="F19" s="401" t="s">
        <v>28</v>
      </c>
      <c r="G19" s="390"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9" s="402"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20" spans="1:8" ht="15.5" thickTop="1" thickBot="1">
      <c r="A20" s="391">
        <v>5</v>
      </c>
      <c r="B20" s="389" t="s">
        <v>17</v>
      </c>
      <c r="C20" s="404" t="s">
        <v>18</v>
      </c>
      <c r="D20" s="389" t="s">
        <v>19</v>
      </c>
      <c r="E20" s="392">
        <v>2</v>
      </c>
      <c r="F20" s="401" t="s">
        <v>28</v>
      </c>
      <c r="G20"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17278</v>
      </c>
      <c r="H20"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4.5015298280304707E-5</v>
      </c>
    </row>
    <row r="21" spans="1:8" ht="15.5" thickTop="1" thickBot="1">
      <c r="A21" s="391">
        <v>6</v>
      </c>
      <c r="B21" s="389" t="s">
        <v>20</v>
      </c>
      <c r="C21" s="404" t="s">
        <v>18</v>
      </c>
      <c r="D21" s="389" t="s">
        <v>9</v>
      </c>
      <c r="E21" s="392">
        <v>2</v>
      </c>
      <c r="F21" s="401" t="s">
        <v>28</v>
      </c>
      <c r="G21"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704</v>
      </c>
      <c r="H21"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5.9277471620589494E-5</v>
      </c>
    </row>
    <row r="22" spans="1:8" ht="15.5" thickTop="1" thickBot="1">
      <c r="A22" s="391">
        <v>7</v>
      </c>
      <c r="B22" s="389" t="s">
        <v>21</v>
      </c>
      <c r="C22" s="404" t="s">
        <v>22</v>
      </c>
      <c r="D22" s="389" t="s">
        <v>19</v>
      </c>
      <c r="E22" s="392">
        <v>2</v>
      </c>
      <c r="F22" s="401" t="s">
        <v>28</v>
      </c>
      <c r="G22"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10185</v>
      </c>
      <c r="H22"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3" spans="1:8" ht="15.5" thickTop="1" thickBot="1">
      <c r="A23" s="391">
        <v>8</v>
      </c>
      <c r="B23" s="389" t="s">
        <v>23</v>
      </c>
      <c r="C23" s="404" t="s">
        <v>22</v>
      </c>
      <c r="D23" s="389" t="s">
        <v>9</v>
      </c>
      <c r="E23" s="392">
        <v>2</v>
      </c>
      <c r="F23" s="401" t="s">
        <v>28</v>
      </c>
      <c r="G23"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2648</v>
      </c>
      <c r="H23"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4" spans="1:8" ht="15.5" thickTop="1" thickBot="1">
      <c r="A24" s="391">
        <v>9</v>
      </c>
      <c r="B24" s="389" t="s">
        <v>24</v>
      </c>
      <c r="C24" s="404"/>
      <c r="D24" s="389" t="s">
        <v>9</v>
      </c>
      <c r="E24" s="392">
        <v>2</v>
      </c>
      <c r="F24" s="401" t="s">
        <v>28</v>
      </c>
      <c r="G24"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4"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5" spans="1:8" ht="15.5" thickTop="1" thickBot="1">
      <c r="A25" s="391">
        <v>10</v>
      </c>
      <c r="B25" s="389" t="s">
        <v>25</v>
      </c>
      <c r="C25" s="404"/>
      <c r="D25" s="389" t="s">
        <v>9</v>
      </c>
      <c r="E25" s="392">
        <v>2</v>
      </c>
      <c r="F25" s="401" t="s">
        <v>28</v>
      </c>
      <c r="G25"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5"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6" spans="1:8" ht="15.5" thickTop="1" thickBot="1">
      <c r="A26" s="391">
        <v>11</v>
      </c>
      <c r="B26" s="389" t="s">
        <v>26</v>
      </c>
      <c r="C26" s="404"/>
      <c r="D26" s="389" t="s">
        <v>9</v>
      </c>
      <c r="E26" s="392">
        <v>2</v>
      </c>
      <c r="F26" s="401" t="s">
        <v>28</v>
      </c>
      <c r="G26"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18502</v>
      </c>
      <c r="H26"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0.18502000000000002</v>
      </c>
    </row>
    <row r="27" spans="1:8" ht="13.5" thickTop="1" thickBot="1">
      <c r="A27" s="391">
        <v>12</v>
      </c>
      <c r="B27" s="389" t="s">
        <v>27</v>
      </c>
      <c r="C27" s="388"/>
      <c r="D27" s="389" t="s">
        <v>19</v>
      </c>
      <c r="E27" s="392">
        <v>2</v>
      </c>
      <c r="F27" s="401" t="s">
        <v>28</v>
      </c>
      <c r="G27" s="390">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111739</v>
      </c>
      <c r="H27" s="402">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3.8396224975138904</v>
      </c>
    </row>
    <row r="28" spans="1:8" ht="15.5" thickTop="1" thickBot="1">
      <c r="A28" s="403">
        <v>0</v>
      </c>
      <c r="B28" s="85" t="s">
        <v>8</v>
      </c>
      <c r="C28" s="404"/>
      <c r="D28" s="394" t="s">
        <v>9</v>
      </c>
      <c r="E28" s="399">
        <v>3</v>
      </c>
      <c r="F28" s="400" t="s">
        <v>29</v>
      </c>
      <c r="G28" s="390">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28" s="402">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0.61670471191406251</v>
      </c>
    </row>
    <row r="29" spans="1:8" ht="15.5" thickTop="1" thickBot="1">
      <c r="A29" s="391">
        <v>1</v>
      </c>
      <c r="B29" s="389" t="s">
        <v>11</v>
      </c>
      <c r="C29" s="404"/>
      <c r="D29" s="389" t="s">
        <v>9</v>
      </c>
      <c r="E29" s="392">
        <v>3</v>
      </c>
      <c r="F29" s="401" t="s">
        <v>29</v>
      </c>
      <c r="G29"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13616</v>
      </c>
      <c r="H29"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0" spans="1:8" ht="15.5" thickTop="1" thickBot="1">
      <c r="A30" s="391">
        <v>2</v>
      </c>
      <c r="B30" s="389" t="s">
        <v>12</v>
      </c>
      <c r="C30" s="404" t="s">
        <v>13</v>
      </c>
      <c r="D30" s="389" t="s">
        <v>9</v>
      </c>
      <c r="E30" s="392">
        <v>3</v>
      </c>
      <c r="F30" s="401" t="s">
        <v>29</v>
      </c>
      <c r="G30"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0" s="40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1" spans="1:8" ht="15.5" thickTop="1" thickBot="1">
      <c r="A31" s="391">
        <v>3</v>
      </c>
      <c r="B31" s="389" t="s">
        <v>14</v>
      </c>
      <c r="C31" s="404"/>
      <c r="D31" s="389" t="s">
        <v>9</v>
      </c>
      <c r="E31" s="392">
        <v>3</v>
      </c>
      <c r="F31" s="401" t="s">
        <v>29</v>
      </c>
      <c r="G31"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1" s="40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2" spans="1:8" ht="15.5" thickTop="1" thickBot="1">
      <c r="A32" s="391">
        <v>4</v>
      </c>
      <c r="B32" s="389" t="s">
        <v>15</v>
      </c>
      <c r="C32" s="404" t="s">
        <v>16</v>
      </c>
      <c r="D32" s="389" t="s">
        <v>9</v>
      </c>
      <c r="E32" s="392">
        <v>3</v>
      </c>
      <c r="F32" s="401" t="s">
        <v>29</v>
      </c>
      <c r="G32"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2" s="402"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3" spans="1:8" ht="15.5" thickTop="1" thickBot="1">
      <c r="A33" s="391">
        <v>5</v>
      </c>
      <c r="B33" s="389" t="s">
        <v>17</v>
      </c>
      <c r="C33" s="404" t="s">
        <v>18</v>
      </c>
      <c r="D33" s="389" t="s">
        <v>19</v>
      </c>
      <c r="E33" s="392">
        <v>3</v>
      </c>
      <c r="F33" s="401" t="s">
        <v>29</v>
      </c>
      <c r="G33"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17050</v>
      </c>
      <c r="H33"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4" spans="1:8" ht="15.5" thickTop="1" thickBot="1">
      <c r="A34" s="391">
        <v>6</v>
      </c>
      <c r="B34" s="389" t="s">
        <v>20</v>
      </c>
      <c r="C34" s="404" t="s">
        <v>18</v>
      </c>
      <c r="D34" s="389" t="s">
        <v>9</v>
      </c>
      <c r="E34" s="392">
        <v>3</v>
      </c>
      <c r="F34" s="401" t="s">
        <v>29</v>
      </c>
      <c r="G34"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268</v>
      </c>
      <c r="H34"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5" spans="1:8" ht="15.5" thickTop="1" thickBot="1">
      <c r="A35" s="391">
        <v>7</v>
      </c>
      <c r="B35" s="389" t="s">
        <v>21</v>
      </c>
      <c r="C35" s="404" t="s">
        <v>22</v>
      </c>
      <c r="D35" s="389" t="s">
        <v>19</v>
      </c>
      <c r="E35" s="392">
        <v>3</v>
      </c>
      <c r="F35" s="401" t="s">
        <v>29</v>
      </c>
      <c r="G35"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10091</v>
      </c>
      <c r="H35"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6" spans="1:8" ht="15.5" thickTop="1" thickBot="1">
      <c r="A36" s="391">
        <v>8</v>
      </c>
      <c r="B36" s="389" t="s">
        <v>23</v>
      </c>
      <c r="C36" s="404" t="s">
        <v>22</v>
      </c>
      <c r="D36" s="389" t="s">
        <v>9</v>
      </c>
      <c r="E36" s="392">
        <v>3</v>
      </c>
      <c r="F36" s="401" t="s">
        <v>29</v>
      </c>
      <c r="G36"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2627</v>
      </c>
      <c r="H36"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7" spans="1:8" ht="15.5" thickTop="1" thickBot="1">
      <c r="A37" s="391">
        <v>9</v>
      </c>
      <c r="B37" s="389" t="s">
        <v>24</v>
      </c>
      <c r="C37" s="404"/>
      <c r="D37" s="389" t="s">
        <v>9</v>
      </c>
      <c r="E37" s="392">
        <v>3</v>
      </c>
      <c r="F37" s="401" t="s">
        <v>29</v>
      </c>
      <c r="G37"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7"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8" spans="1:8" ht="15.5" thickTop="1" thickBot="1">
      <c r="A38" s="391">
        <v>10</v>
      </c>
      <c r="B38" s="389" t="s">
        <v>25</v>
      </c>
      <c r="C38" s="404"/>
      <c r="D38" s="389" t="s">
        <v>9</v>
      </c>
      <c r="E38" s="392">
        <v>3</v>
      </c>
      <c r="F38" s="401" t="s">
        <v>29</v>
      </c>
      <c r="G38"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8"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9" spans="1:8" ht="15.5" thickTop="1" thickBot="1">
      <c r="A39" s="391">
        <v>11</v>
      </c>
      <c r="B39" s="389" t="s">
        <v>26</v>
      </c>
      <c r="C39" s="404"/>
      <c r="D39" s="389" t="s">
        <v>9</v>
      </c>
      <c r="E39" s="392">
        <v>3</v>
      </c>
      <c r="F39" s="401" t="s">
        <v>29</v>
      </c>
      <c r="G39"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19323</v>
      </c>
      <c r="H39"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2.0116550958380491E-3</v>
      </c>
    </row>
    <row r="40" spans="1:8" ht="13.5" thickTop="1" thickBot="1">
      <c r="A40" s="391">
        <v>12</v>
      </c>
      <c r="B40" s="389" t="s">
        <v>27</v>
      </c>
      <c r="C40" s="388"/>
      <c r="D40" s="389" t="s">
        <v>19</v>
      </c>
      <c r="E40" s="392">
        <v>3</v>
      </c>
      <c r="F40" s="401" t="s">
        <v>29</v>
      </c>
      <c r="G40"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111470</v>
      </c>
      <c r="H40" s="402">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4.7142752863180295</v>
      </c>
    </row>
    <row r="41" spans="1:8" ht="15.5" thickTop="1" thickBot="1">
      <c r="A41" s="403">
        <v>0</v>
      </c>
      <c r="B41" s="85" t="s">
        <v>8</v>
      </c>
      <c r="C41" s="404"/>
      <c r="D41" s="394" t="s">
        <v>9</v>
      </c>
      <c r="E41" s="399">
        <v>4</v>
      </c>
      <c r="F41" s="400" t="s">
        <v>30</v>
      </c>
      <c r="G41" s="390">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4</v>
      </c>
      <c r="H41" s="402">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0.56545135498046872</v>
      </c>
    </row>
    <row r="42" spans="1:8" ht="15.5" thickTop="1" thickBot="1">
      <c r="A42" s="391">
        <v>1</v>
      </c>
      <c r="B42" s="389" t="s">
        <v>11</v>
      </c>
      <c r="C42" s="404"/>
      <c r="D42" s="389" t="s">
        <v>9</v>
      </c>
      <c r="E42" s="392">
        <v>4</v>
      </c>
      <c r="F42" s="401" t="s">
        <v>30</v>
      </c>
      <c r="G42"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13615</v>
      </c>
      <c r="H42"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3" spans="1:8" ht="15.5" thickTop="1" thickBot="1">
      <c r="A43" s="391">
        <v>2</v>
      </c>
      <c r="B43" s="389" t="s">
        <v>12</v>
      </c>
      <c r="C43" s="404" t="s">
        <v>13</v>
      </c>
      <c r="D43" s="389" t="s">
        <v>9</v>
      </c>
      <c r="E43" s="392">
        <v>4</v>
      </c>
      <c r="F43" s="401" t="s">
        <v>30</v>
      </c>
      <c r="G43"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3" s="40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4" spans="1:8" ht="15.5" thickTop="1" thickBot="1">
      <c r="A44" s="391">
        <v>3</v>
      </c>
      <c r="B44" s="389" t="s">
        <v>14</v>
      </c>
      <c r="C44" s="404"/>
      <c r="D44" s="389" t="s">
        <v>9</v>
      </c>
      <c r="E44" s="392">
        <v>4</v>
      </c>
      <c r="F44" s="401" t="s">
        <v>30</v>
      </c>
      <c r="G44"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4" s="40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5" spans="1:8" ht="15.5" thickTop="1" thickBot="1">
      <c r="A45" s="391">
        <v>4</v>
      </c>
      <c r="B45" s="389" t="s">
        <v>15</v>
      </c>
      <c r="C45" s="404" t="s">
        <v>16</v>
      </c>
      <c r="D45" s="389" t="s">
        <v>9</v>
      </c>
      <c r="E45" s="392">
        <v>4</v>
      </c>
      <c r="F45" s="401" t="s">
        <v>30</v>
      </c>
      <c r="G45"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5" s="402"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6" spans="1:8" ht="15.5" thickTop="1" thickBot="1">
      <c r="A46" s="391">
        <v>5</v>
      </c>
      <c r="B46" s="389" t="s">
        <v>17</v>
      </c>
      <c r="C46" s="404" t="s">
        <v>18</v>
      </c>
      <c r="D46" s="389" t="s">
        <v>19</v>
      </c>
      <c r="E46" s="392">
        <v>4</v>
      </c>
      <c r="F46" s="401" t="s">
        <v>30</v>
      </c>
      <c r="G46"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17283</v>
      </c>
      <c r="H46"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0.63219965072348705</v>
      </c>
    </row>
    <row r="47" spans="1:8" ht="15.5" thickTop="1" thickBot="1">
      <c r="A47" s="391">
        <v>6</v>
      </c>
      <c r="B47" s="389" t="s">
        <v>20</v>
      </c>
      <c r="C47" s="404" t="s">
        <v>18</v>
      </c>
      <c r="D47" s="389" t="s">
        <v>9</v>
      </c>
      <c r="E47" s="392">
        <v>4</v>
      </c>
      <c r="F47" s="401" t="s">
        <v>30</v>
      </c>
      <c r="G47"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268</v>
      </c>
      <c r="H47"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9.207833182811738E-2</v>
      </c>
    </row>
    <row r="48" spans="1:8" ht="15.5" thickTop="1" thickBot="1">
      <c r="A48" s="391">
        <v>7</v>
      </c>
      <c r="B48" s="389" t="s">
        <v>21</v>
      </c>
      <c r="C48" s="404" t="s">
        <v>22</v>
      </c>
      <c r="D48" s="389" t="s">
        <v>19</v>
      </c>
      <c r="E48" s="392">
        <v>4</v>
      </c>
      <c r="F48" s="401" t="s">
        <v>30</v>
      </c>
      <c r="G48"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9815</v>
      </c>
      <c r="H48"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0.27112955999999999</v>
      </c>
    </row>
    <row r="49" spans="1:8" ht="15.5" thickTop="1" thickBot="1">
      <c r="A49" s="391">
        <v>8</v>
      </c>
      <c r="B49" s="389" t="s">
        <v>23</v>
      </c>
      <c r="C49" s="404" t="s">
        <v>22</v>
      </c>
      <c r="D49" s="389" t="s">
        <v>9</v>
      </c>
      <c r="E49" s="392">
        <v>4</v>
      </c>
      <c r="F49" s="401" t="s">
        <v>30</v>
      </c>
      <c r="G49"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2774</v>
      </c>
      <c r="H49"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0.15616732319999999</v>
      </c>
    </row>
    <row r="50" spans="1:8" ht="15.5" thickTop="1" thickBot="1">
      <c r="A50" s="391">
        <v>9</v>
      </c>
      <c r="B50" s="389" t="s">
        <v>24</v>
      </c>
      <c r="C50" s="404"/>
      <c r="D50" s="389" t="s">
        <v>9</v>
      </c>
      <c r="E50" s="392">
        <v>4</v>
      </c>
      <c r="F50" s="401" t="s">
        <v>30</v>
      </c>
      <c r="G50"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0"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1" spans="1:8" ht="15.5" thickTop="1" thickBot="1">
      <c r="A51" s="391">
        <v>10</v>
      </c>
      <c r="B51" s="389" t="s">
        <v>25</v>
      </c>
      <c r="C51" s="404"/>
      <c r="D51" s="389" t="s">
        <v>9</v>
      </c>
      <c r="E51" s="392">
        <v>4</v>
      </c>
      <c r="F51" s="401" t="s">
        <v>30</v>
      </c>
      <c r="G51"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1"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2" spans="1:8" ht="15.5" thickTop="1" thickBot="1">
      <c r="A52" s="391">
        <v>11</v>
      </c>
      <c r="B52" s="389" t="s">
        <v>26</v>
      </c>
      <c r="C52" s="404"/>
      <c r="D52" s="389" t="s">
        <v>9</v>
      </c>
      <c r="E52" s="392">
        <v>4</v>
      </c>
      <c r="F52" s="401" t="s">
        <v>30</v>
      </c>
      <c r="G52"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16109</v>
      </c>
      <c r="H52"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1.1831353974535091E-2</v>
      </c>
    </row>
    <row r="53" spans="1:8" ht="13.5" thickTop="1" thickBot="1">
      <c r="A53" s="391">
        <v>12</v>
      </c>
      <c r="B53" s="389" t="s">
        <v>27</v>
      </c>
      <c r="C53" s="388"/>
      <c r="D53" s="389" t="s">
        <v>19</v>
      </c>
      <c r="E53" s="392">
        <v>4</v>
      </c>
      <c r="F53" s="401" t="s">
        <v>30</v>
      </c>
      <c r="G53"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112449</v>
      </c>
      <c r="H53" s="402">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5.1785319546330015</v>
      </c>
    </row>
    <row r="54" spans="1:8" ht="15.5" thickTop="1" thickBot="1">
      <c r="A54" s="403">
        <v>0</v>
      </c>
      <c r="B54" s="85" t="s">
        <v>8</v>
      </c>
      <c r="C54" s="404"/>
      <c r="D54" s="394" t="s">
        <v>9</v>
      </c>
      <c r="E54" s="399">
        <v>5</v>
      </c>
      <c r="F54" s="400" t="s">
        <v>31</v>
      </c>
      <c r="G54" s="390">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4</v>
      </c>
      <c r="H54" s="402">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0.54920104980468754</v>
      </c>
    </row>
    <row r="55" spans="1:8" ht="15.5" thickTop="1" thickBot="1">
      <c r="A55" s="391">
        <v>1</v>
      </c>
      <c r="B55" s="389" t="s">
        <v>11</v>
      </c>
      <c r="C55" s="404"/>
      <c r="D55" s="389" t="s">
        <v>9</v>
      </c>
      <c r="E55" s="392">
        <v>5</v>
      </c>
      <c r="F55" s="401" t="s">
        <v>31</v>
      </c>
      <c r="G55"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13615</v>
      </c>
      <c r="H55"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56" spans="1:8" ht="15.5" thickTop="1" thickBot="1">
      <c r="A56" s="391">
        <v>2</v>
      </c>
      <c r="B56" s="389" t="s">
        <v>12</v>
      </c>
      <c r="C56" s="404" t="s">
        <v>13</v>
      </c>
      <c r="D56" s="389" t="s">
        <v>9</v>
      </c>
      <c r="E56" s="392">
        <v>5</v>
      </c>
      <c r="F56" s="401" t="s">
        <v>31</v>
      </c>
      <c r="G56"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6" s="40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7" spans="1:8" ht="15.5" thickTop="1" thickBot="1">
      <c r="A57" s="391">
        <v>3</v>
      </c>
      <c r="B57" s="389" t="s">
        <v>14</v>
      </c>
      <c r="C57" s="404"/>
      <c r="D57" s="389" t="s">
        <v>9</v>
      </c>
      <c r="E57" s="392">
        <v>5</v>
      </c>
      <c r="F57" s="401" t="s">
        <v>31</v>
      </c>
      <c r="G57"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7" s="40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8" spans="1:8" ht="15.5" thickTop="1" thickBot="1">
      <c r="A58" s="391">
        <v>4</v>
      </c>
      <c r="B58" s="389" t="s">
        <v>15</v>
      </c>
      <c r="C58" s="404" t="s">
        <v>16</v>
      </c>
      <c r="D58" s="389" t="s">
        <v>9</v>
      </c>
      <c r="E58" s="392">
        <v>5</v>
      </c>
      <c r="F58" s="401" t="s">
        <v>31</v>
      </c>
      <c r="G58"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8" s="402"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9" spans="1:8" ht="15.5" thickTop="1" thickBot="1">
      <c r="A59" s="391">
        <v>5</v>
      </c>
      <c r="B59" s="389" t="s">
        <v>17</v>
      </c>
      <c r="C59" s="404" t="s">
        <v>18</v>
      </c>
      <c r="D59" s="389" t="s">
        <v>19</v>
      </c>
      <c r="E59" s="392">
        <v>5</v>
      </c>
      <c r="F59" s="401" t="s">
        <v>31</v>
      </c>
      <c r="G59"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17130</v>
      </c>
      <c r="H59"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1.3920932315289973</v>
      </c>
    </row>
    <row r="60" spans="1:8" ht="15.5" thickTop="1" thickBot="1">
      <c r="A60" s="391">
        <v>6</v>
      </c>
      <c r="B60" s="389" t="s">
        <v>20</v>
      </c>
      <c r="C60" s="404" t="s">
        <v>18</v>
      </c>
      <c r="D60" s="389" t="s">
        <v>9</v>
      </c>
      <c r="E60" s="392">
        <v>5</v>
      </c>
      <c r="F60" s="401" t="s">
        <v>31</v>
      </c>
      <c r="G60"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256</v>
      </c>
      <c r="H60"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0.23586849975585938</v>
      </c>
    </row>
    <row r="61" spans="1:8" ht="15.5" thickTop="1" thickBot="1">
      <c r="A61" s="391">
        <v>7</v>
      </c>
      <c r="B61" s="389" t="s">
        <v>21</v>
      </c>
      <c r="C61" s="404" t="s">
        <v>22</v>
      </c>
      <c r="D61" s="389" t="s">
        <v>19</v>
      </c>
      <c r="E61" s="392">
        <v>5</v>
      </c>
      <c r="F61" s="401" t="s">
        <v>31</v>
      </c>
      <c r="G61"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9593</v>
      </c>
      <c r="H61"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0.55346429780000006</v>
      </c>
    </row>
    <row r="62" spans="1:8" ht="15.5" thickTop="1" thickBot="1">
      <c r="A62" s="391">
        <v>8</v>
      </c>
      <c r="B62" s="389" t="s">
        <v>23</v>
      </c>
      <c r="C62" s="404" t="s">
        <v>22</v>
      </c>
      <c r="D62" s="389" t="s">
        <v>9</v>
      </c>
      <c r="E62" s="392">
        <v>5</v>
      </c>
      <c r="F62" s="401" t="s">
        <v>31</v>
      </c>
      <c r="G62"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2705</v>
      </c>
      <c r="H62"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0.1742817975</v>
      </c>
    </row>
    <row r="63" spans="1:8" ht="15.5" thickTop="1" thickBot="1">
      <c r="A63" s="391">
        <v>9</v>
      </c>
      <c r="B63" s="389" t="s">
        <v>24</v>
      </c>
      <c r="C63" s="404"/>
      <c r="D63" s="389" t="s">
        <v>9</v>
      </c>
      <c r="E63" s="392">
        <v>5</v>
      </c>
      <c r="F63" s="401" t="s">
        <v>31</v>
      </c>
      <c r="G63"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41</v>
      </c>
      <c r="H63"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0.48483278999999996</v>
      </c>
    </row>
    <row r="64" spans="1:8" ht="15.5" thickTop="1" thickBot="1">
      <c r="A64" s="391">
        <v>10</v>
      </c>
      <c r="B64" s="389" t="s">
        <v>25</v>
      </c>
      <c r="C64" s="404"/>
      <c r="D64" s="389" t="s">
        <v>9</v>
      </c>
      <c r="E64" s="392">
        <v>5</v>
      </c>
      <c r="F64" s="401" t="s">
        <v>31</v>
      </c>
      <c r="G64"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134</v>
      </c>
      <c r="H64"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1.214125358</v>
      </c>
    </row>
    <row r="65" spans="1:8" ht="15.5" thickTop="1" thickBot="1">
      <c r="A65" s="391">
        <v>11</v>
      </c>
      <c r="B65" s="389" t="s">
        <v>26</v>
      </c>
      <c r="C65" s="404"/>
      <c r="D65" s="389" t="s">
        <v>9</v>
      </c>
      <c r="E65" s="392">
        <v>5</v>
      </c>
      <c r="F65" s="401" t="s">
        <v>31</v>
      </c>
      <c r="G65"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19517</v>
      </c>
      <c r="H65"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2.6687764786962602E-2</v>
      </c>
    </row>
    <row r="66" spans="1:8" ht="13.5" thickTop="1" thickBot="1">
      <c r="A66" s="391">
        <v>12</v>
      </c>
      <c r="B66" s="389" t="s">
        <v>27</v>
      </c>
      <c r="C66" s="388"/>
      <c r="D66" s="389" t="s">
        <v>19</v>
      </c>
      <c r="E66" s="392">
        <v>5</v>
      </c>
      <c r="F66" s="401" t="s">
        <v>31</v>
      </c>
      <c r="G66"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106176</v>
      </c>
      <c r="H66" s="402">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10.495567726145767</v>
      </c>
    </row>
    <row r="67" spans="1:8" ht="15.5" thickTop="1" thickBot="1">
      <c r="A67" s="403">
        <v>0</v>
      </c>
      <c r="B67" s="85" t="s">
        <v>8</v>
      </c>
      <c r="C67" s="404"/>
      <c r="D67" s="394" t="s">
        <v>9</v>
      </c>
      <c r="E67" s="399">
        <v>6</v>
      </c>
      <c r="F67" s="400" t="s">
        <v>32</v>
      </c>
      <c r="G67" s="390">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1</v>
      </c>
      <c r="H67" s="402">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0.16708448791503908</v>
      </c>
    </row>
    <row r="68" spans="1:8" ht="15.5" thickTop="1" thickBot="1">
      <c r="A68" s="391">
        <v>1</v>
      </c>
      <c r="B68" s="389" t="s">
        <v>11</v>
      </c>
      <c r="C68" s="404"/>
      <c r="D68" s="389" t="s">
        <v>9</v>
      </c>
      <c r="E68" s="392">
        <v>6</v>
      </c>
      <c r="F68" s="401" t="s">
        <v>32</v>
      </c>
      <c r="G68"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14395</v>
      </c>
      <c r="H68"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69" spans="1:8" ht="15.5" thickTop="1" thickBot="1">
      <c r="A69" s="391">
        <v>2</v>
      </c>
      <c r="B69" s="389" t="s">
        <v>12</v>
      </c>
      <c r="C69" s="404" t="s">
        <v>13</v>
      </c>
      <c r="D69" s="389" t="s">
        <v>9</v>
      </c>
      <c r="E69" s="392">
        <v>6</v>
      </c>
      <c r="F69" s="401" t="s">
        <v>32</v>
      </c>
      <c r="G69"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69" s="40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0" spans="1:8" ht="15.5" thickTop="1" thickBot="1">
      <c r="A70" s="391">
        <v>3</v>
      </c>
      <c r="B70" s="389" t="s">
        <v>14</v>
      </c>
      <c r="C70" s="404"/>
      <c r="D70" s="389" t="s">
        <v>9</v>
      </c>
      <c r="E70" s="392">
        <v>6</v>
      </c>
      <c r="F70" s="401" t="s">
        <v>32</v>
      </c>
      <c r="G70"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0" s="40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1" spans="1:8" ht="15.5" thickTop="1" thickBot="1">
      <c r="A71" s="391">
        <v>4</v>
      </c>
      <c r="B71" s="389" t="s">
        <v>15</v>
      </c>
      <c r="C71" s="404" t="s">
        <v>16</v>
      </c>
      <c r="D71" s="389" t="s">
        <v>9</v>
      </c>
      <c r="E71" s="392">
        <v>6</v>
      </c>
      <c r="F71" s="401" t="s">
        <v>32</v>
      </c>
      <c r="G71"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1" s="402"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2" spans="1:8" ht="15.5" thickTop="1" thickBot="1">
      <c r="A72" s="391">
        <v>5</v>
      </c>
      <c r="B72" s="389" t="s">
        <v>17</v>
      </c>
      <c r="C72" s="404" t="s">
        <v>18</v>
      </c>
      <c r="D72" s="389" t="s">
        <v>19</v>
      </c>
      <c r="E72" s="392">
        <v>6</v>
      </c>
      <c r="F72" s="401" t="s">
        <v>32</v>
      </c>
      <c r="G72"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14623</v>
      </c>
      <c r="H72"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0.75110183168202638</v>
      </c>
    </row>
    <row r="73" spans="1:8" ht="15.5" thickTop="1" thickBot="1">
      <c r="A73" s="391">
        <v>6</v>
      </c>
      <c r="B73" s="389" t="s">
        <v>20</v>
      </c>
      <c r="C73" s="404" t="s">
        <v>18</v>
      </c>
      <c r="D73" s="389" t="s">
        <v>9</v>
      </c>
      <c r="E73" s="392">
        <v>6</v>
      </c>
      <c r="F73" s="401" t="s">
        <v>32</v>
      </c>
      <c r="G73"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236</v>
      </c>
      <c r="H73"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0.20210570478439333</v>
      </c>
    </row>
    <row r="74" spans="1:8" ht="15.5" thickTop="1" thickBot="1">
      <c r="A74" s="391">
        <v>7</v>
      </c>
      <c r="B74" s="389" t="s">
        <v>21</v>
      </c>
      <c r="C74" s="404" t="s">
        <v>22</v>
      </c>
      <c r="D74" s="389" t="s">
        <v>19</v>
      </c>
      <c r="E74" s="392">
        <v>6</v>
      </c>
      <c r="F74" s="401" t="s">
        <v>32</v>
      </c>
      <c r="G74"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9409</v>
      </c>
      <c r="H74"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0.34679127659999998</v>
      </c>
    </row>
    <row r="75" spans="1:8" ht="15.5" thickTop="1" thickBot="1">
      <c r="A75" s="391">
        <v>8</v>
      </c>
      <c r="B75" s="389" t="s">
        <v>23</v>
      </c>
      <c r="C75" s="404" t="s">
        <v>22</v>
      </c>
      <c r="D75" s="389" t="s">
        <v>9</v>
      </c>
      <c r="E75" s="392">
        <v>6</v>
      </c>
      <c r="F75" s="401" t="s">
        <v>32</v>
      </c>
      <c r="G75"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2244</v>
      </c>
      <c r="H75"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0.1342089276</v>
      </c>
    </row>
    <row r="76" spans="1:8" ht="15.5" thickTop="1" thickBot="1">
      <c r="A76" s="391">
        <v>9</v>
      </c>
      <c r="B76" s="389" t="s">
        <v>24</v>
      </c>
      <c r="C76" s="404"/>
      <c r="D76" s="389" t="s">
        <v>9</v>
      </c>
      <c r="E76" s="392">
        <v>6</v>
      </c>
      <c r="F76" s="401" t="s">
        <v>32</v>
      </c>
      <c r="G76"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49</v>
      </c>
      <c r="H76"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0.57943431000000001</v>
      </c>
    </row>
    <row r="77" spans="1:8" ht="15.5" thickTop="1" thickBot="1">
      <c r="A77" s="391">
        <v>10</v>
      </c>
      <c r="B77" s="389" t="s">
        <v>25</v>
      </c>
      <c r="C77" s="404"/>
      <c r="D77" s="389" t="s">
        <v>9</v>
      </c>
      <c r="E77" s="392">
        <v>6</v>
      </c>
      <c r="F77" s="401" t="s">
        <v>32</v>
      </c>
      <c r="G77"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125</v>
      </c>
      <c r="H77"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1.132579625</v>
      </c>
    </row>
    <row r="78" spans="1:8" ht="15.5" thickTop="1" thickBot="1">
      <c r="A78" s="391">
        <v>11</v>
      </c>
      <c r="B78" s="389" t="s">
        <v>26</v>
      </c>
      <c r="C78" s="404"/>
      <c r="D78" s="389" t="s">
        <v>9</v>
      </c>
      <c r="E78" s="392">
        <v>6</v>
      </c>
      <c r="F78" s="401" t="s">
        <v>32</v>
      </c>
      <c r="G78"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20395</v>
      </c>
      <c r="H78"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1.7896924899157656E-2</v>
      </c>
    </row>
    <row r="79" spans="1:8" ht="13.5" thickTop="1" thickBot="1">
      <c r="A79" s="391">
        <v>12</v>
      </c>
      <c r="B79" s="389" t="s">
        <v>27</v>
      </c>
      <c r="C79" s="388"/>
      <c r="D79" s="389" t="s">
        <v>19</v>
      </c>
      <c r="E79" s="392">
        <v>6</v>
      </c>
      <c r="F79" s="401" t="s">
        <v>32</v>
      </c>
      <c r="G79"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105904</v>
      </c>
      <c r="H79" s="402">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7.935654954850289</v>
      </c>
    </row>
    <row r="80" spans="1:8" ht="15.5" thickTop="1" thickBot="1">
      <c r="A80" s="403">
        <v>0</v>
      </c>
      <c r="B80" s="85" t="s">
        <v>8</v>
      </c>
      <c r="C80" s="404"/>
      <c r="D80" s="394" t="s">
        <v>9</v>
      </c>
      <c r="E80" s="399">
        <v>7</v>
      </c>
      <c r="F80" s="400" t="s">
        <v>33</v>
      </c>
      <c r="G80" s="390">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0</v>
      </c>
      <c r="H80" s="402">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v>
      </c>
    </row>
    <row r="81" spans="1:8" ht="15.5" thickTop="1" thickBot="1">
      <c r="A81" s="391">
        <v>1</v>
      </c>
      <c r="B81" s="389" t="s">
        <v>11</v>
      </c>
      <c r="C81" s="404"/>
      <c r="D81" s="389" t="s">
        <v>9</v>
      </c>
      <c r="E81" s="392">
        <v>7</v>
      </c>
      <c r="F81" s="401" t="s">
        <v>33</v>
      </c>
      <c r="G81"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1" s="402">
        <f>VLOOKUP(BUReporting[[#This Row],[Program]],'Program MW '!$A$34:$S$44,3,FALSE)</f>
        <v>0</v>
      </c>
    </row>
    <row r="82" spans="1:8" ht="15.5" thickTop="1" thickBot="1">
      <c r="A82" s="391">
        <v>2</v>
      </c>
      <c r="B82" s="389" t="s">
        <v>12</v>
      </c>
      <c r="C82" s="404" t="s">
        <v>13</v>
      </c>
      <c r="D82" s="389" t="s">
        <v>9</v>
      </c>
      <c r="E82" s="392">
        <v>7</v>
      </c>
      <c r="F82" s="401" t="s">
        <v>33</v>
      </c>
      <c r="G82" s="39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2" s="402" t="e">
        <f>VLOOKUP(BUReporting[[#This Row],[Program]],'Program MW '!$A$34:$S$44,3,FALSE)</f>
        <v>#N/A</v>
      </c>
    </row>
    <row r="83" spans="1:8" ht="15.5" thickTop="1" thickBot="1">
      <c r="A83" s="391">
        <v>3</v>
      </c>
      <c r="B83" s="389" t="s">
        <v>14</v>
      </c>
      <c r="C83" s="404"/>
      <c r="D83" s="389" t="s">
        <v>9</v>
      </c>
      <c r="E83" s="392">
        <v>7</v>
      </c>
      <c r="F83" s="401" t="s">
        <v>33</v>
      </c>
      <c r="G83" s="39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3" s="402" t="e">
        <f>VLOOKUP(BUReporting[[#This Row],[Program]],'Program MW '!$A$34:$S$44,3,FALSE)</f>
        <v>#N/A</v>
      </c>
    </row>
    <row r="84" spans="1:8" ht="15.5" thickTop="1" thickBot="1">
      <c r="A84" s="391">
        <v>4</v>
      </c>
      <c r="B84" s="389" t="s">
        <v>15</v>
      </c>
      <c r="C84" s="404" t="s">
        <v>16</v>
      </c>
      <c r="D84" s="389" t="s">
        <v>9</v>
      </c>
      <c r="E84" s="392">
        <v>7</v>
      </c>
      <c r="F84" s="401" t="s">
        <v>33</v>
      </c>
      <c r="G84" s="390"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4" s="402" t="e">
        <f>VLOOKUP(BUReporting[[#This Row],[Program]],'Program MW '!$A$34:$S$44,3,FALSE)</f>
        <v>#N/A</v>
      </c>
    </row>
    <row r="85" spans="1:8" ht="15.5" thickTop="1" thickBot="1">
      <c r="A85" s="391">
        <v>5</v>
      </c>
      <c r="B85" s="389" t="s">
        <v>17</v>
      </c>
      <c r="C85" s="404" t="s">
        <v>18</v>
      </c>
      <c r="D85" s="389" t="s">
        <v>19</v>
      </c>
      <c r="E85" s="392">
        <v>7</v>
      </c>
      <c r="F85" s="401" t="s">
        <v>33</v>
      </c>
      <c r="G85"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5" s="402">
        <f>VLOOKUP(BUReporting[[#This Row],[Program]],'Program MW '!$A$34:$S$44,3,FALSE)</f>
        <v>0</v>
      </c>
    </row>
    <row r="86" spans="1:8" ht="15.5" thickTop="1" thickBot="1">
      <c r="A86" s="391">
        <v>6</v>
      </c>
      <c r="B86" s="389" t="s">
        <v>20</v>
      </c>
      <c r="C86" s="404" t="s">
        <v>18</v>
      </c>
      <c r="D86" s="389" t="s">
        <v>9</v>
      </c>
      <c r="E86" s="392">
        <v>7</v>
      </c>
      <c r="F86" s="401" t="s">
        <v>33</v>
      </c>
      <c r="G86"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6" s="402">
        <f>VLOOKUP(BUReporting[[#This Row],[Program]],'Program MW '!$A$34:$S$44,3,FALSE)</f>
        <v>0</v>
      </c>
    </row>
    <row r="87" spans="1:8" ht="15.5" thickTop="1" thickBot="1">
      <c r="A87" s="391">
        <v>7</v>
      </c>
      <c r="B87" s="389" t="s">
        <v>21</v>
      </c>
      <c r="C87" s="404" t="s">
        <v>22</v>
      </c>
      <c r="D87" s="389" t="s">
        <v>19</v>
      </c>
      <c r="E87" s="392">
        <v>7</v>
      </c>
      <c r="F87" s="401" t="s">
        <v>33</v>
      </c>
      <c r="G87"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7" s="402">
        <f>VLOOKUP(BUReporting[[#This Row],[Program]],'Program MW '!$A$34:$S$44,3,FALSE)</f>
        <v>0</v>
      </c>
    </row>
    <row r="88" spans="1:8" ht="15.5" thickTop="1" thickBot="1">
      <c r="A88" s="391">
        <v>8</v>
      </c>
      <c r="B88" s="389" t="s">
        <v>23</v>
      </c>
      <c r="C88" s="404" t="s">
        <v>22</v>
      </c>
      <c r="D88" s="389" t="s">
        <v>9</v>
      </c>
      <c r="E88" s="392">
        <v>7</v>
      </c>
      <c r="F88" s="401" t="s">
        <v>33</v>
      </c>
      <c r="G88"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8" s="402">
        <f>VLOOKUP(BUReporting[[#This Row],[Program]],'Program MW '!$A$34:$S$44,3,FALSE)</f>
        <v>0</v>
      </c>
    </row>
    <row r="89" spans="1:8" ht="15.5" thickTop="1" thickBot="1">
      <c r="A89" s="391">
        <v>9</v>
      </c>
      <c r="B89" s="389" t="s">
        <v>24</v>
      </c>
      <c r="C89" s="404"/>
      <c r="D89" s="389" t="s">
        <v>9</v>
      </c>
      <c r="E89" s="392">
        <v>7</v>
      </c>
      <c r="F89" s="401" t="s">
        <v>33</v>
      </c>
      <c r="G89"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9" s="402">
        <f>VLOOKUP(BUReporting[[#This Row],[Program]],'Program MW '!$A$34:$S$44,3,FALSE)</f>
        <v>0</v>
      </c>
    </row>
    <row r="90" spans="1:8" ht="15.5" thickTop="1" thickBot="1">
      <c r="A90" s="391">
        <v>10</v>
      </c>
      <c r="B90" s="389" t="s">
        <v>25</v>
      </c>
      <c r="C90" s="404"/>
      <c r="D90" s="389" t="s">
        <v>9</v>
      </c>
      <c r="E90" s="392">
        <v>7</v>
      </c>
      <c r="F90" s="401" t="s">
        <v>33</v>
      </c>
      <c r="G90"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0" s="402">
        <f>VLOOKUP(BUReporting[[#This Row],[Program]],'Program MW '!$A$34:$S$44,3,FALSE)</f>
        <v>0</v>
      </c>
    </row>
    <row r="91" spans="1:8" ht="15.5" thickTop="1" thickBot="1">
      <c r="A91" s="391">
        <v>11</v>
      </c>
      <c r="B91" s="389" t="s">
        <v>26</v>
      </c>
      <c r="C91" s="404"/>
      <c r="D91" s="389" t="s">
        <v>9</v>
      </c>
      <c r="E91" s="392">
        <v>7</v>
      </c>
      <c r="F91" s="401" t="s">
        <v>33</v>
      </c>
      <c r="G91"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1" s="402">
        <f>VLOOKUP(BUReporting[[#This Row],[Program]],'Program MW '!$A$34:$S$44,3,FALSE)</f>
        <v>0</v>
      </c>
    </row>
    <row r="92" spans="1:8" ht="13.5" thickTop="1" thickBot="1">
      <c r="A92" s="391">
        <v>12</v>
      </c>
      <c r="B92" s="389" t="s">
        <v>27</v>
      </c>
      <c r="C92" s="388"/>
      <c r="D92" s="389" t="s">
        <v>19</v>
      </c>
      <c r="E92" s="392">
        <v>7</v>
      </c>
      <c r="F92" s="401" t="s">
        <v>33</v>
      </c>
      <c r="G92" s="390">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2" s="402">
        <f>VLOOKUP(BUReporting[[#This Row],[Program]],'Program MW '!$A$34:$S$44,3,FALSE)</f>
        <v>0</v>
      </c>
    </row>
    <row r="93" spans="1:8" ht="15.5" thickTop="1" thickBot="1">
      <c r="A93" s="403">
        <v>0</v>
      </c>
      <c r="B93" s="85" t="s">
        <v>8</v>
      </c>
      <c r="C93" s="404"/>
      <c r="D93" s="394" t="s">
        <v>9</v>
      </c>
      <c r="E93" s="399">
        <v>8</v>
      </c>
      <c r="F93" s="400" t="s">
        <v>34</v>
      </c>
      <c r="G93" s="390">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0</v>
      </c>
      <c r="H93" s="402">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v>
      </c>
    </row>
    <row r="94" spans="1:8" ht="15.5" thickTop="1" thickBot="1">
      <c r="A94" s="391">
        <v>1</v>
      </c>
      <c r="B94" s="389" t="s">
        <v>11</v>
      </c>
      <c r="C94" s="404"/>
      <c r="D94" s="389" t="s">
        <v>9</v>
      </c>
      <c r="E94" s="392">
        <v>8</v>
      </c>
      <c r="F94" s="401" t="s">
        <v>34</v>
      </c>
      <c r="G94"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4" s="402">
        <f>VLOOKUP(BUReporting[[#This Row],[Program]],'Program MW '!$A$34:$S$44,6,FALSE)</f>
        <v>0</v>
      </c>
    </row>
    <row r="95" spans="1:8" ht="15.5" thickTop="1" thickBot="1">
      <c r="A95" s="391">
        <v>2</v>
      </c>
      <c r="B95" s="389" t="s">
        <v>12</v>
      </c>
      <c r="C95" s="404" t="s">
        <v>13</v>
      </c>
      <c r="D95" s="389" t="s">
        <v>9</v>
      </c>
      <c r="E95" s="392">
        <v>8</v>
      </c>
      <c r="F95" s="401" t="s">
        <v>34</v>
      </c>
      <c r="G95" s="39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5" s="402" t="e">
        <f>VLOOKUP(BUReporting[[#This Row],[Program]],'Program MW '!$A$34:$S$44,6,FALSE)</f>
        <v>#N/A</v>
      </c>
    </row>
    <row r="96" spans="1:8" ht="15.5" thickTop="1" thickBot="1">
      <c r="A96" s="391">
        <v>3</v>
      </c>
      <c r="B96" s="389" t="s">
        <v>14</v>
      </c>
      <c r="C96" s="404"/>
      <c r="D96" s="389" t="s">
        <v>9</v>
      </c>
      <c r="E96" s="392">
        <v>8</v>
      </c>
      <c r="F96" s="401" t="s">
        <v>34</v>
      </c>
      <c r="G96" s="39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6" s="402" t="e">
        <f>VLOOKUP(BUReporting[[#This Row],[Program]],'Program MW '!$A$34:$S$44,6,FALSE)</f>
        <v>#N/A</v>
      </c>
    </row>
    <row r="97" spans="1:8" ht="15.5" thickTop="1" thickBot="1">
      <c r="A97" s="391">
        <v>4</v>
      </c>
      <c r="B97" s="389" t="s">
        <v>15</v>
      </c>
      <c r="C97" s="404" t="s">
        <v>16</v>
      </c>
      <c r="D97" s="389" t="s">
        <v>9</v>
      </c>
      <c r="E97" s="392">
        <v>8</v>
      </c>
      <c r="F97" s="401" t="s">
        <v>34</v>
      </c>
      <c r="G97" s="390"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7" s="402" t="e">
        <f>VLOOKUP(BUReporting[[#This Row],[Program]],'Program MW '!$A$34:$S$44,6,FALSE)</f>
        <v>#N/A</v>
      </c>
    </row>
    <row r="98" spans="1:8" ht="15.5" thickTop="1" thickBot="1">
      <c r="A98" s="391">
        <v>5</v>
      </c>
      <c r="B98" s="389" t="s">
        <v>17</v>
      </c>
      <c r="C98" s="404" t="s">
        <v>18</v>
      </c>
      <c r="D98" s="389" t="s">
        <v>19</v>
      </c>
      <c r="E98" s="392">
        <v>8</v>
      </c>
      <c r="F98" s="401" t="s">
        <v>34</v>
      </c>
      <c r="G98"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8" s="402">
        <f>VLOOKUP(BUReporting[[#This Row],[Program]],'Program MW '!$A$34:$S$44,6,FALSE)</f>
        <v>0</v>
      </c>
    </row>
    <row r="99" spans="1:8" ht="15.5" thickTop="1" thickBot="1">
      <c r="A99" s="391">
        <v>6</v>
      </c>
      <c r="B99" s="389" t="s">
        <v>20</v>
      </c>
      <c r="C99" s="404" t="s">
        <v>18</v>
      </c>
      <c r="D99" s="389" t="s">
        <v>9</v>
      </c>
      <c r="E99" s="392">
        <v>8</v>
      </c>
      <c r="F99" s="401" t="s">
        <v>34</v>
      </c>
      <c r="G99"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9" s="402">
        <f>VLOOKUP(BUReporting[[#This Row],[Program]],'Program MW '!$A$34:$S$44,6,FALSE)</f>
        <v>0</v>
      </c>
    </row>
    <row r="100" spans="1:8" ht="15.5" thickTop="1" thickBot="1">
      <c r="A100" s="391">
        <v>7</v>
      </c>
      <c r="B100" s="389" t="s">
        <v>21</v>
      </c>
      <c r="C100" s="404" t="s">
        <v>22</v>
      </c>
      <c r="D100" s="389" t="s">
        <v>19</v>
      </c>
      <c r="E100" s="392">
        <v>8</v>
      </c>
      <c r="F100" s="401" t="s">
        <v>34</v>
      </c>
      <c r="G100"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0" s="402">
        <f>VLOOKUP(BUReporting[[#This Row],[Program]],'Program MW '!$A$34:$S$44,6,FALSE)</f>
        <v>0</v>
      </c>
    </row>
    <row r="101" spans="1:8" ht="15.5" thickTop="1" thickBot="1">
      <c r="A101" s="391">
        <v>8</v>
      </c>
      <c r="B101" s="389" t="s">
        <v>23</v>
      </c>
      <c r="C101" s="404" t="s">
        <v>22</v>
      </c>
      <c r="D101" s="389" t="s">
        <v>9</v>
      </c>
      <c r="E101" s="392">
        <v>8</v>
      </c>
      <c r="F101" s="401" t="s">
        <v>34</v>
      </c>
      <c r="G101"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1" s="402">
        <f>VLOOKUP(BUReporting[[#This Row],[Program]],'Program MW '!$A$34:$S$44,6,FALSE)</f>
        <v>0</v>
      </c>
    </row>
    <row r="102" spans="1:8" ht="15.5" thickTop="1" thickBot="1">
      <c r="A102" s="391">
        <v>9</v>
      </c>
      <c r="B102" s="389" t="s">
        <v>24</v>
      </c>
      <c r="C102" s="404"/>
      <c r="D102" s="389" t="s">
        <v>9</v>
      </c>
      <c r="E102" s="392">
        <v>8</v>
      </c>
      <c r="F102" s="401" t="s">
        <v>34</v>
      </c>
      <c r="G102"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2" s="402">
        <f>VLOOKUP(BUReporting[[#This Row],[Program]],'Program MW '!$A$34:$S$44,6,FALSE)</f>
        <v>0</v>
      </c>
    </row>
    <row r="103" spans="1:8" ht="15.5" thickTop="1" thickBot="1">
      <c r="A103" s="391">
        <v>10</v>
      </c>
      <c r="B103" s="389" t="s">
        <v>25</v>
      </c>
      <c r="C103" s="404"/>
      <c r="D103" s="389" t="s">
        <v>9</v>
      </c>
      <c r="E103" s="392">
        <v>8</v>
      </c>
      <c r="F103" s="401" t="s">
        <v>34</v>
      </c>
      <c r="G103"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3" s="402">
        <f>VLOOKUP(BUReporting[[#This Row],[Program]],'Program MW '!$A$34:$S$44,6,FALSE)</f>
        <v>0</v>
      </c>
    </row>
    <row r="104" spans="1:8" ht="15.5" thickTop="1" thickBot="1">
      <c r="A104" s="391">
        <v>11</v>
      </c>
      <c r="B104" s="389" t="s">
        <v>26</v>
      </c>
      <c r="C104" s="404"/>
      <c r="D104" s="389" t="s">
        <v>9</v>
      </c>
      <c r="E104" s="392">
        <v>8</v>
      </c>
      <c r="F104" s="401" t="s">
        <v>34</v>
      </c>
      <c r="G104"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4" s="402">
        <f>VLOOKUP(BUReporting[[#This Row],[Program]],'Program MW '!$A$34:$S$44,6,FALSE)</f>
        <v>0</v>
      </c>
    </row>
    <row r="105" spans="1:8" ht="13.5" thickTop="1" thickBot="1">
      <c r="A105" s="391">
        <v>12</v>
      </c>
      <c r="B105" s="389" t="s">
        <v>27</v>
      </c>
      <c r="C105" s="388"/>
      <c r="D105" s="389" t="s">
        <v>19</v>
      </c>
      <c r="E105" s="392">
        <v>8</v>
      </c>
      <c r="F105" s="401" t="s">
        <v>34</v>
      </c>
      <c r="G105" s="390">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5" s="402">
        <f>VLOOKUP(BUReporting[[#This Row],[Program]],'Program MW '!$A$34:$S$44,6,FALSE)</f>
        <v>0</v>
      </c>
    </row>
    <row r="106" spans="1:8" ht="15.5" thickTop="1" thickBot="1">
      <c r="A106" s="403">
        <v>0</v>
      </c>
      <c r="B106" s="85" t="s">
        <v>8</v>
      </c>
      <c r="C106" s="404"/>
      <c r="D106" s="394" t="s">
        <v>9</v>
      </c>
      <c r="E106" s="399">
        <v>9</v>
      </c>
      <c r="F106" s="400" t="s">
        <v>35</v>
      </c>
      <c r="G106" s="390">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106" s="402">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v>
      </c>
    </row>
    <row r="107" spans="1:8" ht="15.5" thickTop="1" thickBot="1">
      <c r="A107" s="391">
        <v>1</v>
      </c>
      <c r="B107" s="389" t="s">
        <v>11</v>
      </c>
      <c r="C107" s="404"/>
      <c r="D107" s="389" t="s">
        <v>9</v>
      </c>
      <c r="E107" s="392">
        <v>9</v>
      </c>
      <c r="F107" s="401" t="s">
        <v>35</v>
      </c>
      <c r="G107"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07" s="402">
        <f>VLOOKUP(BUReporting[[#This Row],[Program]],'Program MW '!$A$34:$S$44,9,FALSE)</f>
        <v>0</v>
      </c>
    </row>
    <row r="108" spans="1:8" ht="15.5" thickTop="1" thickBot="1">
      <c r="A108" s="391">
        <v>2</v>
      </c>
      <c r="B108" s="389" t="s">
        <v>12</v>
      </c>
      <c r="C108" s="404" t="s">
        <v>13</v>
      </c>
      <c r="D108" s="389" t="s">
        <v>9</v>
      </c>
      <c r="E108" s="392">
        <v>9</v>
      </c>
      <c r="F108" s="401" t="s">
        <v>35</v>
      </c>
      <c r="G108"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8" s="402" t="e">
        <f>VLOOKUP(BUReporting[[#This Row],[Program]],'Program MW '!$A$34:$S$44,9,FALSE)</f>
        <v>#N/A</v>
      </c>
    </row>
    <row r="109" spans="1:8" ht="15.5" thickTop="1" thickBot="1">
      <c r="A109" s="391">
        <v>3</v>
      </c>
      <c r="B109" s="389" t="s">
        <v>14</v>
      </c>
      <c r="C109" s="404"/>
      <c r="D109" s="389" t="s">
        <v>9</v>
      </c>
      <c r="E109" s="392">
        <v>9</v>
      </c>
      <c r="F109" s="401" t="s">
        <v>35</v>
      </c>
      <c r="G109"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9" s="402" t="e">
        <f>VLOOKUP(BUReporting[[#This Row],[Program]],'Program MW '!$A$34:$S$44,9,FALSE)</f>
        <v>#N/A</v>
      </c>
    </row>
    <row r="110" spans="1:8" ht="15.5" thickTop="1" thickBot="1">
      <c r="A110" s="391">
        <v>4</v>
      </c>
      <c r="B110" s="389" t="s">
        <v>15</v>
      </c>
      <c r="C110" s="404" t="s">
        <v>16</v>
      </c>
      <c r="D110" s="389" t="s">
        <v>9</v>
      </c>
      <c r="E110" s="392">
        <v>9</v>
      </c>
      <c r="F110" s="401" t="s">
        <v>35</v>
      </c>
      <c r="G110" s="390"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10" s="402" t="e">
        <f>VLOOKUP(BUReporting[[#This Row],[Program]],'Program MW '!$A$34:$S$44,9,FALSE)</f>
        <v>#N/A</v>
      </c>
    </row>
    <row r="111" spans="1:8" ht="15.5" thickTop="1" thickBot="1">
      <c r="A111" s="391">
        <v>5</v>
      </c>
      <c r="B111" s="389" t="s">
        <v>17</v>
      </c>
      <c r="C111" s="404" t="s">
        <v>18</v>
      </c>
      <c r="D111" s="389" t="s">
        <v>19</v>
      </c>
      <c r="E111" s="392">
        <v>9</v>
      </c>
      <c r="F111" s="401" t="s">
        <v>35</v>
      </c>
      <c r="G111"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1" s="402">
        <f>VLOOKUP(BUReporting[[#This Row],[Program]],'Program MW '!$A$34:$S$44,9,FALSE)</f>
        <v>0</v>
      </c>
    </row>
    <row r="112" spans="1:8" ht="15.5" thickTop="1" thickBot="1">
      <c r="A112" s="391">
        <v>6</v>
      </c>
      <c r="B112" s="389" t="s">
        <v>20</v>
      </c>
      <c r="C112" s="404" t="s">
        <v>18</v>
      </c>
      <c r="D112" s="389" t="s">
        <v>9</v>
      </c>
      <c r="E112" s="392">
        <v>9</v>
      </c>
      <c r="F112" s="401" t="s">
        <v>35</v>
      </c>
      <c r="G112"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2" s="402">
        <f>VLOOKUP(BUReporting[[#This Row],[Program]],'Program MW '!$A$34:$S$44,9,FALSE)</f>
        <v>0</v>
      </c>
    </row>
    <row r="113" spans="1:8" ht="15.5" thickTop="1" thickBot="1">
      <c r="A113" s="391">
        <v>7</v>
      </c>
      <c r="B113" s="389" t="s">
        <v>21</v>
      </c>
      <c r="C113" s="404" t="s">
        <v>22</v>
      </c>
      <c r="D113" s="389" t="s">
        <v>19</v>
      </c>
      <c r="E113" s="392">
        <v>9</v>
      </c>
      <c r="F113" s="401" t="s">
        <v>35</v>
      </c>
      <c r="G113"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3" s="402">
        <f>VLOOKUP(BUReporting[[#This Row],[Program]],'Program MW '!$A$34:$S$44,9,FALSE)</f>
        <v>0</v>
      </c>
    </row>
    <row r="114" spans="1:8" ht="15.5" thickTop="1" thickBot="1">
      <c r="A114" s="391">
        <v>8</v>
      </c>
      <c r="B114" s="389" t="s">
        <v>23</v>
      </c>
      <c r="C114" s="404" t="s">
        <v>22</v>
      </c>
      <c r="D114" s="389" t="s">
        <v>9</v>
      </c>
      <c r="E114" s="392">
        <v>9</v>
      </c>
      <c r="F114" s="401" t="s">
        <v>35</v>
      </c>
      <c r="G114"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4" s="402">
        <f>VLOOKUP(BUReporting[[#This Row],[Program]],'Program MW '!$A$34:$S$44,9,FALSE)</f>
        <v>0</v>
      </c>
    </row>
    <row r="115" spans="1:8" ht="15.5" thickTop="1" thickBot="1">
      <c r="A115" s="391">
        <v>9</v>
      </c>
      <c r="B115" s="389" t="s">
        <v>24</v>
      </c>
      <c r="C115" s="404"/>
      <c r="D115" s="389" t="s">
        <v>9</v>
      </c>
      <c r="E115" s="392">
        <v>9</v>
      </c>
      <c r="F115" s="401" t="s">
        <v>35</v>
      </c>
      <c r="G115"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5" s="402">
        <f>VLOOKUP(BUReporting[[#This Row],[Program]],'Program MW '!$A$34:$S$44,9,FALSE)</f>
        <v>0</v>
      </c>
    </row>
    <row r="116" spans="1:8" ht="15.5" thickTop="1" thickBot="1">
      <c r="A116" s="391">
        <v>10</v>
      </c>
      <c r="B116" s="389" t="s">
        <v>25</v>
      </c>
      <c r="C116" s="404"/>
      <c r="D116" s="389" t="s">
        <v>9</v>
      </c>
      <c r="E116" s="392">
        <v>9</v>
      </c>
      <c r="F116" s="401" t="s">
        <v>35</v>
      </c>
      <c r="G116"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6" s="402">
        <f>VLOOKUP(BUReporting[[#This Row],[Program]],'Program MW '!$A$34:$S$44,9,FALSE)</f>
        <v>0</v>
      </c>
    </row>
    <row r="117" spans="1:8" ht="15.5" thickTop="1" thickBot="1">
      <c r="A117" s="391">
        <v>11</v>
      </c>
      <c r="B117" s="389" t="s">
        <v>26</v>
      </c>
      <c r="C117" s="404"/>
      <c r="D117" s="389" t="s">
        <v>9</v>
      </c>
      <c r="E117" s="392">
        <v>9</v>
      </c>
      <c r="F117" s="401" t="s">
        <v>35</v>
      </c>
      <c r="G117"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7" s="402">
        <f>VLOOKUP(BUReporting[[#This Row],[Program]],'Program MW '!$A$34:$S$44,9,FALSE)</f>
        <v>0</v>
      </c>
    </row>
    <row r="118" spans="1:8" ht="13.5" thickTop="1" thickBot="1">
      <c r="A118" s="391">
        <v>12</v>
      </c>
      <c r="B118" s="389" t="s">
        <v>27</v>
      </c>
      <c r="C118" s="388"/>
      <c r="D118" s="389" t="s">
        <v>19</v>
      </c>
      <c r="E118" s="392">
        <v>9</v>
      </c>
      <c r="F118" s="401" t="s">
        <v>35</v>
      </c>
      <c r="G118" s="390">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8" s="402">
        <f>VLOOKUP(BUReporting[[#This Row],[Program]],'Program MW '!$A$34:$S$44,9,FALSE)</f>
        <v>0</v>
      </c>
    </row>
    <row r="119" spans="1:8" ht="15.5" thickTop="1" thickBot="1">
      <c r="A119" s="403">
        <v>0</v>
      </c>
      <c r="B119" s="85" t="s">
        <v>8</v>
      </c>
      <c r="C119" s="404"/>
      <c r="D119" s="394" t="s">
        <v>9</v>
      </c>
      <c r="E119" s="399">
        <v>10</v>
      </c>
      <c r="F119" s="400" t="s">
        <v>36</v>
      </c>
      <c r="G119" s="390">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0</v>
      </c>
      <c r="H119" s="402">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v>
      </c>
    </row>
    <row r="120" spans="1:8" ht="15.5" thickTop="1" thickBot="1">
      <c r="A120" s="391">
        <v>1</v>
      </c>
      <c r="B120" s="389" t="s">
        <v>11</v>
      </c>
      <c r="C120" s="404"/>
      <c r="D120" s="389" t="s">
        <v>9</v>
      </c>
      <c r="E120" s="392">
        <v>10</v>
      </c>
      <c r="F120" s="401" t="s">
        <v>36</v>
      </c>
      <c r="G120"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0" s="402">
        <f>VLOOKUP(BUReporting[[#This Row],[Program]],'Program MW '!$A$34:$S$44,12,FALSE)</f>
        <v>0</v>
      </c>
    </row>
    <row r="121" spans="1:8" ht="15.5" thickTop="1" thickBot="1">
      <c r="A121" s="391">
        <v>2</v>
      </c>
      <c r="B121" s="389" t="s">
        <v>12</v>
      </c>
      <c r="C121" s="404" t="s">
        <v>13</v>
      </c>
      <c r="D121" s="389" t="s">
        <v>9</v>
      </c>
      <c r="E121" s="392">
        <v>10</v>
      </c>
      <c r="F121" s="401" t="s">
        <v>36</v>
      </c>
      <c r="G121"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1" s="402" t="e">
        <f>VLOOKUP(BUReporting[[#This Row],[Program]],'Program MW '!$A$34:$S$44,12,FALSE)</f>
        <v>#N/A</v>
      </c>
    </row>
    <row r="122" spans="1:8" ht="15.5" thickTop="1" thickBot="1">
      <c r="A122" s="391">
        <v>3</v>
      </c>
      <c r="B122" s="389" t="s">
        <v>14</v>
      </c>
      <c r="C122" s="404"/>
      <c r="D122" s="389" t="s">
        <v>9</v>
      </c>
      <c r="E122" s="392">
        <v>10</v>
      </c>
      <c r="F122" s="401" t="s">
        <v>36</v>
      </c>
      <c r="G122"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2" s="402" t="e">
        <f>VLOOKUP(BUReporting[[#This Row],[Program]],'Program MW '!$A$34:$S$44,12,FALSE)</f>
        <v>#N/A</v>
      </c>
    </row>
    <row r="123" spans="1:8" ht="15.5" thickTop="1" thickBot="1">
      <c r="A123" s="391">
        <v>4</v>
      </c>
      <c r="B123" s="389" t="s">
        <v>15</v>
      </c>
      <c r="C123" s="404" t="s">
        <v>16</v>
      </c>
      <c r="D123" s="389" t="s">
        <v>9</v>
      </c>
      <c r="E123" s="392">
        <v>10</v>
      </c>
      <c r="F123" s="401" t="s">
        <v>36</v>
      </c>
      <c r="G123" s="390"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3" s="402" t="e">
        <f>VLOOKUP(BUReporting[[#This Row],[Program]],'Program MW '!$A$34:$S$44,12,FALSE)</f>
        <v>#N/A</v>
      </c>
    </row>
    <row r="124" spans="1:8" ht="15.5" thickTop="1" thickBot="1">
      <c r="A124" s="391">
        <v>5</v>
      </c>
      <c r="B124" s="389" t="s">
        <v>17</v>
      </c>
      <c r="C124" s="404" t="s">
        <v>18</v>
      </c>
      <c r="D124" s="389" t="s">
        <v>19</v>
      </c>
      <c r="E124" s="392">
        <v>10</v>
      </c>
      <c r="F124" s="401" t="s">
        <v>36</v>
      </c>
      <c r="G124"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4" s="402">
        <f>VLOOKUP(BUReporting[[#This Row],[Program]],'Program MW '!$A$34:$S$44,12,FALSE)</f>
        <v>0</v>
      </c>
    </row>
    <row r="125" spans="1:8" ht="15.5" thickTop="1" thickBot="1">
      <c r="A125" s="391">
        <v>6</v>
      </c>
      <c r="B125" s="389" t="s">
        <v>20</v>
      </c>
      <c r="C125" s="404" t="s">
        <v>18</v>
      </c>
      <c r="D125" s="389" t="s">
        <v>9</v>
      </c>
      <c r="E125" s="392">
        <v>10</v>
      </c>
      <c r="F125" s="401" t="s">
        <v>36</v>
      </c>
      <c r="G125"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5" s="402">
        <f>VLOOKUP(BUReporting[[#This Row],[Program]],'Program MW '!$A$34:$S$44,12,FALSE)</f>
        <v>0</v>
      </c>
    </row>
    <row r="126" spans="1:8" ht="15.5" thickTop="1" thickBot="1">
      <c r="A126" s="391">
        <v>7</v>
      </c>
      <c r="B126" s="389" t="s">
        <v>21</v>
      </c>
      <c r="C126" s="404" t="s">
        <v>22</v>
      </c>
      <c r="D126" s="389" t="s">
        <v>19</v>
      </c>
      <c r="E126" s="392">
        <v>10</v>
      </c>
      <c r="F126" s="401" t="s">
        <v>36</v>
      </c>
      <c r="G126"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6" s="402">
        <f>VLOOKUP(BUReporting[[#This Row],[Program]],'Program MW '!$A$34:$S$44,12,FALSE)</f>
        <v>0</v>
      </c>
    </row>
    <row r="127" spans="1:8" ht="15.5" thickTop="1" thickBot="1">
      <c r="A127" s="391">
        <v>8</v>
      </c>
      <c r="B127" s="389" t="s">
        <v>23</v>
      </c>
      <c r="C127" s="404" t="s">
        <v>22</v>
      </c>
      <c r="D127" s="389" t="s">
        <v>9</v>
      </c>
      <c r="E127" s="392">
        <v>10</v>
      </c>
      <c r="F127" s="401" t="s">
        <v>36</v>
      </c>
      <c r="G127"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7" s="402">
        <f>VLOOKUP(BUReporting[[#This Row],[Program]],'Program MW '!$A$34:$S$44,12,FALSE)</f>
        <v>0</v>
      </c>
    </row>
    <row r="128" spans="1:8" ht="15.5" thickTop="1" thickBot="1">
      <c r="A128" s="391">
        <v>9</v>
      </c>
      <c r="B128" s="389" t="s">
        <v>24</v>
      </c>
      <c r="C128" s="404"/>
      <c r="D128" s="389" t="s">
        <v>9</v>
      </c>
      <c r="E128" s="392">
        <v>10</v>
      </c>
      <c r="F128" s="401" t="s">
        <v>36</v>
      </c>
      <c r="G128"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8" s="402">
        <f>VLOOKUP(BUReporting[[#This Row],[Program]],'Program MW '!$A$34:$S$44,12,FALSE)</f>
        <v>0</v>
      </c>
    </row>
    <row r="129" spans="1:8" ht="15.5" thickTop="1" thickBot="1">
      <c r="A129" s="391">
        <v>10</v>
      </c>
      <c r="B129" s="389" t="s">
        <v>25</v>
      </c>
      <c r="C129" s="404"/>
      <c r="D129" s="389" t="s">
        <v>9</v>
      </c>
      <c r="E129" s="392">
        <v>10</v>
      </c>
      <c r="F129" s="401" t="s">
        <v>36</v>
      </c>
      <c r="G129"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9" s="402">
        <f>VLOOKUP(BUReporting[[#This Row],[Program]],'Program MW '!$A$34:$S$44,12,FALSE)</f>
        <v>0</v>
      </c>
    </row>
    <row r="130" spans="1:8" ht="15.5" thickTop="1" thickBot="1">
      <c r="A130" s="391">
        <v>11</v>
      </c>
      <c r="B130" s="389" t="s">
        <v>26</v>
      </c>
      <c r="C130" s="404"/>
      <c r="D130" s="389" t="s">
        <v>9</v>
      </c>
      <c r="E130" s="392">
        <v>10</v>
      </c>
      <c r="F130" s="401" t="s">
        <v>36</v>
      </c>
      <c r="G130"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0" s="402">
        <f>VLOOKUP(BUReporting[[#This Row],[Program]],'Program MW '!$A$34:$S$44,12,FALSE)</f>
        <v>0</v>
      </c>
    </row>
    <row r="131" spans="1:8" ht="13.5" thickTop="1" thickBot="1">
      <c r="A131" s="391">
        <v>12</v>
      </c>
      <c r="B131" s="389" t="s">
        <v>27</v>
      </c>
      <c r="C131" s="388"/>
      <c r="D131" s="389" t="s">
        <v>19</v>
      </c>
      <c r="E131" s="392">
        <v>10</v>
      </c>
      <c r="F131" s="401" t="s">
        <v>36</v>
      </c>
      <c r="G131" s="390">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1" s="402">
        <f>VLOOKUP(BUReporting[[#This Row],[Program]],'Program MW '!$A$34:$S$44,12,FALSE)</f>
        <v>0</v>
      </c>
    </row>
    <row r="132" spans="1:8" ht="15.5" thickTop="1" thickBot="1">
      <c r="A132" s="403">
        <v>0</v>
      </c>
      <c r="B132" s="85" t="s">
        <v>8</v>
      </c>
      <c r="C132" s="404"/>
      <c r="D132" s="394" t="s">
        <v>9</v>
      </c>
      <c r="E132" s="399">
        <v>11</v>
      </c>
      <c r="F132" s="400" t="s">
        <v>37</v>
      </c>
      <c r="G132" s="390">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0</v>
      </c>
      <c r="H132" s="402">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v>
      </c>
    </row>
    <row r="133" spans="1:8" ht="15.5" thickTop="1" thickBot="1">
      <c r="A133" s="391">
        <v>1</v>
      </c>
      <c r="B133" s="389" t="s">
        <v>11</v>
      </c>
      <c r="C133" s="404"/>
      <c r="D133" s="389" t="s">
        <v>9</v>
      </c>
      <c r="E133" s="392">
        <v>11</v>
      </c>
      <c r="F133" s="401" t="s">
        <v>37</v>
      </c>
      <c r="G133"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3" s="402">
        <f>VLOOKUP(BUReporting[[#This Row],[Program]],'Program MW '!$A$34:$S$44,15,FALSE)</f>
        <v>0</v>
      </c>
    </row>
    <row r="134" spans="1:8" ht="15.5" thickTop="1" thickBot="1">
      <c r="A134" s="391">
        <v>2</v>
      </c>
      <c r="B134" s="389" t="s">
        <v>12</v>
      </c>
      <c r="C134" s="404" t="s">
        <v>13</v>
      </c>
      <c r="D134" s="389" t="s">
        <v>9</v>
      </c>
      <c r="E134" s="392">
        <v>11</v>
      </c>
      <c r="F134" s="401" t="s">
        <v>37</v>
      </c>
      <c r="G134"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4" s="402" t="e">
        <f>VLOOKUP(BUReporting[[#This Row],[Program]],'Program MW '!$A$34:$S$44,15,FALSE)</f>
        <v>#N/A</v>
      </c>
    </row>
    <row r="135" spans="1:8" ht="15.5" thickTop="1" thickBot="1">
      <c r="A135" s="391">
        <v>3</v>
      </c>
      <c r="B135" s="389" t="s">
        <v>14</v>
      </c>
      <c r="C135" s="404"/>
      <c r="D135" s="389" t="s">
        <v>9</v>
      </c>
      <c r="E135" s="392">
        <v>11</v>
      </c>
      <c r="F135" s="401" t="s">
        <v>37</v>
      </c>
      <c r="G135"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5" s="402" t="e">
        <f>VLOOKUP(BUReporting[[#This Row],[Program]],'Program MW '!$A$34:$S$44,15,FALSE)</f>
        <v>#N/A</v>
      </c>
    </row>
    <row r="136" spans="1:8" ht="15.5" thickTop="1" thickBot="1">
      <c r="A136" s="391">
        <v>4</v>
      </c>
      <c r="B136" s="389" t="s">
        <v>15</v>
      </c>
      <c r="C136" s="404" t="s">
        <v>16</v>
      </c>
      <c r="D136" s="389" t="s">
        <v>9</v>
      </c>
      <c r="E136" s="392">
        <v>11</v>
      </c>
      <c r="F136" s="401" t="s">
        <v>37</v>
      </c>
      <c r="G136" s="390"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6" s="402" t="e">
        <f>VLOOKUP(BUReporting[[#This Row],[Program]],'Program MW '!$A$34:$S$44,15,FALSE)</f>
        <v>#N/A</v>
      </c>
    </row>
    <row r="137" spans="1:8" ht="15.5" thickTop="1" thickBot="1">
      <c r="A137" s="391">
        <v>5</v>
      </c>
      <c r="B137" s="389" t="s">
        <v>17</v>
      </c>
      <c r="C137" s="404" t="s">
        <v>18</v>
      </c>
      <c r="D137" s="389" t="s">
        <v>19</v>
      </c>
      <c r="E137" s="392">
        <v>11</v>
      </c>
      <c r="F137" s="401" t="s">
        <v>37</v>
      </c>
      <c r="G137"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7" s="402">
        <f>VLOOKUP(BUReporting[[#This Row],[Program]],'Program MW '!$A$34:$S$44,15,FALSE)</f>
        <v>0</v>
      </c>
    </row>
    <row r="138" spans="1:8" ht="15.5" thickTop="1" thickBot="1">
      <c r="A138" s="391">
        <v>6</v>
      </c>
      <c r="B138" s="389" t="s">
        <v>20</v>
      </c>
      <c r="C138" s="404" t="s">
        <v>18</v>
      </c>
      <c r="D138" s="389" t="s">
        <v>9</v>
      </c>
      <c r="E138" s="392">
        <v>11</v>
      </c>
      <c r="F138" s="401" t="s">
        <v>37</v>
      </c>
      <c r="G138"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8" s="402">
        <f>VLOOKUP(BUReporting[[#This Row],[Program]],'Program MW '!$A$34:$S$44,15,FALSE)</f>
        <v>0</v>
      </c>
    </row>
    <row r="139" spans="1:8" ht="15.5" thickTop="1" thickBot="1">
      <c r="A139" s="391">
        <v>7</v>
      </c>
      <c r="B139" s="389" t="s">
        <v>21</v>
      </c>
      <c r="C139" s="404" t="s">
        <v>22</v>
      </c>
      <c r="D139" s="389" t="s">
        <v>19</v>
      </c>
      <c r="E139" s="392">
        <v>11</v>
      </c>
      <c r="F139" s="401" t="s">
        <v>37</v>
      </c>
      <c r="G139"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9" s="402">
        <f>VLOOKUP(BUReporting[[#This Row],[Program]],'Program MW '!$A$34:$S$44,15,FALSE)</f>
        <v>0</v>
      </c>
    </row>
    <row r="140" spans="1:8" ht="15.5" thickTop="1" thickBot="1">
      <c r="A140" s="391">
        <v>8</v>
      </c>
      <c r="B140" s="389" t="s">
        <v>23</v>
      </c>
      <c r="C140" s="404" t="s">
        <v>22</v>
      </c>
      <c r="D140" s="389" t="s">
        <v>9</v>
      </c>
      <c r="E140" s="392">
        <v>11</v>
      </c>
      <c r="F140" s="401" t="s">
        <v>37</v>
      </c>
      <c r="G140"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0" s="402">
        <f>VLOOKUP(BUReporting[[#This Row],[Program]],'Program MW '!$A$34:$S$44,15,FALSE)</f>
        <v>0</v>
      </c>
    </row>
    <row r="141" spans="1:8" ht="15.5" thickTop="1" thickBot="1">
      <c r="A141" s="391">
        <v>9</v>
      </c>
      <c r="B141" s="389" t="s">
        <v>24</v>
      </c>
      <c r="C141" s="404"/>
      <c r="D141" s="389" t="s">
        <v>9</v>
      </c>
      <c r="E141" s="392">
        <v>11</v>
      </c>
      <c r="F141" s="401" t="s">
        <v>37</v>
      </c>
      <c r="G141"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1" s="402">
        <f>VLOOKUP(BUReporting[[#This Row],[Program]],'Program MW '!$A$34:$S$44,15,FALSE)</f>
        <v>0</v>
      </c>
    </row>
    <row r="142" spans="1:8" ht="15.5" thickTop="1" thickBot="1">
      <c r="A142" s="391">
        <v>10</v>
      </c>
      <c r="B142" s="389" t="s">
        <v>25</v>
      </c>
      <c r="C142" s="404"/>
      <c r="D142" s="389" t="s">
        <v>9</v>
      </c>
      <c r="E142" s="392">
        <v>11</v>
      </c>
      <c r="F142" s="401" t="s">
        <v>37</v>
      </c>
      <c r="G142"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2" s="402">
        <f>VLOOKUP(BUReporting[[#This Row],[Program]],'Program MW '!$A$34:$S$44,15,FALSE)</f>
        <v>0</v>
      </c>
    </row>
    <row r="143" spans="1:8" ht="15.5" thickTop="1" thickBot="1">
      <c r="A143" s="391">
        <v>11</v>
      </c>
      <c r="B143" s="389" t="s">
        <v>26</v>
      </c>
      <c r="C143" s="404"/>
      <c r="D143" s="389" t="s">
        <v>9</v>
      </c>
      <c r="E143" s="392">
        <v>11</v>
      </c>
      <c r="F143" s="401" t="s">
        <v>37</v>
      </c>
      <c r="G143"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3" s="402">
        <f>VLOOKUP(BUReporting[[#This Row],[Program]],'Program MW '!$A$34:$S$44,15,FALSE)</f>
        <v>0</v>
      </c>
    </row>
    <row r="144" spans="1:8" ht="13.5" thickTop="1" thickBot="1">
      <c r="A144" s="391">
        <v>12</v>
      </c>
      <c r="B144" s="389" t="s">
        <v>27</v>
      </c>
      <c r="C144" s="388"/>
      <c r="D144" s="389" t="s">
        <v>19</v>
      </c>
      <c r="E144" s="392">
        <v>11</v>
      </c>
      <c r="F144" s="401" t="s">
        <v>37</v>
      </c>
      <c r="G144" s="390">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4" s="402">
        <f>VLOOKUP(BUReporting[[#This Row],[Program]],'Program MW '!$A$34:$S$44,15,FALSE)</f>
        <v>0</v>
      </c>
    </row>
    <row r="145" spans="1:8" ht="15.5" thickTop="1" thickBot="1">
      <c r="A145" s="403">
        <v>0</v>
      </c>
      <c r="B145" s="85" t="s">
        <v>8</v>
      </c>
      <c r="C145" s="404"/>
      <c r="D145" s="394" t="s">
        <v>9</v>
      </c>
      <c r="E145" s="399">
        <v>12</v>
      </c>
      <c r="F145" s="400" t="s">
        <v>38</v>
      </c>
      <c r="G145" s="390">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0</v>
      </c>
      <c r="H145" s="402">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v>
      </c>
    </row>
    <row r="146" spans="1:8" ht="15.5" thickTop="1" thickBot="1">
      <c r="A146" s="391">
        <v>1</v>
      </c>
      <c r="B146" s="389" t="s">
        <v>11</v>
      </c>
      <c r="C146" s="404"/>
      <c r="D146" s="389" t="s">
        <v>9</v>
      </c>
      <c r="E146" s="392">
        <v>12</v>
      </c>
      <c r="F146" s="401" t="s">
        <v>38</v>
      </c>
      <c r="G146"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46" s="402">
        <f>VLOOKUP(BUReporting[[#This Row],[Program]],'Program MW '!$A$34:$S$44,18,FALSE)</f>
        <v>0</v>
      </c>
    </row>
    <row r="147" spans="1:8" ht="15.5" thickTop="1" thickBot="1">
      <c r="A147" s="391">
        <v>2</v>
      </c>
      <c r="B147" s="389" t="s">
        <v>12</v>
      </c>
      <c r="C147" s="404" t="s">
        <v>13</v>
      </c>
      <c r="D147" s="389" t="s">
        <v>9</v>
      </c>
      <c r="E147" s="392">
        <v>12</v>
      </c>
      <c r="F147" s="401" t="s">
        <v>38</v>
      </c>
      <c r="G147"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7" s="402" t="e">
        <f>VLOOKUP(BUReporting[[#This Row],[Program]],'Program MW '!$A$34:$S$44,18,FALSE)</f>
        <v>#N/A</v>
      </c>
    </row>
    <row r="148" spans="1:8" ht="15.5" thickTop="1" thickBot="1">
      <c r="A148" s="391">
        <v>3</v>
      </c>
      <c r="B148" s="389" t="s">
        <v>14</v>
      </c>
      <c r="C148" s="404"/>
      <c r="D148" s="389" t="s">
        <v>9</v>
      </c>
      <c r="E148" s="392">
        <v>12</v>
      </c>
      <c r="F148" s="401" t="s">
        <v>38</v>
      </c>
      <c r="G148"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8" s="402" t="e">
        <f>VLOOKUP(BUReporting[[#This Row],[Program]],'Program MW '!$A$34:$S$44,18,FALSE)</f>
        <v>#N/A</v>
      </c>
    </row>
    <row r="149" spans="1:8" ht="15.5" thickTop="1" thickBot="1">
      <c r="A149" s="391">
        <v>4</v>
      </c>
      <c r="B149" s="389" t="s">
        <v>15</v>
      </c>
      <c r="C149" s="404" t="s">
        <v>16</v>
      </c>
      <c r="D149" s="389" t="s">
        <v>9</v>
      </c>
      <c r="E149" s="392">
        <v>12</v>
      </c>
      <c r="F149" s="401" t="s">
        <v>38</v>
      </c>
      <c r="G149" s="390"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9" s="402" t="e">
        <f>VLOOKUP(BUReporting[[#This Row],[Program]],'Program MW '!$A$34:$S$44,18,FALSE)</f>
        <v>#N/A</v>
      </c>
    </row>
    <row r="150" spans="1:8" ht="15.5" thickTop="1" thickBot="1">
      <c r="A150" s="391">
        <v>5</v>
      </c>
      <c r="B150" s="389" t="s">
        <v>17</v>
      </c>
      <c r="C150" s="404" t="s">
        <v>18</v>
      </c>
      <c r="D150" s="389" t="s">
        <v>19</v>
      </c>
      <c r="E150" s="392">
        <v>12</v>
      </c>
      <c r="F150" s="401" t="s">
        <v>38</v>
      </c>
      <c r="G150"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0" s="402">
        <f>VLOOKUP(BUReporting[[#This Row],[Program]],'Program MW '!$A$34:$S$44,18,FALSE)</f>
        <v>0</v>
      </c>
    </row>
    <row r="151" spans="1:8" ht="15.5" thickTop="1" thickBot="1">
      <c r="A151" s="391">
        <v>6</v>
      </c>
      <c r="B151" s="389" t="s">
        <v>20</v>
      </c>
      <c r="C151" s="404" t="s">
        <v>18</v>
      </c>
      <c r="D151" s="389" t="s">
        <v>9</v>
      </c>
      <c r="E151" s="392">
        <v>12</v>
      </c>
      <c r="F151" s="401" t="s">
        <v>38</v>
      </c>
      <c r="G151"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1" s="402">
        <f>VLOOKUP(BUReporting[[#This Row],[Program]],'Program MW '!$A$34:$S$44,18,FALSE)</f>
        <v>0</v>
      </c>
    </row>
    <row r="152" spans="1:8" ht="15.5" thickTop="1" thickBot="1">
      <c r="A152" s="391">
        <v>7</v>
      </c>
      <c r="B152" s="389" t="s">
        <v>21</v>
      </c>
      <c r="C152" s="404" t="s">
        <v>22</v>
      </c>
      <c r="D152" s="389" t="s">
        <v>19</v>
      </c>
      <c r="E152" s="392">
        <v>12</v>
      </c>
      <c r="F152" s="401" t="s">
        <v>38</v>
      </c>
      <c r="G152"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2" s="402">
        <f>VLOOKUP(BUReporting[[#This Row],[Program]],'Program MW '!$A$34:$S$44,18,FALSE)</f>
        <v>0</v>
      </c>
    </row>
    <row r="153" spans="1:8" ht="15.5" thickTop="1" thickBot="1">
      <c r="A153" s="391">
        <v>8</v>
      </c>
      <c r="B153" s="389" t="s">
        <v>23</v>
      </c>
      <c r="C153" s="404" t="s">
        <v>22</v>
      </c>
      <c r="D153" s="389" t="s">
        <v>9</v>
      </c>
      <c r="E153" s="392">
        <v>12</v>
      </c>
      <c r="F153" s="401" t="s">
        <v>38</v>
      </c>
      <c r="G153"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3" s="402">
        <f>VLOOKUP(BUReporting[[#This Row],[Program]],'Program MW '!$A$34:$S$44,18,FALSE)</f>
        <v>0</v>
      </c>
    </row>
    <row r="154" spans="1:8" ht="15.5" thickTop="1" thickBot="1">
      <c r="A154" s="391">
        <v>9</v>
      </c>
      <c r="B154" s="389" t="s">
        <v>24</v>
      </c>
      <c r="C154" s="404"/>
      <c r="D154" s="389" t="s">
        <v>9</v>
      </c>
      <c r="E154" s="392">
        <v>12</v>
      </c>
      <c r="F154" s="401" t="s">
        <v>38</v>
      </c>
      <c r="G154"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4" s="402">
        <f>VLOOKUP(BUReporting[[#This Row],[Program]],'Program MW '!$A$34:$S$44,18,FALSE)</f>
        <v>0</v>
      </c>
    </row>
    <row r="155" spans="1:8" ht="15.5" thickTop="1" thickBot="1">
      <c r="A155" s="391">
        <v>10</v>
      </c>
      <c r="B155" s="389" t="s">
        <v>25</v>
      </c>
      <c r="C155" s="404"/>
      <c r="D155" s="389" t="s">
        <v>9</v>
      </c>
      <c r="E155" s="392">
        <v>12</v>
      </c>
      <c r="F155" s="401" t="s">
        <v>38</v>
      </c>
      <c r="G155"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5" s="402">
        <f>VLOOKUP(BUReporting[[#This Row],[Program]],'Program MW '!$A$34:$S$44,18,FALSE)</f>
        <v>0</v>
      </c>
    </row>
    <row r="156" spans="1:8" ht="15.5" thickTop="1" thickBot="1">
      <c r="A156" s="391">
        <v>11</v>
      </c>
      <c r="B156" s="389" t="s">
        <v>26</v>
      </c>
      <c r="C156" s="404"/>
      <c r="D156" s="389" t="s">
        <v>9</v>
      </c>
      <c r="E156" s="392">
        <v>12</v>
      </c>
      <c r="F156" s="401" t="s">
        <v>38</v>
      </c>
      <c r="G156"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6" s="402">
        <f>VLOOKUP(BUReporting[[#This Row],[Program]],'Program MW '!$A$34:$S$44,18,FALSE)</f>
        <v>0</v>
      </c>
    </row>
    <row r="157" spans="1:8" ht="13" thickTop="1">
      <c r="A157" s="391">
        <v>12</v>
      </c>
      <c r="B157" s="389" t="s">
        <v>27</v>
      </c>
      <c r="C157" s="388"/>
      <c r="D157" s="389" t="s">
        <v>19</v>
      </c>
      <c r="E157" s="392">
        <v>12</v>
      </c>
      <c r="F157" s="401" t="s">
        <v>38</v>
      </c>
      <c r="G157" s="390">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7" s="402">
        <f>VLOOKUP(BUReporting[[#This Row],[Program]],'Program MW '!$A$34:$S$44,18,FALSE)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23"/>
  <sheetViews>
    <sheetView zoomScaleNormal="100" zoomScaleSheetLayoutView="100" workbookViewId="0">
      <selection activeCell="B55" sqref="B55"/>
    </sheetView>
  </sheetViews>
  <sheetFormatPr defaultColWidth="9.26953125" defaultRowHeight="12.5"/>
  <cols>
    <col min="1" max="1" width="29.26953125" style="142" customWidth="1"/>
    <col min="2" max="2" width="22.54296875" style="142" bestFit="1" customWidth="1"/>
    <col min="3" max="3" width="49.7265625" style="142" customWidth="1"/>
    <col min="4" max="4" width="11.26953125" style="142" customWidth="1"/>
    <col min="5" max="5" width="57" style="142" customWidth="1"/>
    <col min="6" max="13" width="9.26953125" style="142"/>
    <col min="14" max="14" width="23.7265625" style="142" bestFit="1" customWidth="1"/>
    <col min="15" max="16384" width="9.26953125" style="142"/>
  </cols>
  <sheetData>
    <row r="1" spans="1:5" ht="13">
      <c r="C1" s="148" t="s">
        <v>39</v>
      </c>
    </row>
    <row r="2" spans="1:5" ht="13">
      <c r="C2" s="148" t="s">
        <v>175</v>
      </c>
    </row>
    <row r="3" spans="1:5" ht="13">
      <c r="C3" s="198" t="s">
        <v>294</v>
      </c>
    </row>
    <row r="4" spans="1:5">
      <c r="C4" s="17"/>
    </row>
    <row r="5" spans="1:5">
      <c r="C5" s="17"/>
      <c r="D5" s="196"/>
    </row>
    <row r="6" spans="1:5" s="17" customFormat="1" ht="13">
      <c r="A6" s="268"/>
      <c r="B6" s="268"/>
    </row>
    <row r="7" spans="1:5" s="17" customFormat="1"/>
    <row r="8" spans="1:5" s="19" customFormat="1" ht="13">
      <c r="A8" s="18" t="s">
        <v>176</v>
      </c>
      <c r="B8" s="18" t="s">
        <v>177</v>
      </c>
      <c r="C8" s="18" t="s">
        <v>178</v>
      </c>
      <c r="D8" s="18" t="s">
        <v>179</v>
      </c>
      <c r="E8" s="18" t="s">
        <v>180</v>
      </c>
    </row>
    <row r="9" spans="1:5" s="19" customFormat="1" ht="50">
      <c r="A9" s="338" t="s">
        <v>149</v>
      </c>
      <c r="B9" s="339">
        <v>-234498</v>
      </c>
      <c r="C9" s="346" t="s">
        <v>209</v>
      </c>
      <c r="D9" s="341">
        <v>43302</v>
      </c>
      <c r="E9" s="340" t="s">
        <v>284</v>
      </c>
    </row>
    <row r="10" spans="1:5" s="19" customFormat="1" ht="50">
      <c r="A10" s="338" t="s">
        <v>292</v>
      </c>
      <c r="B10" s="339">
        <v>-700000</v>
      </c>
      <c r="C10" s="346" t="s">
        <v>285</v>
      </c>
      <c r="D10" s="341">
        <v>43302</v>
      </c>
      <c r="E10" s="340" t="s">
        <v>286</v>
      </c>
    </row>
    <row r="11" spans="1:5" s="19" customFormat="1" ht="62.5">
      <c r="A11" s="338" t="s">
        <v>293</v>
      </c>
      <c r="B11" s="339">
        <v>-194400</v>
      </c>
      <c r="C11" s="346" t="s">
        <v>287</v>
      </c>
      <c r="D11" s="341">
        <v>43304</v>
      </c>
      <c r="E11" s="340" t="s">
        <v>288</v>
      </c>
    </row>
    <row r="12" spans="1:5" s="19" customFormat="1" ht="137.5">
      <c r="A12" s="338" t="s">
        <v>291</v>
      </c>
      <c r="B12" s="339">
        <v>1128898</v>
      </c>
      <c r="C12" s="346" t="s">
        <v>289</v>
      </c>
      <c r="D12" s="341">
        <v>43302</v>
      </c>
      <c r="E12" s="340" t="s">
        <v>290</v>
      </c>
    </row>
    <row r="13" spans="1:5" s="342" customFormat="1" ht="50">
      <c r="A13" s="338" t="s">
        <v>170</v>
      </c>
      <c r="B13" s="339">
        <v>-166000</v>
      </c>
      <c r="C13" s="346" t="s">
        <v>171</v>
      </c>
      <c r="D13" s="341">
        <v>44061</v>
      </c>
      <c r="E13" s="340" t="s">
        <v>244</v>
      </c>
    </row>
    <row r="14" spans="1:5" s="345" customFormat="1" ht="50">
      <c r="A14" s="338" t="s">
        <v>170</v>
      </c>
      <c r="B14" s="344">
        <v>-400000</v>
      </c>
      <c r="C14" s="346" t="s">
        <v>243</v>
      </c>
      <c r="D14" s="341">
        <v>44061</v>
      </c>
      <c r="E14" s="340" t="s">
        <v>244</v>
      </c>
    </row>
    <row r="15" spans="1:5" s="345" customFormat="1" ht="50">
      <c r="A15" s="338" t="s">
        <v>170</v>
      </c>
      <c r="B15" s="344">
        <v>566000</v>
      </c>
      <c r="C15" s="347" t="s">
        <v>242</v>
      </c>
      <c r="D15" s="341">
        <v>44061</v>
      </c>
      <c r="E15" s="340" t="s">
        <v>244</v>
      </c>
    </row>
    <row r="16" spans="1:5" s="345" customFormat="1">
      <c r="A16" s="343" t="s">
        <v>56</v>
      </c>
      <c r="B16" s="344" t="s">
        <v>56</v>
      </c>
      <c r="C16" s="347" t="s">
        <v>56</v>
      </c>
      <c r="D16" s="341"/>
      <c r="E16" s="340"/>
    </row>
    <row r="17" spans="1:5" ht="13">
      <c r="A17" s="144" t="s">
        <v>91</v>
      </c>
      <c r="B17" s="228">
        <f>SUM(B9:B16)</f>
        <v>0</v>
      </c>
      <c r="C17" s="143"/>
      <c r="D17" s="143"/>
      <c r="E17" s="143"/>
    </row>
    <row r="18" spans="1:5">
      <c r="A18" s="143"/>
      <c r="B18" s="143"/>
      <c r="C18" s="143"/>
      <c r="D18" s="143"/>
      <c r="E18" s="143"/>
    </row>
    <row r="20" spans="1:5" ht="14">
      <c r="A20" s="435" t="s">
        <v>63</v>
      </c>
    </row>
    <row r="21" spans="1:5" ht="14">
      <c r="A21" s="436" t="s">
        <v>181</v>
      </c>
    </row>
    <row r="22" spans="1:5" ht="14">
      <c r="A22" s="435"/>
    </row>
    <row r="23" spans="1:5" ht="14.5">
      <c r="A23" s="437" t="s">
        <v>64</v>
      </c>
      <c r="E23" s="145"/>
    </row>
  </sheetData>
  <phoneticPr fontId="44"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2"/>
  <sheetViews>
    <sheetView zoomScale="140" zoomScaleNormal="140" zoomScaleSheetLayoutView="75" workbookViewId="0">
      <pane xSplit="1" ySplit="8" topLeftCell="B30" activePane="bottomRight" state="frozen"/>
      <selection activeCell="B55" sqref="B55"/>
      <selection pane="topRight" activeCell="B55" sqref="B55"/>
      <selection pane="bottomLeft" activeCell="B55" sqref="B55"/>
      <selection pane="bottomRight" activeCell="A60" sqref="A60:XFD61"/>
    </sheetView>
  </sheetViews>
  <sheetFormatPr defaultColWidth="17" defaultRowHeight="11.5"/>
  <cols>
    <col min="1" max="1" width="46.26953125" style="211" customWidth="1"/>
    <col min="2" max="9" width="11.54296875" style="211" customWidth="1"/>
    <col min="10" max="10" width="11.54296875" style="212" customWidth="1"/>
    <col min="11" max="14" width="11.54296875" style="211" customWidth="1"/>
    <col min="15" max="16" width="0" style="211" hidden="1" customWidth="1"/>
    <col min="17" max="16384" width="17" style="211"/>
  </cols>
  <sheetData>
    <row r="1" spans="1:16">
      <c r="A1" s="211" t="s">
        <v>56</v>
      </c>
      <c r="E1" s="209" t="s">
        <v>39</v>
      </c>
    </row>
    <row r="2" spans="1:16">
      <c r="E2" s="209" t="s">
        <v>189</v>
      </c>
    </row>
    <row r="3" spans="1:16">
      <c r="D3" s="213"/>
      <c r="E3" s="214" t="str">
        <f>'Program MW '!H3</f>
        <v>June 2021</v>
      </c>
      <c r="F3" s="213"/>
      <c r="N3" s="703"/>
    </row>
    <row r="4" spans="1:16" ht="12" thickBot="1"/>
    <row r="5" spans="1:16">
      <c r="A5" s="215"/>
      <c r="B5" s="216"/>
      <c r="C5" s="216"/>
      <c r="D5" s="216"/>
      <c r="E5" s="216"/>
      <c r="F5" s="216"/>
      <c r="G5" s="216"/>
      <c r="H5" s="216"/>
      <c r="I5" s="216"/>
      <c r="J5" s="217"/>
      <c r="K5" s="216"/>
      <c r="L5" s="216"/>
      <c r="M5" s="216"/>
      <c r="N5" s="454"/>
    </row>
    <row r="6" spans="1:16" ht="23">
      <c r="A6" s="218" t="s">
        <v>190</v>
      </c>
      <c r="B6" s="443" t="s">
        <v>41</v>
      </c>
      <c r="C6" s="443" t="s">
        <v>42</v>
      </c>
      <c r="D6" s="443" t="s">
        <v>43</v>
      </c>
      <c r="E6" s="443" t="s">
        <v>44</v>
      </c>
      <c r="F6" s="443" t="s">
        <v>31</v>
      </c>
      <c r="G6" s="443" t="s">
        <v>45</v>
      </c>
      <c r="H6" s="443" t="s">
        <v>59</v>
      </c>
      <c r="I6" s="443" t="s">
        <v>66</v>
      </c>
      <c r="J6" s="444" t="s">
        <v>67</v>
      </c>
      <c r="K6" s="443" t="s">
        <v>61</v>
      </c>
      <c r="L6" s="443" t="s">
        <v>68</v>
      </c>
      <c r="M6" s="547" t="s">
        <v>62</v>
      </c>
      <c r="N6" s="548" t="s">
        <v>191</v>
      </c>
    </row>
    <row r="7" spans="1:16">
      <c r="A7" s="219"/>
      <c r="B7" s="220"/>
      <c r="C7" s="220"/>
      <c r="D7" s="220"/>
      <c r="E7" s="220"/>
      <c r="F7" s="711"/>
      <c r="G7" s="711"/>
      <c r="H7" s="712"/>
      <c r="I7" s="711"/>
      <c r="J7" s="713"/>
      <c r="K7" s="711"/>
      <c r="L7" s="711"/>
      <c r="M7" s="714"/>
      <c r="N7" s="715"/>
    </row>
    <row r="8" spans="1:16">
      <c r="A8" s="221" t="s">
        <v>192</v>
      </c>
      <c r="B8" s="220"/>
      <c r="C8" s="220"/>
      <c r="D8" s="220"/>
      <c r="E8" s="220"/>
      <c r="F8" s="711"/>
      <c r="G8" s="711"/>
      <c r="H8" s="712"/>
      <c r="I8" s="711"/>
      <c r="J8" s="713"/>
      <c r="K8" s="711"/>
      <c r="L8" s="711"/>
      <c r="M8" s="714"/>
      <c r="N8" s="715"/>
    </row>
    <row r="9" spans="1:16">
      <c r="A9" s="308" t="s">
        <v>193</v>
      </c>
      <c r="B9" s="587">
        <v>5.4340000000000002</v>
      </c>
      <c r="C9" s="587">
        <v>8.3640000000000008</v>
      </c>
      <c r="D9" s="587">
        <f>24.646-C9-B9</f>
        <v>10.847999999999999</v>
      </c>
      <c r="E9" s="587">
        <v>10.628</v>
      </c>
      <c r="F9" s="587">
        <v>12.351000000000001</v>
      </c>
      <c r="G9" s="587">
        <v>13.272</v>
      </c>
      <c r="H9" s="587">
        <v>0</v>
      </c>
      <c r="I9" s="587">
        <v>0</v>
      </c>
      <c r="J9" s="587">
        <v>0</v>
      </c>
      <c r="K9" s="587">
        <v>0</v>
      </c>
      <c r="L9" s="587">
        <v>0</v>
      </c>
      <c r="M9" s="588">
        <v>0</v>
      </c>
      <c r="N9" s="589">
        <f t="shared" ref="N9:N33" si="0">SUM(B9:M9)</f>
        <v>60.896999999999998</v>
      </c>
      <c r="O9" s="365">
        <v>0</v>
      </c>
      <c r="P9" s="365">
        <v>0</v>
      </c>
    </row>
    <row r="10" spans="1:16" ht="13.5">
      <c r="A10" s="308" t="s">
        <v>194</v>
      </c>
      <c r="B10" s="581">
        <v>44.155000000000001</v>
      </c>
      <c r="C10" s="581">
        <v>11.638999999999999</v>
      </c>
      <c r="D10" s="581">
        <f>131.908-C10-B10</f>
        <v>76.11399999999999</v>
      </c>
      <c r="E10" s="581">
        <v>45.377000000000002</v>
      </c>
      <c r="F10" s="716">
        <v>41.933999999999997</v>
      </c>
      <c r="G10" s="716">
        <v>48.670999999999999</v>
      </c>
      <c r="H10" s="716">
        <v>0</v>
      </c>
      <c r="I10" s="716">
        <v>0</v>
      </c>
      <c r="J10" s="716">
        <v>0</v>
      </c>
      <c r="K10" s="716">
        <v>0</v>
      </c>
      <c r="L10" s="716">
        <v>0</v>
      </c>
      <c r="M10" s="716">
        <v>0</v>
      </c>
      <c r="N10" s="589">
        <f t="shared" si="0"/>
        <v>267.89</v>
      </c>
    </row>
    <row r="11" spans="1:16" ht="14.25" customHeight="1">
      <c r="A11" s="308" t="s">
        <v>195</v>
      </c>
      <c r="B11" s="581">
        <v>5.3719999999999999</v>
      </c>
      <c r="C11" s="582">
        <v>5.4429999999999996</v>
      </c>
      <c r="D11" s="582">
        <f>16.812-C11-B11</f>
        <v>5.9970000000000017</v>
      </c>
      <c r="E11" s="582">
        <v>6.6950000000000003</v>
      </c>
      <c r="F11" s="717">
        <v>5.6539999999999999</v>
      </c>
      <c r="G11" s="717">
        <v>6.0540000000000003</v>
      </c>
      <c r="H11" s="717">
        <v>0</v>
      </c>
      <c r="I11" s="717">
        <v>0</v>
      </c>
      <c r="J11" s="717">
        <v>0</v>
      </c>
      <c r="K11" s="717">
        <v>0</v>
      </c>
      <c r="L11" s="717">
        <v>0</v>
      </c>
      <c r="M11" s="717">
        <v>0</v>
      </c>
      <c r="N11" s="589">
        <f t="shared" si="0"/>
        <v>35.215000000000003</v>
      </c>
    </row>
    <row r="12" spans="1:16">
      <c r="A12" s="308" t="s">
        <v>196</v>
      </c>
      <c r="B12" s="581">
        <v>0</v>
      </c>
      <c r="C12" s="582">
        <v>0</v>
      </c>
      <c r="D12" s="582">
        <v>0</v>
      </c>
      <c r="E12" s="582">
        <v>0</v>
      </c>
      <c r="F12" s="717">
        <v>0</v>
      </c>
      <c r="G12" s="717">
        <v>0</v>
      </c>
      <c r="H12" s="717">
        <v>0</v>
      </c>
      <c r="I12" s="717">
        <v>0</v>
      </c>
      <c r="J12" s="717">
        <v>0</v>
      </c>
      <c r="K12" s="717">
        <v>0</v>
      </c>
      <c r="L12" s="717">
        <v>0</v>
      </c>
      <c r="M12" s="717">
        <v>0</v>
      </c>
      <c r="N12" s="589">
        <f t="shared" si="0"/>
        <v>0</v>
      </c>
    </row>
    <row r="13" spans="1:16">
      <c r="A13" s="308" t="s">
        <v>197</v>
      </c>
      <c r="B13" s="581">
        <v>6.5279999999999996</v>
      </c>
      <c r="C13" s="582">
        <v>9.1560000000000006</v>
      </c>
      <c r="D13" s="582">
        <f>25.223-C13-B13</f>
        <v>9.5390000000000015</v>
      </c>
      <c r="E13" s="582">
        <v>17.847000000000001</v>
      </c>
      <c r="F13" s="717">
        <v>16.437000000000001</v>
      </c>
      <c r="G13" s="717">
        <v>18.690999999999999</v>
      </c>
      <c r="H13" s="717">
        <v>0</v>
      </c>
      <c r="I13" s="717">
        <v>0</v>
      </c>
      <c r="J13" s="717">
        <v>0</v>
      </c>
      <c r="K13" s="717">
        <v>0</v>
      </c>
      <c r="L13" s="717">
        <v>0</v>
      </c>
      <c r="M13" s="717">
        <v>0</v>
      </c>
      <c r="N13" s="589">
        <f t="shared" si="0"/>
        <v>78.198000000000008</v>
      </c>
    </row>
    <row r="14" spans="1:16">
      <c r="A14" s="308" t="s">
        <v>198</v>
      </c>
      <c r="B14" s="610">
        <v>10.265000000000001</v>
      </c>
      <c r="C14" s="611">
        <v>9.8539999999999992</v>
      </c>
      <c r="D14" s="611">
        <v>13.487</v>
      </c>
      <c r="E14" s="611">
        <v>12.321999999999999</v>
      </c>
      <c r="F14" s="718">
        <v>28.375</v>
      </c>
      <c r="G14" s="718">
        <v>11.579000000000001</v>
      </c>
      <c r="H14" s="718">
        <v>0</v>
      </c>
      <c r="I14" s="718">
        <v>0</v>
      </c>
      <c r="J14" s="718">
        <v>0</v>
      </c>
      <c r="K14" s="718">
        <v>0</v>
      </c>
      <c r="L14" s="718">
        <v>0</v>
      </c>
      <c r="M14" s="718">
        <v>0</v>
      </c>
      <c r="N14" s="615">
        <f t="shared" si="0"/>
        <v>85.882000000000005</v>
      </c>
    </row>
    <row r="15" spans="1:16">
      <c r="A15" s="308" t="s">
        <v>199</v>
      </c>
      <c r="B15" s="610">
        <v>22.998999999999999</v>
      </c>
      <c r="C15" s="611">
        <v>17.649999999999999</v>
      </c>
      <c r="D15" s="611">
        <f>90.729-C15-B15</f>
        <v>50.080000000000013</v>
      </c>
      <c r="E15" s="611">
        <v>21.035</v>
      </c>
      <c r="F15" s="718">
        <v>41.122999999999998</v>
      </c>
      <c r="G15" s="718">
        <v>14.077</v>
      </c>
      <c r="H15" s="718">
        <v>0</v>
      </c>
      <c r="I15" s="718">
        <v>0</v>
      </c>
      <c r="J15" s="718">
        <v>0</v>
      </c>
      <c r="K15" s="718">
        <v>0</v>
      </c>
      <c r="L15" s="718">
        <v>0</v>
      </c>
      <c r="M15" s="718">
        <v>0</v>
      </c>
      <c r="N15" s="615">
        <f t="shared" si="0"/>
        <v>166.964</v>
      </c>
    </row>
    <row r="16" spans="1:16">
      <c r="A16" s="308" t="s">
        <v>160</v>
      </c>
      <c r="B16" s="610">
        <v>11.461</v>
      </c>
      <c r="C16" s="611">
        <v>10.833</v>
      </c>
      <c r="D16" s="611">
        <f>35.334-C16-B16</f>
        <v>13.040000000000004</v>
      </c>
      <c r="E16" s="611">
        <v>20.324000000000002</v>
      </c>
      <c r="F16" s="718">
        <v>12.916</v>
      </c>
      <c r="G16" s="718">
        <v>14.782999999999999</v>
      </c>
      <c r="H16" s="718">
        <v>0</v>
      </c>
      <c r="I16" s="718">
        <v>0</v>
      </c>
      <c r="J16" s="718">
        <v>0</v>
      </c>
      <c r="K16" s="718">
        <v>0</v>
      </c>
      <c r="L16" s="718">
        <v>0</v>
      </c>
      <c r="M16" s="718">
        <v>0</v>
      </c>
      <c r="N16" s="615">
        <f t="shared" si="0"/>
        <v>83.356999999999999</v>
      </c>
    </row>
    <row r="17" spans="1:15">
      <c r="A17" s="308" t="s">
        <v>161</v>
      </c>
      <c r="B17" s="610">
        <v>7.4180000000000001</v>
      </c>
      <c r="C17" s="611">
        <v>9.0180000000000007</v>
      </c>
      <c r="D17" s="611">
        <f>26.365-C17-B17</f>
        <v>9.9289999999999985</v>
      </c>
      <c r="E17" s="611">
        <v>25.263000000000002</v>
      </c>
      <c r="F17" s="718">
        <v>7.6420000000000003</v>
      </c>
      <c r="G17" s="718">
        <v>10.083</v>
      </c>
      <c r="H17" s="718">
        <v>0</v>
      </c>
      <c r="I17" s="718">
        <v>0</v>
      </c>
      <c r="J17" s="718">
        <v>0</v>
      </c>
      <c r="K17" s="718">
        <v>0</v>
      </c>
      <c r="L17" s="718">
        <v>0</v>
      </c>
      <c r="M17" s="718">
        <v>0</v>
      </c>
      <c r="N17" s="615">
        <f t="shared" si="0"/>
        <v>69.353000000000009</v>
      </c>
    </row>
    <row r="18" spans="1:15">
      <c r="A18" s="308" t="s">
        <v>200</v>
      </c>
      <c r="B18" s="610">
        <v>0</v>
      </c>
      <c r="C18" s="611">
        <v>0</v>
      </c>
      <c r="D18" s="611">
        <v>0</v>
      </c>
      <c r="E18" s="611">
        <v>0</v>
      </c>
      <c r="F18" s="718">
        <v>0</v>
      </c>
      <c r="G18" s="718">
        <v>0</v>
      </c>
      <c r="H18" s="718">
        <v>0</v>
      </c>
      <c r="I18" s="718">
        <v>0</v>
      </c>
      <c r="J18" s="718">
        <v>0</v>
      </c>
      <c r="K18" s="718">
        <v>0</v>
      </c>
      <c r="L18" s="718">
        <v>0</v>
      </c>
      <c r="M18" s="718">
        <v>0</v>
      </c>
      <c r="N18" s="615">
        <f t="shared" si="0"/>
        <v>0</v>
      </c>
    </row>
    <row r="19" spans="1:15" ht="13.5">
      <c r="A19" s="308" t="s">
        <v>201</v>
      </c>
      <c r="B19" s="610">
        <v>1.681</v>
      </c>
      <c r="C19" s="611">
        <v>1.873</v>
      </c>
      <c r="D19" s="611">
        <f>6.233-C19-B19</f>
        <v>2.6789999999999994</v>
      </c>
      <c r="E19" s="611">
        <v>2.4420000000000002</v>
      </c>
      <c r="F19" s="718">
        <v>2.0979999999999999</v>
      </c>
      <c r="G19" s="718">
        <v>0.77700000000000002</v>
      </c>
      <c r="H19" s="718">
        <v>0</v>
      </c>
      <c r="I19" s="718">
        <v>0</v>
      </c>
      <c r="J19" s="718">
        <v>0</v>
      </c>
      <c r="K19" s="718">
        <v>0</v>
      </c>
      <c r="L19" s="718">
        <v>0</v>
      </c>
      <c r="M19" s="718">
        <v>0</v>
      </c>
      <c r="N19" s="615">
        <f t="shared" si="0"/>
        <v>11.549999999999999</v>
      </c>
    </row>
    <row r="20" spans="1:15" s="213" customFormat="1">
      <c r="A20" s="407" t="s">
        <v>132</v>
      </c>
      <c r="B20" s="610">
        <v>0</v>
      </c>
      <c r="C20" s="611">
        <v>0</v>
      </c>
      <c r="D20" s="611">
        <v>0</v>
      </c>
      <c r="E20" s="611">
        <v>0</v>
      </c>
      <c r="F20" s="718">
        <v>0</v>
      </c>
      <c r="G20" s="718">
        <v>0</v>
      </c>
      <c r="H20" s="718">
        <v>0</v>
      </c>
      <c r="I20" s="718">
        <v>0</v>
      </c>
      <c r="J20" s="718">
        <v>0</v>
      </c>
      <c r="K20" s="718">
        <v>0</v>
      </c>
      <c r="L20" s="718">
        <v>0</v>
      </c>
      <c r="M20" s="718">
        <v>0</v>
      </c>
      <c r="N20" s="615">
        <f t="shared" si="0"/>
        <v>0</v>
      </c>
    </row>
    <row r="21" spans="1:15">
      <c r="A21" s="407" t="s">
        <v>202</v>
      </c>
      <c r="B21" s="610">
        <v>111.34399999999999</v>
      </c>
      <c r="C21" s="611">
        <v>1.498</v>
      </c>
      <c r="D21" s="611">
        <f>114.985-C21-B21</f>
        <v>2.1430000000000007</v>
      </c>
      <c r="E21" s="611">
        <v>1.9530000000000001</v>
      </c>
      <c r="F21" s="718">
        <v>1.6779999999999999</v>
      </c>
      <c r="G21" s="718">
        <v>0.622</v>
      </c>
      <c r="H21" s="718">
        <v>0</v>
      </c>
      <c r="I21" s="718">
        <v>0</v>
      </c>
      <c r="J21" s="718">
        <v>0</v>
      </c>
      <c r="K21" s="718">
        <v>0</v>
      </c>
      <c r="L21" s="718">
        <v>0</v>
      </c>
      <c r="M21" s="718">
        <v>0</v>
      </c>
      <c r="N21" s="615">
        <f t="shared" si="0"/>
        <v>119.238</v>
      </c>
    </row>
    <row r="22" spans="1:15" ht="14.5">
      <c r="A22" s="308" t="s">
        <v>267</v>
      </c>
      <c r="B22" s="610">
        <v>2.75</v>
      </c>
      <c r="C22" s="611">
        <v>0</v>
      </c>
      <c r="D22" s="611">
        <f>43.162-C22-B22</f>
        <v>40.411999999999999</v>
      </c>
      <c r="E22" s="611">
        <v>1.641</v>
      </c>
      <c r="F22" s="718">
        <v>43.448999999999998</v>
      </c>
      <c r="G22" s="718">
        <v>130.79300000000001</v>
      </c>
      <c r="H22" s="718">
        <v>0</v>
      </c>
      <c r="I22" s="718">
        <v>0</v>
      </c>
      <c r="J22" s="718">
        <v>0</v>
      </c>
      <c r="K22" s="718">
        <v>0</v>
      </c>
      <c r="L22" s="718">
        <v>0</v>
      </c>
      <c r="M22" s="718">
        <v>0</v>
      </c>
      <c r="N22" s="615">
        <f t="shared" si="0"/>
        <v>219.04500000000002</v>
      </c>
    </row>
    <row r="23" spans="1:15">
      <c r="A23" s="308" t="s">
        <v>203</v>
      </c>
      <c r="B23" s="610">
        <v>37.207999999999998</v>
      </c>
      <c r="C23" s="611">
        <v>42.548000000000002</v>
      </c>
      <c r="D23" s="611">
        <v>57.579000000000001</v>
      </c>
      <c r="E23" s="611">
        <v>51.548999999999999</v>
      </c>
      <c r="F23" s="718">
        <v>49.262999999999998</v>
      </c>
      <c r="G23" s="718">
        <v>43.06</v>
      </c>
      <c r="H23" s="718">
        <v>0</v>
      </c>
      <c r="I23" s="718">
        <v>0</v>
      </c>
      <c r="J23" s="718">
        <v>0</v>
      </c>
      <c r="K23" s="718">
        <v>0</v>
      </c>
      <c r="L23" s="718">
        <v>0</v>
      </c>
      <c r="M23" s="718">
        <v>0</v>
      </c>
      <c r="N23" s="615">
        <f t="shared" si="0"/>
        <v>281.20699999999999</v>
      </c>
    </row>
    <row r="24" spans="1:15">
      <c r="A24" s="308" t="s">
        <v>268</v>
      </c>
      <c r="B24" s="610">
        <v>120.524</v>
      </c>
      <c r="C24" s="611">
        <v>107.79600000000001</v>
      </c>
      <c r="D24" s="611">
        <f>380.534-C24-B24</f>
        <v>152.214</v>
      </c>
      <c r="E24" s="611">
        <v>150.024</v>
      </c>
      <c r="F24" s="718">
        <v>74.804000000000002</v>
      </c>
      <c r="G24" s="718">
        <v>506.28399999999999</v>
      </c>
      <c r="H24" s="718">
        <v>0</v>
      </c>
      <c r="I24" s="718">
        <v>0</v>
      </c>
      <c r="J24" s="718">
        <v>0</v>
      </c>
      <c r="K24" s="718">
        <v>0</v>
      </c>
      <c r="L24" s="718">
        <v>0</v>
      </c>
      <c r="M24" s="718">
        <v>0</v>
      </c>
      <c r="N24" s="615">
        <f t="shared" si="0"/>
        <v>1111.646</v>
      </c>
    </row>
    <row r="25" spans="1:15" ht="13.5">
      <c r="A25" s="308" t="s">
        <v>269</v>
      </c>
      <c r="B25" s="610">
        <v>23.262</v>
      </c>
      <c r="C25" s="611">
        <v>81.326999999999998</v>
      </c>
      <c r="D25" s="611">
        <f>174.323-C25-B25</f>
        <v>69.734000000000009</v>
      </c>
      <c r="E25" s="611">
        <v>49.412999999999997</v>
      </c>
      <c r="F25" s="718">
        <v>35.180999999999997</v>
      </c>
      <c r="G25" s="718">
        <v>33.500999999999998</v>
      </c>
      <c r="H25" s="718">
        <v>0</v>
      </c>
      <c r="I25" s="718">
        <v>0</v>
      </c>
      <c r="J25" s="718">
        <v>0</v>
      </c>
      <c r="K25" s="718">
        <v>0</v>
      </c>
      <c r="L25" s="718">
        <v>0</v>
      </c>
      <c r="M25" s="718">
        <v>0</v>
      </c>
      <c r="N25" s="615">
        <f t="shared" si="0"/>
        <v>292.41799999999995</v>
      </c>
    </row>
    <row r="26" spans="1:15" s="223" customFormat="1">
      <c r="A26" s="308" t="s">
        <v>172</v>
      </c>
      <c r="B26" s="610">
        <v>3.379</v>
      </c>
      <c r="C26" s="611">
        <v>24.798999999999999</v>
      </c>
      <c r="D26" s="611">
        <f>28.178-C26-B26</f>
        <v>0</v>
      </c>
      <c r="E26" s="611">
        <v>0</v>
      </c>
      <c r="F26" s="718">
        <v>0</v>
      </c>
      <c r="G26" s="718">
        <v>103.866</v>
      </c>
      <c r="H26" s="718">
        <v>0</v>
      </c>
      <c r="I26" s="718">
        <v>0</v>
      </c>
      <c r="J26" s="718">
        <v>0</v>
      </c>
      <c r="K26" s="718">
        <v>0</v>
      </c>
      <c r="L26" s="718">
        <v>0</v>
      </c>
      <c r="M26" s="718">
        <v>0</v>
      </c>
      <c r="N26" s="615">
        <f t="shared" si="0"/>
        <v>132.04400000000001</v>
      </c>
      <c r="O26" s="211"/>
    </row>
    <row r="27" spans="1:15" s="223" customFormat="1" ht="13.5">
      <c r="A27" s="408" t="s">
        <v>300</v>
      </c>
      <c r="B27" s="610">
        <v>55.295999999999999</v>
      </c>
      <c r="C27" s="611">
        <v>-33.177999999999997</v>
      </c>
      <c r="D27" s="611">
        <v>56.866</v>
      </c>
      <c r="E27" s="611">
        <v>0</v>
      </c>
      <c r="F27" s="718">
        <v>8.9420000000000002</v>
      </c>
      <c r="G27" s="718">
        <v>59.112000000000002</v>
      </c>
      <c r="H27" s="718">
        <v>0</v>
      </c>
      <c r="I27" s="718">
        <v>0</v>
      </c>
      <c r="J27" s="718">
        <v>0</v>
      </c>
      <c r="K27" s="718">
        <v>0</v>
      </c>
      <c r="L27" s="718">
        <v>0</v>
      </c>
      <c r="M27" s="718">
        <v>0</v>
      </c>
      <c r="N27" s="615">
        <f t="shared" si="0"/>
        <v>147.03800000000001</v>
      </c>
      <c r="O27" s="211"/>
    </row>
    <row r="28" spans="1:15" s="223" customFormat="1" ht="14.9" customHeight="1">
      <c r="A28" s="308" t="s">
        <v>270</v>
      </c>
      <c r="B28" s="610">
        <v>22.978999999999999</v>
      </c>
      <c r="C28" s="611">
        <v>1.4</v>
      </c>
      <c r="D28" s="611">
        <v>1.101</v>
      </c>
      <c r="E28" s="611">
        <v>1.042</v>
      </c>
      <c r="F28" s="718">
        <v>0.94699999999999995</v>
      </c>
      <c r="G28" s="718">
        <v>0.91600000000000004</v>
      </c>
      <c r="H28" s="718">
        <v>0</v>
      </c>
      <c r="I28" s="718">
        <v>0</v>
      </c>
      <c r="J28" s="718">
        <v>0</v>
      </c>
      <c r="K28" s="718">
        <v>0</v>
      </c>
      <c r="L28" s="718">
        <v>0</v>
      </c>
      <c r="M28" s="718">
        <v>0</v>
      </c>
      <c r="N28" s="615">
        <f t="shared" si="0"/>
        <v>28.384999999999998</v>
      </c>
    </row>
    <row r="29" spans="1:15" s="223" customFormat="1" ht="13.5">
      <c r="A29" s="308" t="s">
        <v>271</v>
      </c>
      <c r="B29" s="610">
        <v>8.077</v>
      </c>
      <c r="C29" s="611">
        <v>40.624000000000002</v>
      </c>
      <c r="D29" s="611">
        <v>2.5049999999999999</v>
      </c>
      <c r="E29" s="611">
        <v>10.302</v>
      </c>
      <c r="F29" s="718">
        <v>0.998</v>
      </c>
      <c r="G29" s="718">
        <v>0.20699999999999999</v>
      </c>
      <c r="H29" s="718">
        <v>0</v>
      </c>
      <c r="I29" s="718">
        <v>0</v>
      </c>
      <c r="J29" s="718">
        <v>0</v>
      </c>
      <c r="K29" s="718">
        <v>0</v>
      </c>
      <c r="L29" s="718">
        <v>0</v>
      </c>
      <c r="M29" s="718">
        <v>0</v>
      </c>
      <c r="N29" s="615">
        <f t="shared" si="0"/>
        <v>62.713000000000001</v>
      </c>
    </row>
    <row r="30" spans="1:15" s="223" customFormat="1" ht="13.5">
      <c r="A30" s="308" t="s">
        <v>204</v>
      </c>
      <c r="B30" s="610">
        <v>7.1999999999999995E-2</v>
      </c>
      <c r="C30" s="611">
        <v>1.6519999999999999</v>
      </c>
      <c r="D30" s="611">
        <v>0.84399999999999997</v>
      </c>
      <c r="E30" s="611">
        <v>8.3000000000000004E-2</v>
      </c>
      <c r="F30" s="718">
        <v>0.85599999999999998</v>
      </c>
      <c r="G30" s="718">
        <v>1.637</v>
      </c>
      <c r="H30" s="718">
        <v>0</v>
      </c>
      <c r="I30" s="718">
        <v>0</v>
      </c>
      <c r="J30" s="718">
        <v>0</v>
      </c>
      <c r="K30" s="718">
        <v>0</v>
      </c>
      <c r="L30" s="718">
        <v>0</v>
      </c>
      <c r="M30" s="718">
        <v>0</v>
      </c>
      <c r="N30" s="615">
        <f t="shared" si="0"/>
        <v>5.1440000000000001</v>
      </c>
    </row>
    <row r="31" spans="1:15" s="223" customFormat="1">
      <c r="A31" s="308" t="s">
        <v>205</v>
      </c>
      <c r="B31" s="610">
        <v>11.85</v>
      </c>
      <c r="C31" s="611">
        <v>31.484999999999999</v>
      </c>
      <c r="D31" s="611">
        <v>36.584000000000003</v>
      </c>
      <c r="E31" s="611">
        <v>25.762</v>
      </c>
      <c r="F31" s="718">
        <v>10.907</v>
      </c>
      <c r="G31" s="718">
        <v>9.8930000000000007</v>
      </c>
      <c r="H31" s="718">
        <v>0</v>
      </c>
      <c r="I31" s="718">
        <v>0</v>
      </c>
      <c r="J31" s="718">
        <v>0</v>
      </c>
      <c r="K31" s="718">
        <v>0</v>
      </c>
      <c r="L31" s="718">
        <v>0</v>
      </c>
      <c r="M31" s="718">
        <v>0</v>
      </c>
      <c r="N31" s="615">
        <f t="shared" si="0"/>
        <v>126.48100000000001</v>
      </c>
    </row>
    <row r="32" spans="1:15" s="223" customFormat="1" ht="13.5">
      <c r="A32" s="308" t="s">
        <v>299</v>
      </c>
      <c r="B32" s="610">
        <v>3.2120000000000002</v>
      </c>
      <c r="C32" s="611">
        <v>-50.23</v>
      </c>
      <c r="D32" s="611">
        <v>-2.1789999999999998</v>
      </c>
      <c r="E32" s="611">
        <v>0</v>
      </c>
      <c r="F32" s="718">
        <v>58.034999999999997</v>
      </c>
      <c r="G32" s="718">
        <v>35.96</v>
      </c>
      <c r="H32" s="718">
        <v>0</v>
      </c>
      <c r="I32" s="718">
        <v>0</v>
      </c>
      <c r="J32" s="718">
        <v>0</v>
      </c>
      <c r="K32" s="718">
        <v>0</v>
      </c>
      <c r="L32" s="718">
        <v>0</v>
      </c>
      <c r="M32" s="718">
        <v>0</v>
      </c>
      <c r="N32" s="615">
        <f t="shared" si="0"/>
        <v>44.798000000000002</v>
      </c>
    </row>
    <row r="33" spans="1:15" s="223" customFormat="1">
      <c r="A33" s="308" t="s">
        <v>272</v>
      </c>
      <c r="B33" s="612">
        <v>0</v>
      </c>
      <c r="C33" s="613">
        <v>544.17999999999995</v>
      </c>
      <c r="D33" s="613">
        <v>285.53699999999998</v>
      </c>
      <c r="E33" s="613">
        <v>285.32600000000002</v>
      </c>
      <c r="F33" s="719">
        <v>185.32599999999999</v>
      </c>
      <c r="G33" s="719">
        <v>235.32599999999999</v>
      </c>
      <c r="H33" s="719">
        <v>0</v>
      </c>
      <c r="I33" s="719">
        <v>0</v>
      </c>
      <c r="J33" s="719">
        <v>0</v>
      </c>
      <c r="K33" s="719">
        <v>0</v>
      </c>
      <c r="L33" s="719">
        <v>0</v>
      </c>
      <c r="M33" s="719">
        <v>0</v>
      </c>
      <c r="N33" s="615">
        <f t="shared" si="0"/>
        <v>1535.6949999999999</v>
      </c>
    </row>
    <row r="34" spans="1:15" ht="12" thickBot="1">
      <c r="A34" s="315" t="s">
        <v>206</v>
      </c>
      <c r="B34" s="614">
        <f t="shared" ref="B34:M34" si="1">SUM(B9:B33)</f>
        <v>515.26599999999996</v>
      </c>
      <c r="C34" s="583">
        <f t="shared" si="1"/>
        <v>877.73099999999999</v>
      </c>
      <c r="D34" s="583">
        <f t="shared" si="1"/>
        <v>895.05299999999988</v>
      </c>
      <c r="E34" s="583">
        <f t="shared" si="1"/>
        <v>739.02800000000002</v>
      </c>
      <c r="F34" s="720">
        <f t="shared" si="1"/>
        <v>638.91599999999994</v>
      </c>
      <c r="G34" s="720">
        <f t="shared" si="1"/>
        <v>1299.164</v>
      </c>
      <c r="H34" s="720">
        <f t="shared" si="1"/>
        <v>0</v>
      </c>
      <c r="I34" s="720">
        <f t="shared" si="1"/>
        <v>0</v>
      </c>
      <c r="J34" s="720">
        <f t="shared" si="1"/>
        <v>0</v>
      </c>
      <c r="K34" s="720">
        <f t="shared" si="1"/>
        <v>0</v>
      </c>
      <c r="L34" s="720">
        <f t="shared" si="1"/>
        <v>0</v>
      </c>
      <c r="M34" s="720">
        <f t="shared" si="1"/>
        <v>0</v>
      </c>
      <c r="N34" s="721">
        <f>SUM(N9:N33)</f>
        <v>4965.1580000000004</v>
      </c>
    </row>
    <row r="35" spans="1:15">
      <c r="A35" s="308"/>
      <c r="B35" s="610"/>
      <c r="C35" s="584"/>
      <c r="D35" s="584"/>
      <c r="E35" s="584"/>
      <c r="F35" s="722"/>
      <c r="G35" s="722"/>
      <c r="H35" s="722"/>
      <c r="I35" s="722"/>
      <c r="J35" s="722"/>
      <c r="K35" s="722"/>
      <c r="L35" s="722"/>
      <c r="M35" s="722"/>
      <c r="N35" s="615"/>
    </row>
    <row r="36" spans="1:15" s="223" customFormat="1">
      <c r="A36" s="307" t="s">
        <v>207</v>
      </c>
      <c r="B36" s="610"/>
      <c r="C36" s="584"/>
      <c r="D36" s="584"/>
      <c r="E36" s="584"/>
      <c r="F36" s="722"/>
      <c r="G36" s="722"/>
      <c r="H36" s="722"/>
      <c r="I36" s="722"/>
      <c r="J36" s="722"/>
      <c r="K36" s="722"/>
      <c r="L36" s="722"/>
      <c r="M36" s="722"/>
      <c r="N36" s="615"/>
      <c r="O36" s="211"/>
    </row>
    <row r="37" spans="1:15">
      <c r="A37" s="308" t="s">
        <v>193</v>
      </c>
      <c r="B37" s="611">
        <v>124.98</v>
      </c>
      <c r="C37" s="611">
        <v>0</v>
      </c>
      <c r="D37" s="611">
        <f>124.98-C37-B37</f>
        <v>0</v>
      </c>
      <c r="E37" s="611">
        <v>0</v>
      </c>
      <c r="F37" s="718">
        <v>0</v>
      </c>
      <c r="G37" s="718">
        <v>0</v>
      </c>
      <c r="H37" s="718">
        <v>0</v>
      </c>
      <c r="I37" s="718">
        <v>0</v>
      </c>
      <c r="J37" s="718">
        <v>0</v>
      </c>
      <c r="K37" s="718">
        <v>0</v>
      </c>
      <c r="L37" s="718">
        <v>0</v>
      </c>
      <c r="M37" s="718">
        <v>0</v>
      </c>
      <c r="N37" s="615">
        <f t="shared" ref="N37:N48" si="2">SUM(B37:M37)</f>
        <v>124.98</v>
      </c>
    </row>
    <row r="38" spans="1:15" s="213" customFormat="1" ht="14.5">
      <c r="A38" s="309" t="s">
        <v>208</v>
      </c>
      <c r="B38" s="611">
        <v>0.24199999999999999</v>
      </c>
      <c r="C38" s="611">
        <v>0.216</v>
      </c>
      <c r="D38" s="611">
        <f>0.782-C38-B38</f>
        <v>0.32400000000000007</v>
      </c>
      <c r="E38" s="611">
        <v>0</v>
      </c>
      <c r="F38" s="718">
        <v>0.2</v>
      </c>
      <c r="G38" s="718">
        <v>0</v>
      </c>
      <c r="H38" s="718">
        <v>0</v>
      </c>
      <c r="I38" s="718">
        <v>0</v>
      </c>
      <c r="J38" s="718">
        <v>0</v>
      </c>
      <c r="K38" s="718">
        <v>0</v>
      </c>
      <c r="L38" s="718">
        <v>0</v>
      </c>
      <c r="M38" s="718">
        <v>0</v>
      </c>
      <c r="N38" s="615">
        <f t="shared" si="2"/>
        <v>0.98199999999999998</v>
      </c>
    </row>
    <row r="39" spans="1:15" ht="13.5">
      <c r="A39" s="308" t="s">
        <v>318</v>
      </c>
      <c r="B39" s="611">
        <v>18.131</v>
      </c>
      <c r="C39" s="611">
        <v>0</v>
      </c>
      <c r="D39" s="611">
        <f>37.401-C39-B39</f>
        <v>19.270000000000003</v>
      </c>
      <c r="E39" s="611">
        <v>0</v>
      </c>
      <c r="F39" s="718">
        <v>1.9</v>
      </c>
      <c r="G39" s="718">
        <v>2.85</v>
      </c>
      <c r="H39" s="718">
        <v>0</v>
      </c>
      <c r="I39" s="718">
        <v>0</v>
      </c>
      <c r="J39" s="718">
        <v>0</v>
      </c>
      <c r="K39" s="718">
        <v>0</v>
      </c>
      <c r="L39" s="718">
        <v>0</v>
      </c>
      <c r="M39" s="718">
        <v>0</v>
      </c>
      <c r="N39" s="615">
        <f t="shared" si="2"/>
        <v>42.151000000000003</v>
      </c>
    </row>
    <row r="40" spans="1:15">
      <c r="A40" s="308" t="s">
        <v>209</v>
      </c>
      <c r="B40" s="611">
        <v>0</v>
      </c>
      <c r="C40" s="611">
        <v>0</v>
      </c>
      <c r="D40" s="611">
        <v>0</v>
      </c>
      <c r="E40" s="611">
        <v>3.0630000000000002</v>
      </c>
      <c r="F40" s="718">
        <v>0</v>
      </c>
      <c r="G40" s="718">
        <v>0</v>
      </c>
      <c r="H40" s="718">
        <v>0</v>
      </c>
      <c r="I40" s="718">
        <v>0</v>
      </c>
      <c r="J40" s="718">
        <v>0</v>
      </c>
      <c r="K40" s="718">
        <v>0</v>
      </c>
      <c r="L40" s="718">
        <v>0</v>
      </c>
      <c r="M40" s="718">
        <v>0</v>
      </c>
      <c r="N40" s="615">
        <f t="shared" si="2"/>
        <v>3.0630000000000002</v>
      </c>
    </row>
    <row r="41" spans="1:15" ht="13.5">
      <c r="A41" s="308" t="s">
        <v>317</v>
      </c>
      <c r="B41" s="611">
        <v>86.581000000000003</v>
      </c>
      <c r="C41" s="611">
        <v>95.628</v>
      </c>
      <c r="D41" s="611">
        <v>254.01</v>
      </c>
      <c r="E41" s="611">
        <v>11.034000000000001</v>
      </c>
      <c r="F41" s="718">
        <v>-47.726999999999997</v>
      </c>
      <c r="G41" s="718">
        <v>308.97899999999998</v>
      </c>
      <c r="H41" s="718">
        <v>0</v>
      </c>
      <c r="I41" s="718">
        <v>0</v>
      </c>
      <c r="J41" s="718">
        <v>0</v>
      </c>
      <c r="K41" s="718">
        <v>0</v>
      </c>
      <c r="L41" s="718">
        <v>0</v>
      </c>
      <c r="M41" s="718">
        <v>0</v>
      </c>
      <c r="N41" s="615">
        <f t="shared" si="2"/>
        <v>708.505</v>
      </c>
    </row>
    <row r="42" spans="1:15">
      <c r="A42" s="309" t="s">
        <v>210</v>
      </c>
      <c r="B42" s="611">
        <v>18.05</v>
      </c>
      <c r="C42" s="611">
        <v>15.7</v>
      </c>
      <c r="D42" s="611">
        <f>49.05-C42-B42</f>
        <v>15.299999999999994</v>
      </c>
      <c r="E42" s="611">
        <v>20.05</v>
      </c>
      <c r="F42" s="718">
        <v>5.5</v>
      </c>
      <c r="G42" s="718">
        <v>13.75</v>
      </c>
      <c r="H42" s="718">
        <v>0</v>
      </c>
      <c r="I42" s="718">
        <v>0</v>
      </c>
      <c r="J42" s="718">
        <v>0</v>
      </c>
      <c r="K42" s="718">
        <v>0</v>
      </c>
      <c r="L42" s="718">
        <v>0</v>
      </c>
      <c r="M42" s="718">
        <v>0</v>
      </c>
      <c r="N42" s="615">
        <f t="shared" si="2"/>
        <v>88.35</v>
      </c>
    </row>
    <row r="43" spans="1:15">
      <c r="A43" s="308" t="s">
        <v>161</v>
      </c>
      <c r="B43" s="611">
        <v>0</v>
      </c>
      <c r="C43" s="611">
        <v>0</v>
      </c>
      <c r="D43" s="611">
        <f>0.276-C43-B43</f>
        <v>0.27600000000000002</v>
      </c>
      <c r="E43" s="611">
        <v>0</v>
      </c>
      <c r="F43" s="718">
        <v>0</v>
      </c>
      <c r="G43" s="718">
        <v>0</v>
      </c>
      <c r="H43" s="718">
        <v>0</v>
      </c>
      <c r="I43" s="718">
        <v>0</v>
      </c>
      <c r="J43" s="718">
        <v>0</v>
      </c>
      <c r="K43" s="718">
        <v>0</v>
      </c>
      <c r="L43" s="718">
        <v>0</v>
      </c>
      <c r="M43" s="718">
        <v>0</v>
      </c>
      <c r="N43" s="615">
        <f t="shared" si="2"/>
        <v>0.27600000000000002</v>
      </c>
    </row>
    <row r="44" spans="1:15">
      <c r="A44" s="308" t="s">
        <v>200</v>
      </c>
      <c r="B44" s="611">
        <v>0</v>
      </c>
      <c r="C44" s="611">
        <v>0</v>
      </c>
      <c r="D44" s="611">
        <v>0</v>
      </c>
      <c r="E44" s="611">
        <v>0</v>
      </c>
      <c r="F44" s="718">
        <v>0</v>
      </c>
      <c r="G44" s="718">
        <v>0</v>
      </c>
      <c r="H44" s="718">
        <v>0</v>
      </c>
      <c r="I44" s="718">
        <v>0</v>
      </c>
      <c r="J44" s="718">
        <v>0</v>
      </c>
      <c r="K44" s="718">
        <v>0</v>
      </c>
      <c r="L44" s="718">
        <v>0</v>
      </c>
      <c r="M44" s="718">
        <v>0</v>
      </c>
      <c r="N44" s="615">
        <f t="shared" si="2"/>
        <v>0</v>
      </c>
    </row>
    <row r="45" spans="1:15">
      <c r="A45" s="407" t="s">
        <v>211</v>
      </c>
      <c r="B45" s="611">
        <v>0</v>
      </c>
      <c r="C45" s="611">
        <v>0</v>
      </c>
      <c r="D45" s="611">
        <v>0</v>
      </c>
      <c r="E45" s="611">
        <v>0</v>
      </c>
      <c r="F45" s="718">
        <v>0</v>
      </c>
      <c r="G45" s="718">
        <v>0</v>
      </c>
      <c r="H45" s="718">
        <v>0</v>
      </c>
      <c r="I45" s="718">
        <v>0</v>
      </c>
      <c r="J45" s="718">
        <v>0</v>
      </c>
      <c r="K45" s="718">
        <v>0</v>
      </c>
      <c r="L45" s="718">
        <v>0</v>
      </c>
      <c r="M45" s="718">
        <v>0</v>
      </c>
      <c r="N45" s="615">
        <f t="shared" si="2"/>
        <v>0</v>
      </c>
    </row>
    <row r="46" spans="1:15" ht="13.5">
      <c r="A46" s="407" t="s">
        <v>316</v>
      </c>
      <c r="B46" s="611">
        <v>0</v>
      </c>
      <c r="C46" s="611">
        <v>0</v>
      </c>
      <c r="D46" s="611">
        <v>0</v>
      </c>
      <c r="E46" s="611">
        <v>0</v>
      </c>
      <c r="F46" s="718">
        <v>0.54</v>
      </c>
      <c r="G46" s="718">
        <v>0</v>
      </c>
      <c r="H46" s="718">
        <v>0</v>
      </c>
      <c r="I46" s="718">
        <v>0</v>
      </c>
      <c r="J46" s="718">
        <v>0</v>
      </c>
      <c r="K46" s="718">
        <v>0</v>
      </c>
      <c r="L46" s="718">
        <v>0</v>
      </c>
      <c r="M46" s="718">
        <v>0</v>
      </c>
      <c r="N46" s="615">
        <f t="shared" si="2"/>
        <v>0.54</v>
      </c>
    </row>
    <row r="47" spans="1:15" s="662" customFormat="1" ht="13.5">
      <c r="A47" s="663" t="s">
        <v>344</v>
      </c>
      <c r="B47" s="665">
        <v>0</v>
      </c>
      <c r="C47" s="665">
        <v>0</v>
      </c>
      <c r="D47" s="665">
        <v>0</v>
      </c>
      <c r="E47" s="665">
        <v>0</v>
      </c>
      <c r="F47" s="718">
        <v>0</v>
      </c>
      <c r="G47" s="718">
        <v>-0.54</v>
      </c>
      <c r="H47" s="718">
        <v>0</v>
      </c>
      <c r="I47" s="718">
        <v>0</v>
      </c>
      <c r="J47" s="718">
        <v>0</v>
      </c>
      <c r="K47" s="718">
        <v>0</v>
      </c>
      <c r="L47" s="718">
        <v>0</v>
      </c>
      <c r="M47" s="718">
        <v>0</v>
      </c>
      <c r="N47" s="615"/>
    </row>
    <row r="48" spans="1:15">
      <c r="A48" s="308" t="s">
        <v>212</v>
      </c>
      <c r="B48" s="613">
        <v>0</v>
      </c>
      <c r="C48" s="613">
        <v>0</v>
      </c>
      <c r="D48" s="613">
        <v>0</v>
      </c>
      <c r="E48" s="613">
        <v>0</v>
      </c>
      <c r="F48" s="719">
        <v>0</v>
      </c>
      <c r="G48" s="719">
        <v>0</v>
      </c>
      <c r="H48" s="719">
        <v>0</v>
      </c>
      <c r="I48" s="719">
        <v>0</v>
      </c>
      <c r="J48" s="719">
        <v>0</v>
      </c>
      <c r="K48" s="719">
        <v>0</v>
      </c>
      <c r="L48" s="719">
        <v>0</v>
      </c>
      <c r="M48" s="719">
        <v>0</v>
      </c>
      <c r="N48" s="615">
        <f t="shared" si="2"/>
        <v>0</v>
      </c>
    </row>
    <row r="49" spans="1:14">
      <c r="A49" s="409" t="s">
        <v>213</v>
      </c>
      <c r="B49" s="585">
        <f t="shared" ref="B49:M49" si="3">SUM(B37:B48)</f>
        <v>247.98400000000004</v>
      </c>
      <c r="C49" s="585">
        <f t="shared" si="3"/>
        <v>111.544</v>
      </c>
      <c r="D49" s="585">
        <f t="shared" si="3"/>
        <v>289.18</v>
      </c>
      <c r="E49" s="585">
        <f t="shared" si="3"/>
        <v>34.147000000000006</v>
      </c>
      <c r="F49" s="723">
        <f t="shared" si="3"/>
        <v>-39.586999999999996</v>
      </c>
      <c r="G49" s="723">
        <f t="shared" si="3"/>
        <v>325.03899999999999</v>
      </c>
      <c r="H49" s="723">
        <f t="shared" si="3"/>
        <v>0</v>
      </c>
      <c r="I49" s="723">
        <f t="shared" si="3"/>
        <v>0</v>
      </c>
      <c r="J49" s="723">
        <f t="shared" si="3"/>
        <v>0</v>
      </c>
      <c r="K49" s="723">
        <f t="shared" si="3"/>
        <v>0</v>
      </c>
      <c r="L49" s="723">
        <f t="shared" si="3"/>
        <v>0</v>
      </c>
      <c r="M49" s="723">
        <f t="shared" si="3"/>
        <v>0</v>
      </c>
      <c r="N49" s="721">
        <f>SUM(N37:N48)</f>
        <v>968.84699999999998</v>
      </c>
    </row>
    <row r="50" spans="1:14" ht="20.25" customHeight="1" thickBot="1">
      <c r="A50" s="224" t="s">
        <v>214</v>
      </c>
      <c r="B50" s="616">
        <f t="shared" ref="B50:M50" si="4">B49+B34</f>
        <v>763.25</v>
      </c>
      <c r="C50" s="586">
        <f t="shared" si="4"/>
        <v>989.27499999999998</v>
      </c>
      <c r="D50" s="586">
        <f t="shared" si="4"/>
        <v>1184.2329999999999</v>
      </c>
      <c r="E50" s="586">
        <f t="shared" si="4"/>
        <v>773.17500000000007</v>
      </c>
      <c r="F50" s="724">
        <f t="shared" si="4"/>
        <v>599.32899999999995</v>
      </c>
      <c r="G50" s="724">
        <f t="shared" si="4"/>
        <v>1624.203</v>
      </c>
      <c r="H50" s="724">
        <f t="shared" si="4"/>
        <v>0</v>
      </c>
      <c r="I50" s="724">
        <f t="shared" si="4"/>
        <v>0</v>
      </c>
      <c r="J50" s="724">
        <f t="shared" si="4"/>
        <v>0</v>
      </c>
      <c r="K50" s="724">
        <f t="shared" si="4"/>
        <v>0</v>
      </c>
      <c r="L50" s="724">
        <f t="shared" si="4"/>
        <v>0</v>
      </c>
      <c r="M50" s="724">
        <f t="shared" si="4"/>
        <v>0</v>
      </c>
      <c r="N50" s="725">
        <f>N49+N34</f>
        <v>5934.0050000000001</v>
      </c>
    </row>
    <row r="51" spans="1:14" ht="16.5" customHeight="1">
      <c r="A51" s="225"/>
      <c r="B51" s="583"/>
      <c r="C51" s="583"/>
      <c r="D51" s="583"/>
      <c r="E51" s="583"/>
      <c r="F51" s="720"/>
      <c r="G51" s="720"/>
      <c r="H51" s="720"/>
      <c r="I51" s="720"/>
      <c r="J51" s="726"/>
      <c r="K51" s="720"/>
      <c r="L51" s="720"/>
      <c r="M51" s="720"/>
      <c r="N51" s="727"/>
    </row>
    <row r="52" spans="1:14" s="213" customFormat="1" ht="30.75" customHeight="1" thickBot="1">
      <c r="A52" s="544" t="s">
        <v>215</v>
      </c>
      <c r="B52" s="617">
        <f>B50+0.041</f>
        <v>763.29100000000005</v>
      </c>
      <c r="C52" s="617">
        <f>C50+0.105</f>
        <v>989.38</v>
      </c>
      <c r="D52" s="617">
        <f>D50+0.156</f>
        <v>1184.3889999999999</v>
      </c>
      <c r="E52" s="617">
        <f>E50+0.222</f>
        <v>773.39700000000005</v>
      </c>
      <c r="F52" s="728">
        <f>F50+0.201</f>
        <v>599.53</v>
      </c>
      <c r="G52" s="728">
        <f>G50+0.213</f>
        <v>1624.4159999999999</v>
      </c>
      <c r="H52" s="728">
        <v>0</v>
      </c>
      <c r="I52" s="728">
        <v>0</v>
      </c>
      <c r="J52" s="728">
        <v>0</v>
      </c>
      <c r="K52" s="728">
        <v>0</v>
      </c>
      <c r="L52" s="728">
        <v>0</v>
      </c>
      <c r="M52" s="728">
        <v>0</v>
      </c>
      <c r="N52" s="729">
        <f>SUM(B52:M52)</f>
        <v>5934.4030000000002</v>
      </c>
    </row>
    <row r="53" spans="1:14" ht="12.75" customHeight="1">
      <c r="A53" s="250"/>
      <c r="B53" s="251"/>
      <c r="C53" s="251"/>
      <c r="D53" s="251"/>
      <c r="E53" s="251"/>
      <c r="F53" s="251"/>
      <c r="G53" s="251"/>
      <c r="H53" s="251"/>
      <c r="I53" s="251"/>
      <c r="J53" s="251"/>
      <c r="K53" s="251"/>
      <c r="L53" s="251"/>
      <c r="M53" s="251"/>
      <c r="N53" s="252"/>
    </row>
    <row r="54" spans="1:14" ht="12.75" customHeight="1">
      <c r="A54" s="416" t="s">
        <v>81</v>
      </c>
      <c r="B54" s="251"/>
      <c r="C54" s="251"/>
      <c r="D54" s="251"/>
      <c r="E54" s="251"/>
      <c r="F54" s="251"/>
      <c r="G54" s="251"/>
      <c r="H54" s="251"/>
      <c r="I54" s="251"/>
      <c r="J54" s="251"/>
      <c r="K54" s="251"/>
      <c r="L54" s="251"/>
      <c r="M54" s="251"/>
      <c r="N54" s="252"/>
    </row>
    <row r="55" spans="1:14" s="223" customFormat="1" ht="14.5">
      <c r="A55" s="576" t="s">
        <v>301</v>
      </c>
      <c r="G55" s="222"/>
      <c r="H55" s="222"/>
      <c r="J55" s="276"/>
    </row>
    <row r="56" spans="1:14" s="223" customFormat="1" ht="16.5" customHeight="1">
      <c r="A56" s="577" t="s">
        <v>302</v>
      </c>
      <c r="G56" s="222"/>
      <c r="H56" s="222"/>
      <c r="J56" s="276"/>
    </row>
    <row r="57" spans="1:14" s="223" customFormat="1" ht="16.5" customHeight="1">
      <c r="A57" s="577" t="s">
        <v>306</v>
      </c>
      <c r="G57" s="222"/>
      <c r="H57" s="222"/>
      <c r="J57" s="276"/>
    </row>
    <row r="58" spans="1:14" s="449" customFormat="1" ht="15">
      <c r="A58" s="577" t="s">
        <v>310</v>
      </c>
      <c r="B58" s="577"/>
      <c r="C58" s="577"/>
      <c r="D58" s="577"/>
      <c r="J58" s="450"/>
    </row>
    <row r="59" spans="1:14" ht="14.5">
      <c r="A59" s="577" t="s">
        <v>319</v>
      </c>
      <c r="B59" s="130"/>
      <c r="C59" s="130"/>
      <c r="D59" s="130"/>
      <c r="E59" s="130"/>
      <c r="F59" s="130"/>
    </row>
    <row r="60" spans="1:14" s="213" customFormat="1" ht="14.5">
      <c r="A60" s="648" t="s">
        <v>320</v>
      </c>
      <c r="B60" s="197"/>
      <c r="C60" s="197"/>
      <c r="D60" s="197"/>
      <c r="E60" s="197"/>
      <c r="F60" s="197"/>
      <c r="J60" s="451"/>
    </row>
    <row r="61" spans="1:14" ht="14.5">
      <c r="A61" s="666" t="s">
        <v>345</v>
      </c>
    </row>
    <row r="62" spans="1:14" ht="14">
      <c r="A62" s="235" t="s">
        <v>64</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130" zoomScaleNormal="130" zoomScaleSheetLayoutView="75" workbookViewId="0">
      <selection activeCell="B55" sqref="B55"/>
    </sheetView>
  </sheetViews>
  <sheetFormatPr defaultColWidth="9.26953125" defaultRowHeight="12.5"/>
  <cols>
    <col min="1" max="1" width="39.453125" style="16" customWidth="1"/>
    <col min="2" max="13" width="11" style="16" customWidth="1"/>
    <col min="14" max="14" width="15.7265625" style="16" bestFit="1" customWidth="1"/>
    <col min="15" max="15" width="9.7265625" style="16" bestFit="1" customWidth="1"/>
    <col min="16" max="16" width="9.26953125" style="16"/>
    <col min="17" max="17" width="22.26953125" style="16" customWidth="1"/>
    <col min="18" max="16384" width="9.26953125" style="16"/>
  </cols>
  <sheetData>
    <row r="2" spans="1:14" ht="13">
      <c r="E2" s="148" t="s">
        <v>39</v>
      </c>
    </row>
    <row r="3" spans="1:14" ht="13">
      <c r="C3" s="160"/>
      <c r="D3" s="160"/>
      <c r="E3" s="161" t="s">
        <v>216</v>
      </c>
      <c r="F3" s="160"/>
      <c r="G3" s="160"/>
    </row>
    <row r="4" spans="1:14" ht="13">
      <c r="A4" s="22"/>
      <c r="D4" s="160"/>
      <c r="E4" s="151" t="str">
        <f>'Program MW '!H3</f>
        <v>June 2021</v>
      </c>
      <c r="F4" s="160"/>
    </row>
    <row r="5" spans="1:14" ht="13">
      <c r="A5" s="410"/>
      <c r="E5" s="151"/>
    </row>
    <row r="6" spans="1:14" ht="13.5" thickBot="1">
      <c r="A6" s="22"/>
      <c r="E6" s="151"/>
    </row>
    <row r="7" spans="1:14" ht="32.25" customHeight="1">
      <c r="A7" s="23" t="s">
        <v>190</v>
      </c>
      <c r="B7" s="24" t="s">
        <v>41</v>
      </c>
      <c r="C7" s="24" t="s">
        <v>42</v>
      </c>
      <c r="D7" s="24" t="s">
        <v>43</v>
      </c>
      <c r="E7" s="24" t="s">
        <v>44</v>
      </c>
      <c r="F7" s="24" t="s">
        <v>31</v>
      </c>
      <c r="G7" s="24" t="s">
        <v>45</v>
      </c>
      <c r="H7" s="24" t="s">
        <v>59</v>
      </c>
      <c r="I7" s="24" t="s">
        <v>66</v>
      </c>
      <c r="J7" s="24" t="s">
        <v>67</v>
      </c>
      <c r="K7" s="24" t="s">
        <v>61</v>
      </c>
      <c r="L7" s="24" t="s">
        <v>68</v>
      </c>
      <c r="M7" s="24" t="s">
        <v>62</v>
      </c>
      <c r="N7" s="452" t="s">
        <v>217</v>
      </c>
    </row>
    <row r="8" spans="1:14" ht="16.5">
      <c r="A8" s="25" t="s">
        <v>218</v>
      </c>
      <c r="N8" s="318"/>
    </row>
    <row r="9" spans="1:14" ht="6" customHeight="1">
      <c r="A9" s="26"/>
      <c r="N9" s="318"/>
    </row>
    <row r="10" spans="1:14" ht="13">
      <c r="A10" s="26" t="s">
        <v>192</v>
      </c>
      <c r="N10" s="318"/>
    </row>
    <row r="11" spans="1:14" ht="14.25" customHeight="1">
      <c r="A11" s="27" t="s">
        <v>219</v>
      </c>
      <c r="B11" s="595">
        <v>2.012</v>
      </c>
      <c r="C11" s="595">
        <v>2.2959999999999998</v>
      </c>
      <c r="D11" s="595">
        <v>3.0379999999999998</v>
      </c>
      <c r="E11" s="595">
        <v>4.9740000000000002</v>
      </c>
      <c r="F11" s="595">
        <v>4.1189999999999998</v>
      </c>
      <c r="G11" s="595">
        <v>6.5</v>
      </c>
      <c r="H11" s="595">
        <v>0</v>
      </c>
      <c r="I11" s="595">
        <v>0</v>
      </c>
      <c r="J11" s="595">
        <v>0</v>
      </c>
      <c r="K11" s="595">
        <v>0</v>
      </c>
      <c r="L11" s="595">
        <v>0</v>
      </c>
      <c r="M11" s="595">
        <v>0</v>
      </c>
      <c r="N11" s="591">
        <f>SUM(B11:M11)</f>
        <v>22.939</v>
      </c>
    </row>
    <row r="12" spans="1:14">
      <c r="A12" s="27" t="s">
        <v>93</v>
      </c>
      <c r="B12" s="595">
        <v>0</v>
      </c>
      <c r="C12" s="595">
        <v>0</v>
      </c>
      <c r="D12" s="595">
        <v>0</v>
      </c>
      <c r="E12" s="595">
        <v>0</v>
      </c>
      <c r="F12" s="595">
        <v>0</v>
      </c>
      <c r="G12" s="595">
        <v>0</v>
      </c>
      <c r="H12" s="595">
        <v>0</v>
      </c>
      <c r="I12" s="595">
        <v>0</v>
      </c>
      <c r="J12" s="595">
        <v>0</v>
      </c>
      <c r="K12" s="595">
        <v>0</v>
      </c>
      <c r="L12" s="595">
        <v>0</v>
      </c>
      <c r="M12" s="595">
        <v>0</v>
      </c>
      <c r="N12" s="591">
        <f>SUM(B12:M12)</f>
        <v>0</v>
      </c>
    </row>
    <row r="13" spans="1:14">
      <c r="A13" s="27" t="s">
        <v>220</v>
      </c>
      <c r="B13" s="595">
        <v>0</v>
      </c>
      <c r="C13" s="595">
        <v>0</v>
      </c>
      <c r="D13" s="595">
        <v>0</v>
      </c>
      <c r="E13" s="595">
        <v>0</v>
      </c>
      <c r="F13" s="595">
        <v>0</v>
      </c>
      <c r="G13" s="595">
        <v>0</v>
      </c>
      <c r="H13" s="595">
        <v>0</v>
      </c>
      <c r="I13" s="595">
        <v>0</v>
      </c>
      <c r="J13" s="595">
        <v>0</v>
      </c>
      <c r="K13" s="595">
        <v>0</v>
      </c>
      <c r="L13" s="595">
        <v>0</v>
      </c>
      <c r="M13" s="595">
        <v>0</v>
      </c>
      <c r="N13" s="591">
        <f>SUM(B13:M13)</f>
        <v>0</v>
      </c>
    </row>
    <row r="14" spans="1:14" ht="13">
      <c r="A14" s="20" t="s">
        <v>221</v>
      </c>
      <c r="B14" s="593">
        <f t="shared" ref="B14:M14" si="0">SUM(B11:B13)</f>
        <v>2.012</v>
      </c>
      <c r="C14" s="593">
        <f t="shared" si="0"/>
        <v>2.2959999999999998</v>
      </c>
      <c r="D14" s="593">
        <f t="shared" si="0"/>
        <v>3.0379999999999998</v>
      </c>
      <c r="E14" s="593">
        <f t="shared" si="0"/>
        <v>4.9740000000000002</v>
      </c>
      <c r="F14" s="593">
        <f t="shared" si="0"/>
        <v>4.1189999999999998</v>
      </c>
      <c r="G14" s="593">
        <f t="shared" si="0"/>
        <v>6.5</v>
      </c>
      <c r="H14" s="593">
        <f t="shared" si="0"/>
        <v>0</v>
      </c>
      <c r="I14" s="593">
        <f t="shared" si="0"/>
        <v>0</v>
      </c>
      <c r="J14" s="593">
        <f t="shared" si="0"/>
        <v>0</v>
      </c>
      <c r="K14" s="593">
        <f t="shared" si="0"/>
        <v>0</v>
      </c>
      <c r="L14" s="593">
        <f t="shared" si="0"/>
        <v>0</v>
      </c>
      <c r="M14" s="593">
        <f t="shared" si="0"/>
        <v>0</v>
      </c>
      <c r="N14" s="594">
        <f>SUM(B14:M14)</f>
        <v>22.939</v>
      </c>
    </row>
    <row r="15" spans="1:14">
      <c r="A15" s="27"/>
      <c r="B15" s="595"/>
      <c r="C15" s="595"/>
      <c r="D15" s="595"/>
      <c r="E15" s="595"/>
      <c r="F15" s="595"/>
      <c r="G15" s="595"/>
      <c r="H15" s="595"/>
      <c r="I15" s="595"/>
      <c r="J15" s="595"/>
      <c r="K15" s="595"/>
      <c r="L15" s="595"/>
      <c r="M15" s="595"/>
      <c r="N15" s="591"/>
    </row>
    <row r="16" spans="1:14" ht="13">
      <c r="A16" s="26" t="s">
        <v>222</v>
      </c>
      <c r="B16" s="595"/>
      <c r="C16" s="595"/>
      <c r="D16" s="595"/>
      <c r="E16" s="595"/>
      <c r="F16" s="595"/>
      <c r="G16" s="595"/>
      <c r="H16" s="595"/>
      <c r="I16" s="595"/>
      <c r="J16" s="595"/>
      <c r="K16" s="595"/>
      <c r="L16" s="595"/>
      <c r="M16" s="595"/>
      <c r="N16" s="591"/>
    </row>
    <row r="17" spans="1:19" ht="15">
      <c r="A17" s="27" t="s">
        <v>223</v>
      </c>
      <c r="B17" s="595">
        <v>0</v>
      </c>
      <c r="C17" s="595">
        <v>0</v>
      </c>
      <c r="D17" s="595">
        <v>0</v>
      </c>
      <c r="E17" s="595">
        <v>0</v>
      </c>
      <c r="F17" s="595">
        <v>0</v>
      </c>
      <c r="G17" s="595">
        <v>0</v>
      </c>
      <c r="H17" s="596">
        <v>0</v>
      </c>
      <c r="I17" s="596">
        <v>0</v>
      </c>
      <c r="J17" s="596">
        <v>0</v>
      </c>
      <c r="K17" s="596">
        <v>0</v>
      </c>
      <c r="L17" s="596">
        <v>0</v>
      </c>
      <c r="M17" s="596">
        <v>0</v>
      </c>
      <c r="N17" s="591">
        <f>SUM(B17:M17)</f>
        <v>0</v>
      </c>
    </row>
    <row r="18" spans="1:19" ht="13">
      <c r="A18" s="20" t="s">
        <v>224</v>
      </c>
      <c r="B18" s="593">
        <f t="shared" ref="B18:M18" si="1">SUM(B17:B17)</f>
        <v>0</v>
      </c>
      <c r="C18" s="593">
        <f t="shared" si="1"/>
        <v>0</v>
      </c>
      <c r="D18" s="593">
        <f t="shared" si="1"/>
        <v>0</v>
      </c>
      <c r="E18" s="593">
        <f t="shared" si="1"/>
        <v>0</v>
      </c>
      <c r="F18" s="593">
        <f t="shared" si="1"/>
        <v>0</v>
      </c>
      <c r="G18" s="593">
        <f t="shared" si="1"/>
        <v>0</v>
      </c>
      <c r="H18" s="593">
        <f t="shared" si="1"/>
        <v>0</v>
      </c>
      <c r="I18" s="593">
        <f t="shared" si="1"/>
        <v>0</v>
      </c>
      <c r="J18" s="593">
        <f t="shared" si="1"/>
        <v>0</v>
      </c>
      <c r="K18" s="593">
        <f t="shared" si="1"/>
        <v>0</v>
      </c>
      <c r="L18" s="593">
        <f t="shared" si="1"/>
        <v>0</v>
      </c>
      <c r="M18" s="593">
        <f t="shared" si="1"/>
        <v>0</v>
      </c>
      <c r="N18" s="594">
        <f>SUM(B18:M18)</f>
        <v>0</v>
      </c>
    </row>
    <row r="19" spans="1:19" ht="13">
      <c r="A19" s="29"/>
      <c r="B19" s="595"/>
      <c r="C19" s="595"/>
      <c r="D19" s="595"/>
      <c r="E19" s="595"/>
      <c r="F19" s="595"/>
      <c r="G19" s="595"/>
      <c r="H19" s="595"/>
      <c r="I19" s="595"/>
      <c r="J19" s="595"/>
      <c r="K19" s="595"/>
      <c r="L19" s="595"/>
      <c r="M19" s="595"/>
      <c r="N19" s="591"/>
    </row>
    <row r="20" spans="1:19" ht="13">
      <c r="A20" s="26" t="s">
        <v>225</v>
      </c>
      <c r="B20" s="595" t="s">
        <v>56</v>
      </c>
      <c r="C20" s="595" t="s">
        <v>56</v>
      </c>
      <c r="D20" s="595" t="s">
        <v>56</v>
      </c>
      <c r="E20" s="595"/>
      <c r="F20" s="595" t="s">
        <v>56</v>
      </c>
      <c r="G20" s="595"/>
      <c r="H20" s="595" t="s">
        <v>56</v>
      </c>
      <c r="I20" s="595" t="s">
        <v>56</v>
      </c>
      <c r="J20" s="595" t="s">
        <v>56</v>
      </c>
      <c r="K20" s="595" t="s">
        <v>56</v>
      </c>
      <c r="L20" s="595" t="s">
        <v>56</v>
      </c>
      <c r="M20" s="595" t="s">
        <v>56</v>
      </c>
      <c r="N20" s="591" t="s">
        <v>56</v>
      </c>
    </row>
    <row r="21" spans="1:19">
      <c r="A21" s="27" t="s">
        <v>226</v>
      </c>
      <c r="B21" s="595">
        <v>0</v>
      </c>
      <c r="C21" s="595">
        <v>0</v>
      </c>
      <c r="D21" s="595">
        <v>0</v>
      </c>
      <c r="E21" s="595">
        <v>0</v>
      </c>
      <c r="F21" s="595">
        <v>0</v>
      </c>
      <c r="G21" s="595">
        <v>0</v>
      </c>
      <c r="H21" s="596">
        <v>0</v>
      </c>
      <c r="I21" s="596">
        <v>0</v>
      </c>
      <c r="J21" s="596">
        <v>0</v>
      </c>
      <c r="K21" s="596">
        <v>0</v>
      </c>
      <c r="L21" s="596">
        <v>0</v>
      </c>
      <c r="M21" s="596">
        <v>0</v>
      </c>
      <c r="N21" s="591">
        <f>SUM(B21:M21)</f>
        <v>0</v>
      </c>
    </row>
    <row r="22" spans="1:19" ht="13">
      <c r="A22" s="207" t="s">
        <v>227</v>
      </c>
      <c r="B22" s="593">
        <f t="shared" ref="B22:M22" si="2">SUM(B21:B21)</f>
        <v>0</v>
      </c>
      <c r="C22" s="593">
        <f t="shared" si="2"/>
        <v>0</v>
      </c>
      <c r="D22" s="593">
        <f t="shared" si="2"/>
        <v>0</v>
      </c>
      <c r="E22" s="593">
        <f t="shared" si="2"/>
        <v>0</v>
      </c>
      <c r="F22" s="593">
        <f t="shared" si="2"/>
        <v>0</v>
      </c>
      <c r="G22" s="593">
        <f t="shared" si="2"/>
        <v>0</v>
      </c>
      <c r="H22" s="593">
        <f t="shared" si="2"/>
        <v>0</v>
      </c>
      <c r="I22" s="593">
        <f t="shared" si="2"/>
        <v>0</v>
      </c>
      <c r="J22" s="593">
        <f t="shared" si="2"/>
        <v>0</v>
      </c>
      <c r="K22" s="593">
        <f t="shared" si="2"/>
        <v>0</v>
      </c>
      <c r="L22" s="593">
        <f t="shared" si="2"/>
        <v>0</v>
      </c>
      <c r="M22" s="593">
        <f t="shared" si="2"/>
        <v>0</v>
      </c>
      <c r="N22" s="594">
        <f>SUM(B22:M22)</f>
        <v>0</v>
      </c>
    </row>
    <row r="23" spans="1:19" ht="13">
      <c r="A23" s="31"/>
      <c r="B23" s="595"/>
      <c r="C23" s="595"/>
      <c r="D23" s="595"/>
      <c r="E23" s="595"/>
      <c r="F23" s="595"/>
      <c r="G23" s="598"/>
      <c r="H23" s="595"/>
      <c r="I23" s="598"/>
      <c r="J23" s="595"/>
      <c r="K23" s="595"/>
      <c r="L23" s="598"/>
      <c r="M23" s="595"/>
      <c r="N23" s="591"/>
    </row>
    <row r="24" spans="1:19" ht="13">
      <c r="A24" s="32" t="s">
        <v>207</v>
      </c>
      <c r="B24" s="595"/>
      <c r="C24" s="595"/>
      <c r="D24" s="595"/>
      <c r="E24" s="595"/>
      <c r="F24" s="595"/>
      <c r="G24" s="595"/>
      <c r="H24" s="595"/>
      <c r="I24" s="595"/>
      <c r="J24" s="595"/>
      <c r="K24" s="595"/>
      <c r="L24" s="595"/>
      <c r="M24" s="595"/>
      <c r="N24" s="591"/>
    </row>
    <row r="25" spans="1:19">
      <c r="A25" s="27" t="s">
        <v>92</v>
      </c>
      <c r="B25" s="595">
        <v>0</v>
      </c>
      <c r="C25" s="595">
        <v>0</v>
      </c>
      <c r="D25" s="595">
        <v>0</v>
      </c>
      <c r="E25" s="595">
        <v>0</v>
      </c>
      <c r="F25" s="595">
        <v>0</v>
      </c>
      <c r="G25" s="595">
        <v>0</v>
      </c>
      <c r="H25" s="596">
        <v>0</v>
      </c>
      <c r="I25" s="596">
        <v>0</v>
      </c>
      <c r="J25" s="596">
        <v>0</v>
      </c>
      <c r="K25" s="596">
        <v>0</v>
      </c>
      <c r="L25" s="596">
        <v>0</v>
      </c>
      <c r="M25" s="596">
        <v>0</v>
      </c>
      <c r="N25" s="591">
        <f>SUM(B25:M25)</f>
        <v>0</v>
      </c>
    </row>
    <row r="26" spans="1:19">
      <c r="A26" s="27" t="s">
        <v>93</v>
      </c>
      <c r="B26" s="595">
        <v>0</v>
      </c>
      <c r="C26" s="595">
        <v>0</v>
      </c>
      <c r="D26" s="595">
        <v>0</v>
      </c>
      <c r="E26" s="595">
        <v>0</v>
      </c>
      <c r="F26" s="595">
        <v>0</v>
      </c>
      <c r="G26" s="595">
        <v>0</v>
      </c>
      <c r="H26" s="596">
        <v>0</v>
      </c>
      <c r="I26" s="596">
        <v>0</v>
      </c>
      <c r="J26" s="596">
        <v>0</v>
      </c>
      <c r="K26" s="596">
        <v>0</v>
      </c>
      <c r="L26" s="596">
        <v>0</v>
      </c>
      <c r="M26" s="596">
        <v>0</v>
      </c>
      <c r="N26" s="591">
        <f>SUM(B26:M26)</f>
        <v>0</v>
      </c>
    </row>
    <row r="27" spans="1:19">
      <c r="A27" s="27" t="s">
        <v>220</v>
      </c>
      <c r="B27" s="595">
        <v>0</v>
      </c>
      <c r="C27" s="595">
        <v>0</v>
      </c>
      <c r="D27" s="595">
        <v>0</v>
      </c>
      <c r="E27" s="595">
        <v>0</v>
      </c>
      <c r="F27" s="595">
        <v>0</v>
      </c>
      <c r="G27" s="595">
        <v>0</v>
      </c>
      <c r="H27" s="596">
        <v>0</v>
      </c>
      <c r="I27" s="596">
        <v>0</v>
      </c>
      <c r="J27" s="596">
        <v>0</v>
      </c>
      <c r="K27" s="596">
        <v>0</v>
      </c>
      <c r="L27" s="596">
        <v>0</v>
      </c>
      <c r="M27" s="599">
        <v>0</v>
      </c>
      <c r="N27" s="591">
        <f>SUM(B27:M27)</f>
        <v>0</v>
      </c>
    </row>
    <row r="28" spans="1:19" ht="13">
      <c r="A28" s="33" t="s">
        <v>213</v>
      </c>
      <c r="B28" s="593">
        <f t="shared" ref="B28:H28" si="3">SUM(B25:B27)</f>
        <v>0</v>
      </c>
      <c r="C28" s="593">
        <f t="shared" si="3"/>
        <v>0</v>
      </c>
      <c r="D28" s="593">
        <f t="shared" si="3"/>
        <v>0</v>
      </c>
      <c r="E28" s="593">
        <f t="shared" si="3"/>
        <v>0</v>
      </c>
      <c r="F28" s="593">
        <f t="shared" si="3"/>
        <v>0</v>
      </c>
      <c r="G28" s="593">
        <f t="shared" si="3"/>
        <v>0</v>
      </c>
      <c r="H28" s="593">
        <f t="shared" si="3"/>
        <v>0</v>
      </c>
      <c r="I28" s="593">
        <f>SUM(I24:I27)</f>
        <v>0</v>
      </c>
      <c r="J28" s="593">
        <f>SUM(J25:J27)</f>
        <v>0</v>
      </c>
      <c r="K28" s="593">
        <f>SUM(K25:K27)</f>
        <v>0</v>
      </c>
      <c r="L28" s="593">
        <f>SUM(L25:L27)</f>
        <v>0</v>
      </c>
      <c r="M28" s="593">
        <f>SUM(M25:M27)</f>
        <v>0</v>
      </c>
      <c r="N28" s="594">
        <f>SUM(B28:M28)</f>
        <v>0</v>
      </c>
      <c r="O28" s="28"/>
    </row>
    <row r="29" spans="1:19" ht="10.5" customHeight="1">
      <c r="A29" s="34"/>
      <c r="B29" s="598"/>
      <c r="C29" s="598"/>
      <c r="D29" s="598"/>
      <c r="E29" s="598"/>
      <c r="F29" s="598"/>
      <c r="G29" s="598"/>
      <c r="H29" s="598"/>
      <c r="I29" s="598"/>
      <c r="J29" s="598"/>
      <c r="K29" s="598"/>
      <c r="L29" s="598"/>
      <c r="M29" s="598"/>
      <c r="N29" s="601"/>
    </row>
    <row r="30" spans="1:19" ht="15" customHeight="1">
      <c r="A30" s="20" t="s">
        <v>228</v>
      </c>
      <c r="B30" s="603">
        <v>0</v>
      </c>
      <c r="C30" s="603">
        <v>0</v>
      </c>
      <c r="D30" s="603">
        <v>0</v>
      </c>
      <c r="E30" s="603">
        <v>0</v>
      </c>
      <c r="F30" s="603">
        <v>0</v>
      </c>
      <c r="G30" s="603">
        <v>0</v>
      </c>
      <c r="H30" s="603">
        <v>0</v>
      </c>
      <c r="I30" s="603">
        <v>0</v>
      </c>
      <c r="J30" s="593">
        <v>0</v>
      </c>
      <c r="K30" s="593">
        <v>0</v>
      </c>
      <c r="L30" s="603">
        <v>0</v>
      </c>
      <c r="M30" s="603">
        <v>0</v>
      </c>
      <c r="N30" s="604">
        <f>SUM(B30:M30)</f>
        <v>0</v>
      </c>
      <c r="O30" s="30"/>
      <c r="P30" s="30"/>
      <c r="Q30" s="30"/>
      <c r="R30" s="30"/>
      <c r="S30" s="35"/>
    </row>
    <row r="31" spans="1:19" ht="28.5" customHeight="1" thickBot="1">
      <c r="A31" s="21" t="s">
        <v>229</v>
      </c>
      <c r="B31" s="605">
        <f t="shared" ref="B31:M31" si="4">B14+B18+B22+B28+B30</f>
        <v>2.012</v>
      </c>
      <c r="C31" s="605">
        <f t="shared" si="4"/>
        <v>2.2959999999999998</v>
      </c>
      <c r="D31" s="605">
        <f t="shared" si="4"/>
        <v>3.0379999999999998</v>
      </c>
      <c r="E31" s="605">
        <f t="shared" si="4"/>
        <v>4.9740000000000002</v>
      </c>
      <c r="F31" s="605">
        <f t="shared" si="4"/>
        <v>4.1189999999999998</v>
      </c>
      <c r="G31" s="605">
        <f t="shared" si="4"/>
        <v>6.5</v>
      </c>
      <c r="H31" s="605">
        <f t="shared" si="4"/>
        <v>0</v>
      </c>
      <c r="I31" s="605">
        <f t="shared" si="4"/>
        <v>0</v>
      </c>
      <c r="J31" s="605">
        <f t="shared" si="4"/>
        <v>0</v>
      </c>
      <c r="K31" s="605">
        <f t="shared" si="4"/>
        <v>0</v>
      </c>
      <c r="L31" s="605">
        <f t="shared" si="4"/>
        <v>0</v>
      </c>
      <c r="M31" s="605">
        <f t="shared" si="4"/>
        <v>0</v>
      </c>
      <c r="N31" s="606">
        <f>SUM(B31:M31)</f>
        <v>22.939</v>
      </c>
      <c r="O31" s="28"/>
    </row>
    <row r="32" spans="1:19" ht="12" customHeight="1">
      <c r="A32" s="36"/>
      <c r="B32" s="37"/>
      <c r="C32" s="37"/>
      <c r="D32" s="236"/>
      <c r="E32" s="37"/>
      <c r="F32" s="37"/>
      <c r="G32" s="37"/>
      <c r="H32" s="37"/>
      <c r="I32" s="236"/>
      <c r="J32" s="236"/>
      <c r="K32" s="236"/>
      <c r="L32" s="236"/>
      <c r="M32" s="236"/>
      <c r="N32" s="37"/>
    </row>
    <row r="33" spans="1:14" ht="14">
      <c r="A33" s="439"/>
    </row>
    <row r="34" spans="1:14" ht="12" customHeight="1">
      <c r="A34" s="235" t="s">
        <v>64</v>
      </c>
      <c r="B34" s="28"/>
      <c r="C34" s="28"/>
      <c r="D34" s="28"/>
      <c r="E34" s="28"/>
      <c r="F34" s="28"/>
      <c r="G34" s="28"/>
      <c r="H34" s="28"/>
      <c r="I34" s="28"/>
      <c r="J34" s="28"/>
      <c r="K34" s="28"/>
      <c r="L34" s="28"/>
      <c r="M34" s="28"/>
      <c r="N34" s="28"/>
    </row>
    <row r="35" spans="1:14" ht="14.25" customHeight="1">
      <c r="A35" s="700"/>
      <c r="B35" s="700"/>
      <c r="C35" s="700"/>
      <c r="D35" s="700"/>
      <c r="E35" s="700"/>
      <c r="F35" s="700"/>
      <c r="G35" s="700"/>
      <c r="H35" s="700"/>
      <c r="I35" s="700"/>
      <c r="J35" s="700"/>
      <c r="K35" s="700"/>
      <c r="L35" s="700"/>
      <c r="M35" s="700"/>
      <c r="N35" s="700"/>
    </row>
    <row r="38" spans="1:14">
      <c r="H38" s="28"/>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46"/>
  <sheetViews>
    <sheetView showGridLines="0" zoomScaleNormal="100" zoomScaleSheetLayoutView="75" workbookViewId="0">
      <selection activeCell="N20" sqref="N20:N23"/>
    </sheetView>
  </sheetViews>
  <sheetFormatPr defaultColWidth="9.26953125" defaultRowHeight="12.5"/>
  <cols>
    <col min="1" max="1" width="55.26953125" style="16" customWidth="1"/>
    <col min="2" max="13" width="11.54296875" style="16" customWidth="1"/>
    <col min="14" max="14" width="15.7265625" style="16" bestFit="1" customWidth="1"/>
    <col min="15" max="15" width="9.7265625" style="16" bestFit="1" customWidth="1"/>
    <col min="16" max="16" width="22.7265625" style="16" bestFit="1" customWidth="1"/>
    <col min="17" max="17" width="22.26953125" style="16" customWidth="1"/>
    <col min="18" max="16384" width="9.26953125" style="16"/>
  </cols>
  <sheetData>
    <row r="1" spans="1:16" ht="14.5">
      <c r="A1" s="507"/>
    </row>
    <row r="3" spans="1:16" ht="13">
      <c r="E3" s="148" t="s">
        <v>39</v>
      </c>
    </row>
    <row r="4" spans="1:16" ht="13">
      <c r="C4" s="160"/>
      <c r="D4" s="160"/>
      <c r="E4" s="161" t="s">
        <v>230</v>
      </c>
      <c r="F4" s="160"/>
      <c r="G4" s="160"/>
    </row>
    <row r="5" spans="1:16" ht="13">
      <c r="D5" s="160"/>
      <c r="E5" s="151" t="str">
        <f>'Program MW '!H3</f>
        <v>June 2021</v>
      </c>
      <c r="F5" s="160"/>
    </row>
    <row r="6" spans="1:16" ht="13">
      <c r="E6" s="151"/>
    </row>
    <row r="7" spans="1:16" ht="13.5" thickBot="1">
      <c r="A7" s="22"/>
    </row>
    <row r="8" spans="1:16" ht="32.25" customHeight="1" thickBot="1">
      <c r="A8" s="358" t="s">
        <v>190</v>
      </c>
      <c r="B8" s="24" t="s">
        <v>41</v>
      </c>
      <c r="C8" s="24" t="s">
        <v>42</v>
      </c>
      <c r="D8" s="24" t="s">
        <v>43</v>
      </c>
      <c r="E8" s="24" t="s">
        <v>44</v>
      </c>
      <c r="F8" s="24" t="s">
        <v>31</v>
      </c>
      <c r="G8" s="24" t="s">
        <v>45</v>
      </c>
      <c r="H8" s="24" t="s">
        <v>59</v>
      </c>
      <c r="I8" s="24" t="s">
        <v>66</v>
      </c>
      <c r="J8" s="24" t="s">
        <v>67</v>
      </c>
      <c r="K8" s="24" t="s">
        <v>61</v>
      </c>
      <c r="L8" s="24" t="s">
        <v>68</v>
      </c>
      <c r="M8" s="24" t="s">
        <v>62</v>
      </c>
      <c r="N8" s="452" t="s">
        <v>217</v>
      </c>
    </row>
    <row r="9" spans="1:16" ht="26">
      <c r="A9" s="359" t="s">
        <v>231</v>
      </c>
      <c r="B9" s="442"/>
      <c r="C9" s="237"/>
      <c r="M9" s="357"/>
      <c r="N9" s="453"/>
      <c r="P9" s="357"/>
    </row>
    <row r="10" spans="1:16" ht="6" customHeight="1">
      <c r="A10" s="316"/>
      <c r="B10" s="442"/>
      <c r="C10" s="237"/>
      <c r="M10" s="357"/>
      <c r="N10" s="318"/>
    </row>
    <row r="11" spans="1:16" ht="13">
      <c r="A11" s="316" t="s">
        <v>192</v>
      </c>
      <c r="B11" s="442"/>
      <c r="C11" s="237"/>
      <c r="M11" s="357"/>
      <c r="N11" s="318"/>
    </row>
    <row r="12" spans="1:16" ht="13">
      <c r="A12" s="317" t="s">
        <v>273</v>
      </c>
      <c r="B12" s="590">
        <v>0</v>
      </c>
      <c r="C12" s="590">
        <v>0</v>
      </c>
      <c r="D12" s="590">
        <v>0</v>
      </c>
      <c r="E12" s="590">
        <v>0</v>
      </c>
      <c r="F12" s="590">
        <v>0</v>
      </c>
      <c r="G12" s="590">
        <v>210</v>
      </c>
      <c r="H12" s="590">
        <v>0</v>
      </c>
      <c r="I12" s="590">
        <v>0</v>
      </c>
      <c r="J12" s="590">
        <v>0</v>
      </c>
      <c r="K12" s="590">
        <v>0</v>
      </c>
      <c r="L12" s="590">
        <v>0</v>
      </c>
      <c r="M12" s="590">
        <v>0</v>
      </c>
      <c r="N12" s="591">
        <f t="shared" ref="N12:N17" si="0">SUM(B12:M12)</f>
        <v>210</v>
      </c>
    </row>
    <row r="13" spans="1:16" ht="15">
      <c r="A13" s="317" t="s">
        <v>232</v>
      </c>
      <c r="B13" s="590">
        <v>32.534999999999997</v>
      </c>
      <c r="C13" s="590">
        <v>51.664999999999999</v>
      </c>
      <c r="D13" s="590">
        <f>121.347-C13-B13</f>
        <v>37.146999999999991</v>
      </c>
      <c r="E13" s="590">
        <v>27.42</v>
      </c>
      <c r="F13" s="590">
        <v>29.666</v>
      </c>
      <c r="G13" s="590">
        <v>29.3</v>
      </c>
      <c r="H13" s="590">
        <v>0</v>
      </c>
      <c r="I13" s="590">
        <v>0</v>
      </c>
      <c r="J13" s="590">
        <v>0</v>
      </c>
      <c r="K13" s="590">
        <v>0</v>
      </c>
      <c r="L13" s="590">
        <v>0</v>
      </c>
      <c r="M13" s="590">
        <v>0</v>
      </c>
      <c r="N13" s="591">
        <f t="shared" si="0"/>
        <v>207.733</v>
      </c>
    </row>
    <row r="14" spans="1:16" ht="15">
      <c r="A14" s="317" t="s">
        <v>281</v>
      </c>
      <c r="B14" s="590">
        <v>-9.125</v>
      </c>
      <c r="C14" s="590">
        <v>3.0419999999999998</v>
      </c>
      <c r="D14" s="590">
        <v>0</v>
      </c>
      <c r="E14" s="590">
        <v>0</v>
      </c>
      <c r="F14" s="590">
        <v>0</v>
      </c>
      <c r="G14" s="590">
        <v>0</v>
      </c>
      <c r="H14" s="590">
        <v>0</v>
      </c>
      <c r="I14" s="590">
        <v>0</v>
      </c>
      <c r="J14" s="590">
        <v>0</v>
      </c>
      <c r="K14" s="590">
        <v>0</v>
      </c>
      <c r="L14" s="590">
        <v>0</v>
      </c>
      <c r="M14" s="590">
        <v>0</v>
      </c>
      <c r="N14" s="591">
        <f t="shared" si="0"/>
        <v>-6.0830000000000002</v>
      </c>
    </row>
    <row r="15" spans="1:16" ht="15">
      <c r="A15" s="317" t="s">
        <v>233</v>
      </c>
      <c r="B15" s="590">
        <v>0</v>
      </c>
      <c r="C15" s="590">
        <v>0</v>
      </c>
      <c r="D15" s="590">
        <v>0</v>
      </c>
      <c r="E15" s="590">
        <v>0</v>
      </c>
      <c r="F15" s="590">
        <v>0</v>
      </c>
      <c r="G15" s="590">
        <v>0</v>
      </c>
      <c r="H15" s="590">
        <v>0</v>
      </c>
      <c r="I15" s="590">
        <v>0</v>
      </c>
      <c r="J15" s="590">
        <v>0</v>
      </c>
      <c r="K15" s="590">
        <v>0</v>
      </c>
      <c r="L15" s="590">
        <v>0</v>
      </c>
      <c r="M15" s="590">
        <v>0</v>
      </c>
      <c r="N15" s="591">
        <f t="shared" si="0"/>
        <v>0</v>
      </c>
    </row>
    <row r="16" spans="1:16" ht="15">
      <c r="A16" s="360" t="s">
        <v>234</v>
      </c>
      <c r="B16" s="590">
        <v>1.7729999999999999</v>
      </c>
      <c r="C16" s="590">
        <v>0.46500000000000002</v>
      </c>
      <c r="D16" s="590">
        <f>3.243-C16-B16</f>
        <v>1.0050000000000001</v>
      </c>
      <c r="E16" s="590">
        <v>22.388000000000002</v>
      </c>
      <c r="F16" s="590">
        <v>13.225</v>
      </c>
      <c r="G16" s="590">
        <v>12.7</v>
      </c>
      <c r="H16" s="590">
        <v>0</v>
      </c>
      <c r="I16" s="590">
        <v>0</v>
      </c>
      <c r="J16" s="590">
        <v>0</v>
      </c>
      <c r="K16" s="590">
        <v>0</v>
      </c>
      <c r="L16" s="590">
        <v>0</v>
      </c>
      <c r="M16" s="590">
        <v>0</v>
      </c>
      <c r="N16" s="591">
        <f t="shared" si="0"/>
        <v>51.555999999999997</v>
      </c>
      <c r="O16" s="28"/>
    </row>
    <row r="17" spans="1:16" ht="13">
      <c r="A17" s="568" t="s">
        <v>221</v>
      </c>
      <c r="B17" s="592">
        <f t="shared" ref="B17:M17" si="1">SUM(B12:B16)</f>
        <v>25.182999999999996</v>
      </c>
      <c r="C17" s="593">
        <f t="shared" si="1"/>
        <v>55.172000000000004</v>
      </c>
      <c r="D17" s="593">
        <f t="shared" si="1"/>
        <v>38.151999999999994</v>
      </c>
      <c r="E17" s="593">
        <f t="shared" si="1"/>
        <v>49.808000000000007</v>
      </c>
      <c r="F17" s="593">
        <f t="shared" si="1"/>
        <v>42.890999999999998</v>
      </c>
      <c r="G17" s="593">
        <f t="shared" si="1"/>
        <v>252</v>
      </c>
      <c r="H17" s="593">
        <f t="shared" si="1"/>
        <v>0</v>
      </c>
      <c r="I17" s="593">
        <f t="shared" si="1"/>
        <v>0</v>
      </c>
      <c r="J17" s="593">
        <f t="shared" si="1"/>
        <v>0</v>
      </c>
      <c r="K17" s="593">
        <f t="shared" si="1"/>
        <v>0</v>
      </c>
      <c r="L17" s="593">
        <f t="shared" si="1"/>
        <v>0</v>
      </c>
      <c r="M17" s="593">
        <f t="shared" si="1"/>
        <v>0</v>
      </c>
      <c r="N17" s="594">
        <f t="shared" si="0"/>
        <v>463.20600000000002</v>
      </c>
    </row>
    <row r="18" spans="1:16">
      <c r="A18" s="318"/>
      <c r="B18" s="590"/>
      <c r="C18" s="595"/>
      <c r="D18" s="595"/>
      <c r="E18" s="595"/>
      <c r="F18" s="595"/>
      <c r="G18" s="595"/>
      <c r="H18" s="595"/>
      <c r="I18" s="595"/>
      <c r="J18" s="595" t="s">
        <v>56</v>
      </c>
      <c r="K18" s="595"/>
      <c r="L18" s="595"/>
      <c r="M18" s="590"/>
      <c r="N18" s="591"/>
      <c r="P18" s="353"/>
    </row>
    <row r="19" spans="1:16" ht="13">
      <c r="A19" s="316" t="s">
        <v>235</v>
      </c>
      <c r="B19" s="590"/>
      <c r="C19" s="595"/>
      <c r="D19" s="595"/>
      <c r="E19" s="595"/>
      <c r="F19" s="595"/>
      <c r="G19" s="595"/>
      <c r="H19" s="595"/>
      <c r="I19" s="595"/>
      <c r="J19" s="595"/>
      <c r="K19" s="595"/>
      <c r="L19" s="595"/>
      <c r="M19" s="590"/>
      <c r="N19" s="591"/>
      <c r="P19" s="353"/>
    </row>
    <row r="20" spans="1:16" ht="13">
      <c r="A20" s="317" t="s">
        <v>236</v>
      </c>
      <c r="B20" s="590">
        <v>43.359000000000002</v>
      </c>
      <c r="C20" s="595">
        <v>43.359000000000002</v>
      </c>
      <c r="D20" s="595">
        <v>43.359000000000002</v>
      </c>
      <c r="E20" s="595">
        <v>43.359000000000002</v>
      </c>
      <c r="F20" s="595">
        <v>43.347000000000001</v>
      </c>
      <c r="G20" s="595">
        <v>43.3</v>
      </c>
      <c r="H20" s="595">
        <v>0</v>
      </c>
      <c r="I20" s="595">
        <v>0</v>
      </c>
      <c r="J20" s="595">
        <v>0</v>
      </c>
      <c r="K20" s="595">
        <v>0</v>
      </c>
      <c r="L20" s="595">
        <v>0</v>
      </c>
      <c r="M20" s="590">
        <v>0</v>
      </c>
      <c r="N20" s="591">
        <f>SUM(B20:M20)</f>
        <v>260.08300000000003</v>
      </c>
      <c r="P20" s="353"/>
    </row>
    <row r="21" spans="1:16" ht="13">
      <c r="A21" s="317" t="s">
        <v>237</v>
      </c>
      <c r="B21" s="590">
        <v>18.228999999999999</v>
      </c>
      <c r="C21" s="595">
        <v>11.869</v>
      </c>
      <c r="D21" s="595">
        <v>21.67</v>
      </c>
      <c r="E21" s="595">
        <v>18.100000000000001</v>
      </c>
      <c r="F21" s="595">
        <v>18.010999999999999</v>
      </c>
      <c r="G21" s="595">
        <v>17.899999999999999</v>
      </c>
      <c r="H21" s="595">
        <v>0</v>
      </c>
      <c r="I21" s="595">
        <v>0</v>
      </c>
      <c r="J21" s="595">
        <v>0</v>
      </c>
      <c r="K21" s="595">
        <v>0</v>
      </c>
      <c r="L21" s="595">
        <v>0</v>
      </c>
      <c r="M21" s="590">
        <v>0</v>
      </c>
      <c r="N21" s="591">
        <f t="shared" ref="N21:N22" si="2">SUM(B21:M21)</f>
        <v>105.779</v>
      </c>
      <c r="P21" s="353"/>
    </row>
    <row r="22" spans="1:16" ht="13">
      <c r="A22" s="317" t="s">
        <v>238</v>
      </c>
      <c r="B22" s="590">
        <v>1.7729999999999999</v>
      </c>
      <c r="C22" s="595">
        <v>1.7729999999999999</v>
      </c>
      <c r="D22" s="595">
        <v>1.7729999999999999</v>
      </c>
      <c r="E22" s="595">
        <v>1.7729999999999999</v>
      </c>
      <c r="F22" s="595">
        <v>1.7729999999999999</v>
      </c>
      <c r="G22" s="595">
        <v>1.8</v>
      </c>
      <c r="H22" s="595">
        <v>0</v>
      </c>
      <c r="I22" s="595">
        <v>0</v>
      </c>
      <c r="J22" s="595">
        <v>0</v>
      </c>
      <c r="K22" s="595">
        <v>0</v>
      </c>
      <c r="L22" s="595">
        <v>0</v>
      </c>
      <c r="M22" s="590">
        <v>0</v>
      </c>
      <c r="N22" s="591">
        <f t="shared" si="2"/>
        <v>10.665000000000001</v>
      </c>
      <c r="P22" s="353"/>
    </row>
    <row r="23" spans="1:16" ht="13">
      <c r="A23" s="319" t="s">
        <v>239</v>
      </c>
      <c r="B23" s="590">
        <v>5.0369999999999999</v>
      </c>
      <c r="C23" s="595">
        <v>4.7649999999999997</v>
      </c>
      <c r="D23" s="595">
        <v>4.492</v>
      </c>
      <c r="E23" s="595">
        <v>4.2190000000000003</v>
      </c>
      <c r="F23" s="595">
        <v>3.9460000000000002</v>
      </c>
      <c r="G23" s="595">
        <v>3.7</v>
      </c>
      <c r="H23" s="595">
        <v>0</v>
      </c>
      <c r="I23" s="595">
        <v>0</v>
      </c>
      <c r="J23" s="595">
        <v>0</v>
      </c>
      <c r="K23" s="595">
        <v>0</v>
      </c>
      <c r="L23" s="595">
        <v>0</v>
      </c>
      <c r="M23" s="590">
        <v>0</v>
      </c>
      <c r="N23" s="591">
        <f>SUM(B23:M23)</f>
        <v>26.159000000000002</v>
      </c>
      <c r="P23" s="353"/>
    </row>
    <row r="24" spans="1:16" ht="13">
      <c r="A24" s="569" t="s">
        <v>224</v>
      </c>
      <c r="B24" s="592">
        <f>SUM(B20:B23)</f>
        <v>68.39800000000001</v>
      </c>
      <c r="C24" s="593">
        <f t="shared" ref="C24:M24" si="3">SUM(C20:C23)</f>
        <v>61.766000000000005</v>
      </c>
      <c r="D24" s="593">
        <f t="shared" si="3"/>
        <v>71.293999999999997</v>
      </c>
      <c r="E24" s="593">
        <f t="shared" si="3"/>
        <v>67.451000000000008</v>
      </c>
      <c r="F24" s="593">
        <f t="shared" si="3"/>
        <v>67.077000000000012</v>
      </c>
      <c r="G24" s="593">
        <f t="shared" si="3"/>
        <v>66.699999999999989</v>
      </c>
      <c r="H24" s="593">
        <f t="shared" si="3"/>
        <v>0</v>
      </c>
      <c r="I24" s="593">
        <f t="shared" si="3"/>
        <v>0</v>
      </c>
      <c r="J24" s="593">
        <f t="shared" si="3"/>
        <v>0</v>
      </c>
      <c r="K24" s="593">
        <f t="shared" si="3"/>
        <v>0</v>
      </c>
      <c r="L24" s="593">
        <f t="shared" si="3"/>
        <v>0</v>
      </c>
      <c r="M24" s="593">
        <f t="shared" si="3"/>
        <v>0</v>
      </c>
      <c r="N24" s="594">
        <f>SUM(B24:M24)</f>
        <v>402.68600000000004</v>
      </c>
      <c r="P24" s="353"/>
    </row>
    <row r="25" spans="1:16" ht="13">
      <c r="A25" s="319"/>
      <c r="B25" s="590"/>
      <c r="C25" s="595"/>
      <c r="D25" s="595"/>
      <c r="E25" s="595"/>
      <c r="F25" s="595"/>
      <c r="G25" s="595"/>
      <c r="H25" s="595"/>
      <c r="I25" s="595"/>
      <c r="J25" s="595"/>
      <c r="K25" s="595"/>
      <c r="L25" s="595"/>
      <c r="M25" s="590"/>
      <c r="N25" s="591"/>
      <c r="P25" s="353"/>
    </row>
    <row r="26" spans="1:16" ht="13">
      <c r="A26" s="316"/>
      <c r="B26" s="590" t="s">
        <v>56</v>
      </c>
      <c r="C26" s="595" t="s">
        <v>56</v>
      </c>
      <c r="D26" s="595" t="s">
        <v>56</v>
      </c>
      <c r="E26" s="595"/>
      <c r="F26" s="595" t="s">
        <v>56</v>
      </c>
      <c r="G26" s="595"/>
      <c r="H26" s="596" t="s">
        <v>56</v>
      </c>
      <c r="I26" s="596" t="s">
        <v>56</v>
      </c>
      <c r="J26" s="596" t="s">
        <v>56</v>
      </c>
      <c r="K26" s="596" t="s">
        <v>56</v>
      </c>
      <c r="L26" s="596" t="s">
        <v>56</v>
      </c>
      <c r="M26" s="597" t="s">
        <v>56</v>
      </c>
      <c r="N26" s="591" t="s">
        <v>56</v>
      </c>
      <c r="P26" s="353"/>
    </row>
    <row r="27" spans="1:16" ht="13">
      <c r="A27" s="316" t="s">
        <v>225</v>
      </c>
      <c r="B27" s="590">
        <v>0</v>
      </c>
      <c r="C27" s="595">
        <v>0</v>
      </c>
      <c r="D27" s="595">
        <v>0</v>
      </c>
      <c r="E27" s="595">
        <v>0</v>
      </c>
      <c r="F27" s="595">
        <v>0</v>
      </c>
      <c r="G27" s="595">
        <v>0</v>
      </c>
      <c r="H27" s="596">
        <v>0</v>
      </c>
      <c r="I27" s="596">
        <v>0</v>
      </c>
      <c r="J27" s="596">
        <v>0</v>
      </c>
      <c r="K27" s="596">
        <v>0</v>
      </c>
      <c r="L27" s="596">
        <v>0</v>
      </c>
      <c r="M27" s="597">
        <v>0</v>
      </c>
      <c r="N27" s="591">
        <f>SUM(B27:M27)</f>
        <v>0</v>
      </c>
      <c r="P27" s="353"/>
    </row>
    <row r="28" spans="1:16" ht="13">
      <c r="A28" s="570" t="s">
        <v>227</v>
      </c>
      <c r="B28" s="592">
        <f t="shared" ref="B28:H28" si="4">SUM(B27:B27)</f>
        <v>0</v>
      </c>
      <c r="C28" s="593">
        <f t="shared" si="4"/>
        <v>0</v>
      </c>
      <c r="D28" s="593">
        <f t="shared" si="4"/>
        <v>0</v>
      </c>
      <c r="E28" s="593">
        <f>SUM(E27:E27)</f>
        <v>0</v>
      </c>
      <c r="F28" s="593">
        <f t="shared" si="4"/>
        <v>0</v>
      </c>
      <c r="G28" s="593">
        <f t="shared" si="4"/>
        <v>0</v>
      </c>
      <c r="H28" s="593">
        <f t="shared" si="4"/>
        <v>0</v>
      </c>
      <c r="I28" s="593">
        <f>SUM(I27:I27)</f>
        <v>0</v>
      </c>
      <c r="J28" s="593">
        <f>SUM(J27:J27)</f>
        <v>0</v>
      </c>
      <c r="K28" s="593">
        <f>SUM(K27:K27)</f>
        <v>0</v>
      </c>
      <c r="L28" s="593">
        <f>SUM(L27:L27)</f>
        <v>0</v>
      </c>
      <c r="M28" s="593">
        <f>SUM(M27:M27)</f>
        <v>0</v>
      </c>
      <c r="N28" s="594">
        <f>SUM(B28:M28)</f>
        <v>0</v>
      </c>
      <c r="P28" s="353"/>
    </row>
    <row r="29" spans="1:16" ht="13">
      <c r="A29" s="320"/>
      <c r="B29" s="590"/>
      <c r="C29" s="595"/>
      <c r="D29" s="595"/>
      <c r="E29" s="595"/>
      <c r="F29" s="595"/>
      <c r="G29" s="598"/>
      <c r="H29" s="595"/>
      <c r="I29" s="598"/>
      <c r="J29" s="595"/>
      <c r="K29" s="595"/>
      <c r="L29" s="598"/>
      <c r="M29" s="590"/>
      <c r="N29" s="591"/>
    </row>
    <row r="30" spans="1:16" ht="13">
      <c r="A30" s="321"/>
      <c r="B30" s="590"/>
      <c r="C30" s="595"/>
      <c r="D30" s="595"/>
      <c r="E30" s="595"/>
      <c r="F30" s="595"/>
      <c r="G30" s="595"/>
      <c r="H30" s="595"/>
      <c r="I30" s="595"/>
      <c r="J30" s="595"/>
      <c r="K30" s="595"/>
      <c r="L30" s="595"/>
      <c r="M30" s="590"/>
      <c r="N30" s="591"/>
    </row>
    <row r="31" spans="1:16" ht="13">
      <c r="A31" s="321" t="s">
        <v>207</v>
      </c>
      <c r="B31" s="590">
        <v>0</v>
      </c>
      <c r="C31" s="595">
        <v>0</v>
      </c>
      <c r="D31" s="595">
        <v>0</v>
      </c>
      <c r="E31" s="595">
        <v>0</v>
      </c>
      <c r="F31" s="595">
        <v>0</v>
      </c>
      <c r="G31" s="595">
        <v>0</v>
      </c>
      <c r="H31" s="596">
        <v>0</v>
      </c>
      <c r="I31" s="596">
        <v>0</v>
      </c>
      <c r="J31" s="596">
        <v>0</v>
      </c>
      <c r="K31" s="596">
        <v>0</v>
      </c>
      <c r="L31" s="596">
        <v>0</v>
      </c>
      <c r="M31" s="597">
        <v>0</v>
      </c>
      <c r="N31" s="591">
        <f>SUM(B31:M31)</f>
        <v>0</v>
      </c>
    </row>
    <row r="32" spans="1:16">
      <c r="A32" s="318"/>
      <c r="B32" s="590"/>
      <c r="C32" s="595"/>
      <c r="D32" s="595"/>
      <c r="E32" s="595"/>
      <c r="F32" s="595"/>
      <c r="G32" s="595"/>
      <c r="H32" s="596"/>
      <c r="I32" s="596"/>
      <c r="J32" s="596"/>
      <c r="K32" s="596"/>
      <c r="L32" s="596"/>
      <c r="M32" s="599"/>
      <c r="N32" s="591" t="s">
        <v>56</v>
      </c>
    </row>
    <row r="33" spans="1:19" ht="13">
      <c r="A33" s="571" t="s">
        <v>213</v>
      </c>
      <c r="B33" s="592">
        <f t="shared" ref="B33:G33" si="5">SUM(B31:B32)</f>
        <v>0</v>
      </c>
      <c r="C33" s="593">
        <f t="shared" si="5"/>
        <v>0</v>
      </c>
      <c r="D33" s="593">
        <f t="shared" si="5"/>
        <v>0</v>
      </c>
      <c r="E33" s="593">
        <f t="shared" si="5"/>
        <v>0</v>
      </c>
      <c r="F33" s="593">
        <f t="shared" si="5"/>
        <v>0</v>
      </c>
      <c r="G33" s="593">
        <f t="shared" si="5"/>
        <v>0</v>
      </c>
      <c r="H33" s="593">
        <f>SUM(H30:H32)</f>
        <v>0</v>
      </c>
      <c r="I33" s="593">
        <f>SUM(I30:I32)</f>
        <v>0</v>
      </c>
      <c r="J33" s="593">
        <f>SUM(J31:J32)</f>
        <v>0</v>
      </c>
      <c r="K33" s="593">
        <f>SUM(K31:K32)</f>
        <v>0</v>
      </c>
      <c r="L33" s="593">
        <f>SUM(L31:L32)</f>
        <v>0</v>
      </c>
      <c r="M33" s="593">
        <f>SUM(M31:M32)</f>
        <v>0</v>
      </c>
      <c r="N33" s="594">
        <f>SUM(B33:M33)</f>
        <v>0</v>
      </c>
      <c r="O33" s="28"/>
    </row>
    <row r="34" spans="1:19" ht="10.5" customHeight="1">
      <c r="A34" s="572"/>
      <c r="B34" s="600"/>
      <c r="C34" s="598"/>
      <c r="D34" s="598"/>
      <c r="E34" s="598"/>
      <c r="F34" s="598"/>
      <c r="G34" s="598"/>
      <c r="H34" s="598"/>
      <c r="I34" s="598"/>
      <c r="J34" s="598"/>
      <c r="K34" s="598"/>
      <c r="L34" s="598"/>
      <c r="M34" s="598"/>
      <c r="N34" s="601"/>
    </row>
    <row r="35" spans="1:19" ht="15" customHeight="1">
      <c r="A35" s="569" t="s">
        <v>228</v>
      </c>
      <c r="B35" s="602">
        <v>0</v>
      </c>
      <c r="C35" s="603">
        <v>0</v>
      </c>
      <c r="D35" s="603">
        <v>0</v>
      </c>
      <c r="E35" s="603">
        <v>0</v>
      </c>
      <c r="F35" s="603">
        <v>0</v>
      </c>
      <c r="G35" s="603">
        <v>0</v>
      </c>
      <c r="H35" s="603">
        <v>0</v>
      </c>
      <c r="I35" s="603">
        <v>0</v>
      </c>
      <c r="J35" s="593">
        <v>0</v>
      </c>
      <c r="K35" s="593">
        <v>0</v>
      </c>
      <c r="L35" s="603">
        <v>0</v>
      </c>
      <c r="M35" s="603">
        <v>0</v>
      </c>
      <c r="N35" s="604">
        <f>SUM(B35:M35)</f>
        <v>0</v>
      </c>
      <c r="O35" s="30"/>
      <c r="P35" s="30"/>
      <c r="Q35" s="30"/>
      <c r="R35" s="30"/>
      <c r="S35" s="35"/>
    </row>
    <row r="36" spans="1:19" ht="15" customHeight="1" thickBot="1">
      <c r="A36" s="322" t="s">
        <v>240</v>
      </c>
      <c r="B36" s="605">
        <f t="shared" ref="B36:L36" si="6">B17+B24+B28+B33+B35</f>
        <v>93.581000000000003</v>
      </c>
      <c r="C36" s="605">
        <f t="shared" si="6"/>
        <v>116.93800000000002</v>
      </c>
      <c r="D36" s="605">
        <f t="shared" si="6"/>
        <v>109.446</v>
      </c>
      <c r="E36" s="605">
        <f t="shared" si="6"/>
        <v>117.25900000000001</v>
      </c>
      <c r="F36" s="605">
        <f t="shared" si="6"/>
        <v>109.96800000000002</v>
      </c>
      <c r="G36" s="605">
        <f t="shared" si="6"/>
        <v>318.7</v>
      </c>
      <c r="H36" s="605">
        <f>H17+H24+H28+H33+H35</f>
        <v>0</v>
      </c>
      <c r="I36" s="605">
        <f t="shared" si="6"/>
        <v>0</v>
      </c>
      <c r="J36" s="605">
        <f t="shared" si="6"/>
        <v>0</v>
      </c>
      <c r="K36" s="605">
        <f t="shared" si="6"/>
        <v>0</v>
      </c>
      <c r="L36" s="605">
        <f t="shared" si="6"/>
        <v>0</v>
      </c>
      <c r="M36" s="605">
        <f>M17+M24+M28+M33+M35</f>
        <v>0</v>
      </c>
      <c r="N36" s="606">
        <f>SUM(B36:M36)</f>
        <v>865.89200000000005</v>
      </c>
      <c r="O36" s="30"/>
      <c r="P36" s="30"/>
      <c r="Q36" s="30"/>
      <c r="R36" s="30"/>
      <c r="S36" s="35"/>
    </row>
    <row r="37" spans="1:19" s="160" customFormat="1" ht="26.25" customHeight="1" thickBot="1">
      <c r="A37" s="545" t="s">
        <v>241</v>
      </c>
      <c r="B37" s="607">
        <f>B36+0.05</f>
        <v>93.631</v>
      </c>
      <c r="C37" s="608">
        <f>C36+0.013</f>
        <v>116.95100000000002</v>
      </c>
      <c r="D37" s="608">
        <f>D36+0.018</f>
        <v>109.464</v>
      </c>
      <c r="E37" s="608">
        <f>E36+0.025</f>
        <v>117.28400000000002</v>
      </c>
      <c r="F37" s="608">
        <f>F36+0.025</f>
        <v>109.99300000000002</v>
      </c>
      <c r="G37" s="608">
        <f>G36+0.029</f>
        <v>318.72899999999998</v>
      </c>
      <c r="H37" s="608">
        <v>0</v>
      </c>
      <c r="I37" s="608">
        <v>0</v>
      </c>
      <c r="J37" s="608">
        <v>0</v>
      </c>
      <c r="K37" s="608">
        <v>0</v>
      </c>
      <c r="L37" s="608">
        <v>0</v>
      </c>
      <c r="M37" s="608">
        <v>0</v>
      </c>
      <c r="N37" s="609">
        <f>SUM(B37:M37)</f>
        <v>866.05200000000013</v>
      </c>
      <c r="O37" s="546"/>
    </row>
    <row r="38" spans="1:19" ht="13">
      <c r="A38" s="36"/>
      <c r="B38" s="37"/>
      <c r="C38" s="37"/>
      <c r="D38" s="37"/>
      <c r="E38" s="37"/>
      <c r="F38" s="37"/>
      <c r="G38" s="37"/>
      <c r="H38" s="37"/>
      <c r="I38" s="37"/>
      <c r="J38" s="37"/>
      <c r="K38" s="37"/>
      <c r="L38" s="37"/>
      <c r="M38" s="37"/>
      <c r="N38" s="37"/>
    </row>
    <row r="39" spans="1:19" ht="14">
      <c r="A39" s="418" t="s">
        <v>63</v>
      </c>
      <c r="B39" s="417"/>
      <c r="C39" s="417"/>
      <c r="D39" s="417"/>
      <c r="E39" s="417"/>
      <c r="F39" s="417"/>
      <c r="G39" s="417"/>
      <c r="H39" s="417"/>
      <c r="I39" s="417"/>
      <c r="J39" s="417"/>
      <c r="K39" s="417"/>
      <c r="L39" s="417"/>
      <c r="M39" s="417"/>
      <c r="N39" s="417"/>
    </row>
    <row r="40" spans="1:19" ht="16.5">
      <c r="A40" s="539" t="s">
        <v>274</v>
      </c>
      <c r="B40" s="540"/>
      <c r="C40" s="540"/>
      <c r="D40" s="540"/>
      <c r="E40" s="540"/>
      <c r="F40" s="540"/>
      <c r="G40" s="540"/>
      <c r="H40" s="540"/>
      <c r="I40" s="540"/>
      <c r="J40" s="540"/>
      <c r="K40" s="540"/>
      <c r="L40" s="540"/>
      <c r="M40" s="540"/>
      <c r="N40" s="540"/>
    </row>
    <row r="41" spans="1:19" ht="15" customHeight="1">
      <c r="A41" s="701" t="s">
        <v>275</v>
      </c>
      <c r="B41" s="701"/>
      <c r="C41" s="701"/>
      <c r="D41" s="701"/>
      <c r="E41" s="701"/>
      <c r="F41" s="701"/>
      <c r="G41" s="701"/>
      <c r="H41" s="701"/>
      <c r="I41" s="701"/>
      <c r="J41" s="701"/>
      <c r="K41" s="701"/>
      <c r="L41" s="701"/>
      <c r="M41" s="701"/>
      <c r="N41" s="701"/>
    </row>
    <row r="42" spans="1:19" ht="15" customHeight="1">
      <c r="A42" s="541" t="s">
        <v>276</v>
      </c>
      <c r="B42" s="542"/>
      <c r="C42" s="542"/>
      <c r="D42" s="542"/>
      <c r="E42" s="542"/>
      <c r="F42" s="542"/>
      <c r="G42" s="542"/>
      <c r="H42" s="542"/>
      <c r="I42" s="542"/>
      <c r="J42" s="542"/>
      <c r="K42" s="542"/>
      <c r="L42" s="542"/>
      <c r="M42" s="542"/>
      <c r="N42" s="542"/>
    </row>
    <row r="43" spans="1:19" ht="15" customHeight="1">
      <c r="A43" s="543" t="s">
        <v>282</v>
      </c>
      <c r="B43" s="542"/>
      <c r="C43" s="542"/>
      <c r="D43" s="542"/>
      <c r="E43" s="542"/>
      <c r="F43" s="542"/>
      <c r="G43" s="542"/>
      <c r="H43" s="542"/>
      <c r="I43" s="542"/>
      <c r="J43" s="542"/>
      <c r="K43" s="542"/>
      <c r="L43" s="542"/>
      <c r="M43" s="542"/>
      <c r="N43" s="542"/>
    </row>
    <row r="44" spans="1:19" ht="15" customHeight="1">
      <c r="A44" s="510"/>
      <c r="B44" s="509"/>
      <c r="C44" s="509"/>
      <c r="D44" s="509"/>
      <c r="E44" s="509"/>
      <c r="F44" s="509"/>
      <c r="G44" s="509"/>
      <c r="H44" s="509"/>
      <c r="I44" s="509"/>
      <c r="J44" s="509"/>
      <c r="K44" s="509"/>
      <c r="L44" s="509"/>
      <c r="M44" s="509"/>
      <c r="N44" s="509"/>
    </row>
    <row r="45" spans="1:19" ht="14.5">
      <c r="A45" s="235" t="s">
        <v>64</v>
      </c>
      <c r="E45" s="123"/>
    </row>
    <row r="46" spans="1:19">
      <c r="H46" s="28"/>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8"/>
  <sheetViews>
    <sheetView showGridLines="0" showRuler="0" zoomScaleNormal="100" zoomScaleSheetLayoutView="80" workbookViewId="0">
      <selection activeCell="E22" sqref="E22"/>
    </sheetView>
  </sheetViews>
  <sheetFormatPr defaultColWidth="9.2695312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26953125" style="10" customWidth="1"/>
    <col min="7" max="7" width="9.7265625" style="10" bestFit="1" customWidth="1"/>
    <col min="8" max="8" width="11.453125" style="10" customWidth="1"/>
    <col min="9" max="9" width="11.54296875" style="10" bestFit="1" customWidth="1"/>
    <col min="10" max="10" width="10.7265625" style="10" customWidth="1"/>
    <col min="11" max="14" width="12.54296875" style="10" customWidth="1"/>
    <col min="15" max="15" width="12.453125" style="10" customWidth="1"/>
    <col min="16" max="16" width="12.54296875" style="10" customWidth="1"/>
    <col min="17" max="17" width="10.7265625" style="10" customWidth="1"/>
    <col min="18" max="18" width="11" style="10" customWidth="1"/>
    <col min="19" max="19" width="11.26953125" style="10" customWidth="1"/>
    <col min="20" max="20" width="14.26953125" style="10" hidden="1" customWidth="1"/>
    <col min="21" max="21" width="9.7265625" style="10" customWidth="1"/>
    <col min="22" max="22" width="11.453125" style="10" customWidth="1"/>
    <col min="23" max="23" width="11" style="10" customWidth="1"/>
    <col min="24" max="25" width="9.7265625" style="10" customWidth="1"/>
    <col min="26" max="26" width="12.7265625" style="10" customWidth="1"/>
    <col min="27" max="27" width="8.7265625" style="10" bestFit="1" customWidth="1"/>
    <col min="28" max="28" width="10.54296875" style="10" customWidth="1"/>
    <col min="29" max="29" width="9.7265625" style="10" bestFit="1" customWidth="1"/>
    <col min="30" max="30" width="11.26953125" style="10" customWidth="1"/>
    <col min="31" max="31" width="9.7265625" style="10" bestFit="1" customWidth="1"/>
    <col min="32" max="32" width="10.7265625" style="10" customWidth="1"/>
    <col min="33" max="33" width="12.26953125" style="10" bestFit="1" customWidth="1"/>
    <col min="34" max="34" width="12.26953125" style="10" customWidth="1"/>
    <col min="35" max="35" width="9.54296875" style="10" bestFit="1" customWidth="1"/>
    <col min="36" max="36" width="11.26953125" style="10" customWidth="1"/>
    <col min="37" max="37" width="11.7265625" style="10" bestFit="1" customWidth="1"/>
    <col min="38" max="38" width="11.7265625" style="10" customWidth="1"/>
    <col min="39" max="16384" width="9.26953125" style="10"/>
  </cols>
  <sheetData>
    <row r="1" spans="1:31" ht="13">
      <c r="H1" s="148" t="s">
        <v>39</v>
      </c>
    </row>
    <row r="2" spans="1:31" ht="13">
      <c r="H2" s="148" t="s">
        <v>40</v>
      </c>
      <c r="Q2" s="12"/>
      <c r="R2" s="86"/>
    </row>
    <row r="3" spans="1:31" ht="13">
      <c r="C3" s="152"/>
      <c r="E3" s="152"/>
      <c r="G3" s="152"/>
      <c r="H3" s="151" t="s">
        <v>321</v>
      </c>
      <c r="I3" s="152"/>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87"/>
    </row>
    <row r="6" spans="1:31" ht="13">
      <c r="A6" s="88"/>
      <c r="B6" s="89"/>
      <c r="C6" s="422" t="s">
        <v>41</v>
      </c>
      <c r="D6" s="89"/>
      <c r="E6" s="89"/>
      <c r="F6" s="89" t="s">
        <v>42</v>
      </c>
      <c r="G6" s="89"/>
      <c r="H6" s="89"/>
      <c r="I6" s="89" t="s">
        <v>43</v>
      </c>
      <c r="J6" s="89"/>
      <c r="K6" s="89"/>
      <c r="L6" s="89" t="s">
        <v>44</v>
      </c>
      <c r="M6" s="89"/>
      <c r="N6" s="89"/>
      <c r="O6" s="89" t="s">
        <v>31</v>
      </c>
      <c r="P6" s="89"/>
      <c r="Q6" s="89"/>
      <c r="R6" s="89" t="s">
        <v>45</v>
      </c>
      <c r="S6" s="89"/>
      <c r="T6" s="175"/>
    </row>
    <row r="7" spans="1:31" ht="42.5">
      <c r="A7" s="176" t="s">
        <v>46</v>
      </c>
      <c r="B7" s="195" t="s">
        <v>47</v>
      </c>
      <c r="C7" s="178" t="s">
        <v>48</v>
      </c>
      <c r="D7" s="168" t="s">
        <v>49</v>
      </c>
      <c r="E7" s="177" t="s">
        <v>47</v>
      </c>
      <c r="F7" s="178" t="s">
        <v>48</v>
      </c>
      <c r="G7" s="168" t="s">
        <v>49</v>
      </c>
      <c r="H7" s="177" t="s">
        <v>47</v>
      </c>
      <c r="I7" s="178" t="s">
        <v>48</v>
      </c>
      <c r="J7" s="168" t="s">
        <v>49</v>
      </c>
      <c r="K7" s="177" t="s">
        <v>47</v>
      </c>
      <c r="L7" s="178" t="s">
        <v>48</v>
      </c>
      <c r="M7" s="168" t="s">
        <v>49</v>
      </c>
      <c r="N7" s="177" t="s">
        <v>47</v>
      </c>
      <c r="O7" s="178" t="s">
        <v>48</v>
      </c>
      <c r="P7" s="168" t="s">
        <v>49</v>
      </c>
      <c r="Q7" s="177" t="s">
        <v>47</v>
      </c>
      <c r="R7" s="178" t="s">
        <v>48</v>
      </c>
      <c r="S7" s="168" t="s">
        <v>49</v>
      </c>
      <c r="T7" s="168" t="s">
        <v>50</v>
      </c>
    </row>
    <row r="8" spans="1:31" ht="13">
      <c r="A8" s="162" t="s">
        <v>51</v>
      </c>
      <c r="B8" s="179"/>
      <c r="C8" s="179"/>
      <c r="D8" s="180"/>
      <c r="E8" s="181"/>
      <c r="F8" s="179"/>
      <c r="G8" s="180"/>
      <c r="H8" s="181"/>
      <c r="I8" s="179"/>
      <c r="J8" s="179"/>
      <c r="K8" s="181"/>
      <c r="L8" s="179"/>
      <c r="M8" s="182"/>
      <c r="N8" s="181"/>
      <c r="O8" s="179"/>
      <c r="P8" s="182"/>
      <c r="Q8" s="181"/>
      <c r="R8" s="179"/>
      <c r="S8" s="182"/>
      <c r="T8" s="183"/>
    </row>
    <row r="9" spans="1:31">
      <c r="A9" s="85" t="s">
        <v>8</v>
      </c>
      <c r="B9" s="102">
        <v>4</v>
      </c>
      <c r="C9" s="330">
        <f>B9*(INDEX('Ex ante LI &amp; Eligibility Stats'!$A:$M,MATCH('Program MW '!$A9,'Ex ante LI &amp; Eligibility Stats'!$A:$A,0),MATCH('Program MW '!C$6,'Ex ante LI &amp; Eligibility Stats'!$A$8:$M$8,0))/1000)</f>
        <v>0.591757080078125</v>
      </c>
      <c r="D9" s="326">
        <f>B9*(INDEX('Ex post LI &amp; Eligibility Stats'!$A:$N,MATCH($A9,'Ex post LI &amp; Eligibility Stats'!$A:$A,0),MATCH('Program MW '!C$6,'Ex post LI &amp; Eligibility Stats'!$A$8:$N$8,0))/1000)</f>
        <v>0.42431999999999997</v>
      </c>
      <c r="E9" s="14">
        <v>4</v>
      </c>
      <c r="F9" s="326">
        <f>E9*(INDEX('Ex ante LI &amp; Eligibility Stats'!$A:$M,MATCH('Program MW '!$A9,'Ex ante LI &amp; Eligibility Stats'!$A:$A,0),MATCH('Program MW '!F$6,'Ex ante LI &amp; Eligibility Stats'!$A$8:$M$8,0))/1000)</f>
        <v>0.49343344116210935</v>
      </c>
      <c r="G9" s="326">
        <f>E9*(INDEX('Ex post LI &amp; Eligibility Stats'!$A:$N,MATCH($A9,'Ex post LI &amp; Eligibility Stats'!$A:$A,0),MATCH('Program MW '!F$6,'Ex post LI &amp; Eligibility Stats'!$A$8:$N$8,0))/1000)</f>
        <v>0.42431999999999997</v>
      </c>
      <c r="H9" s="14">
        <v>4</v>
      </c>
      <c r="I9" s="326">
        <f>H9*(INDEX('Ex ante LI &amp; Eligibility Stats'!$A:$M,MATCH('Program MW '!$A9,'Ex ante LI &amp; Eligibility Stats'!$A:$A,0),MATCH('Program MW '!I$6,'Ex ante LI &amp; Eligibility Stats'!$A$8:$M$8,0))/1000)</f>
        <v>0.61670471191406251</v>
      </c>
      <c r="J9" s="326">
        <f>H9*(INDEX('Ex post LI &amp; Eligibility Stats'!$A:$N,MATCH($A9,'Ex post LI &amp; Eligibility Stats'!$A:$A,0),MATCH('Program MW '!I$6,'Ex post LI &amp; Eligibility Stats'!$A$8:$N$8,0))/1000)</f>
        <v>0.42399999999999999</v>
      </c>
      <c r="K9" s="14">
        <v>4</v>
      </c>
      <c r="L9" s="326">
        <f>K9*(INDEX('Ex ante LI &amp; Eligibility Stats'!$A:$M,MATCH('Program MW '!$A9,'Ex ante LI &amp; Eligibility Stats'!$A:$A,0),MATCH('Program MW '!L$6,'Ex ante LI &amp; Eligibility Stats'!$A$8:$M$8,0))/1000)</f>
        <v>0.56545135498046872</v>
      </c>
      <c r="M9" s="326">
        <f>K9*(INDEX('Ex post LI &amp; Eligibility Stats'!$A:$N,MATCH($A9,'Ex post LI &amp; Eligibility Stats'!$A:$A,0),MATCH('Program MW '!L$6,'Ex post LI &amp; Eligibility Stats'!$A$8:$N$8,0))/1000)</f>
        <v>0.42399999999999999</v>
      </c>
      <c r="N9" s="14">
        <v>4</v>
      </c>
      <c r="O9" s="326">
        <f>N9*(INDEX('Ex ante LI &amp; Eligibility Stats'!$A:$M,MATCH('Program MW '!$A9,'Ex ante LI &amp; Eligibility Stats'!$A:$A,0),MATCH('Program MW '!O$6,'Ex ante LI &amp; Eligibility Stats'!$A$8:$M$8,0))/1000)</f>
        <v>0.54920104980468754</v>
      </c>
      <c r="P9" s="326">
        <f>N9*(INDEX('Ex post LI &amp; Eligibility Stats'!$A:$N,MATCH($A9,'Ex post LI &amp; Eligibility Stats'!$A:$A,0),MATCH('Program MW '!O$6,'Ex post LI &amp; Eligibility Stats'!$A$8:$N$8,0))/1000)</f>
        <v>0.42399999999999999</v>
      </c>
      <c r="Q9" s="124">
        <v>1</v>
      </c>
      <c r="R9" s="326">
        <f>Q9*(INDEX('Ex ante LI &amp; Eligibility Stats'!$A:$M,MATCH('Program MW '!$A9,'Ex ante LI &amp; Eligibility Stats'!$A:$A,0),MATCH('Program MW '!R$6,'Ex ante LI &amp; Eligibility Stats'!$A$8:$M$8,0))/1000)</f>
        <v>0.16708448791503908</v>
      </c>
      <c r="S9" s="326">
        <f>Q9*(INDEX('Ex post LI &amp; Eligibility Stats'!$A:$N,MATCH($A9,'Ex post LI &amp; Eligibility Stats'!$A:$A,0),MATCH('Program MW '!R$6,'Ex post LI &amp; Eligibility Stats'!$A$8:$N$8,0))/1000)</f>
        <v>0.106</v>
      </c>
      <c r="T9" s="4">
        <v>5276</v>
      </c>
    </row>
    <row r="10" spans="1:31" ht="13.5" thickBot="1">
      <c r="A10" s="184" t="s">
        <v>52</v>
      </c>
      <c r="B10" s="154">
        <f t="shared" ref="B10:Q10" si="0">SUM(B9:B9)</f>
        <v>4</v>
      </c>
      <c r="C10" s="170">
        <f t="shared" si="0"/>
        <v>0.591757080078125</v>
      </c>
      <c r="D10" s="170">
        <f t="shared" si="0"/>
        <v>0.42431999999999997</v>
      </c>
      <c r="E10" s="1">
        <f t="shared" si="0"/>
        <v>4</v>
      </c>
      <c r="F10" s="226">
        <f t="shared" si="0"/>
        <v>0.49343344116210935</v>
      </c>
      <c r="G10" s="226">
        <f t="shared" si="0"/>
        <v>0.42431999999999997</v>
      </c>
      <c r="H10" s="1">
        <f t="shared" si="0"/>
        <v>4</v>
      </c>
      <c r="I10" s="226">
        <f t="shared" si="0"/>
        <v>0.61670471191406251</v>
      </c>
      <c r="J10" s="226">
        <f t="shared" si="0"/>
        <v>0.42399999999999999</v>
      </c>
      <c r="K10" s="1">
        <f>SUM(K9)</f>
        <v>4</v>
      </c>
      <c r="L10" s="226">
        <f t="shared" ref="L10:M10" si="1">SUM(L9:L9)</f>
        <v>0.56545135498046872</v>
      </c>
      <c r="M10" s="226">
        <f t="shared" si="1"/>
        <v>0.42399999999999999</v>
      </c>
      <c r="N10" s="1">
        <f t="shared" si="0"/>
        <v>4</v>
      </c>
      <c r="O10" s="226">
        <f t="shared" si="0"/>
        <v>0.54920104980468754</v>
      </c>
      <c r="P10" s="226">
        <f t="shared" si="0"/>
        <v>0.42399999999999999</v>
      </c>
      <c r="Q10" s="125">
        <f t="shared" si="0"/>
        <v>1</v>
      </c>
      <c r="R10" s="226">
        <f t="shared" ref="R10:S10" si="2">SUM(R9:R9)</f>
        <v>0.16708448791503908</v>
      </c>
      <c r="S10" s="226">
        <f t="shared" si="2"/>
        <v>0.106</v>
      </c>
      <c r="T10" s="5"/>
    </row>
    <row r="11" spans="1:31" ht="13.5" thickTop="1">
      <c r="A11" s="162" t="s">
        <v>53</v>
      </c>
      <c r="B11" s="171"/>
      <c r="C11" s="169"/>
      <c r="D11" s="172"/>
      <c r="E11" s="185"/>
      <c r="F11" s="186"/>
      <c r="G11" s="187"/>
      <c r="H11" s="185"/>
      <c r="I11" s="188"/>
      <c r="J11" s="187"/>
      <c r="K11" s="185"/>
      <c r="L11" s="188"/>
      <c r="M11" s="187"/>
      <c r="N11" s="185"/>
      <c r="O11" s="331"/>
      <c r="P11" s="332"/>
      <c r="Q11" s="189"/>
      <c r="R11" s="188"/>
      <c r="S11" s="190"/>
      <c r="T11" s="183"/>
      <c r="Y11" s="6"/>
      <c r="Z11" s="6"/>
      <c r="AA11" s="6"/>
      <c r="AB11" s="6"/>
      <c r="AC11" s="6"/>
      <c r="AD11" s="6"/>
      <c r="AE11" s="6"/>
    </row>
    <row r="12" spans="1:31">
      <c r="A12" s="42" t="s">
        <v>11</v>
      </c>
      <c r="B12" s="158">
        <v>14093</v>
      </c>
      <c r="C12" s="326">
        <f>B12*(INDEX('Ex ante LI &amp; Eligibility Stats'!$A:$M,MATCH($A12,'Ex ante LI &amp; Eligibility Stats'!$A:$A,0),MATCH('Program MW '!C$6,'Ex ante LI &amp; Eligibility Stats'!$A$8:$M$8,0))/1000)</f>
        <v>1.9730200000000002</v>
      </c>
      <c r="D12" s="325">
        <f>B12*(INDEX('Ex post LI &amp; Eligibility Stats'!$A:$N,MATCH($A12,'Ex post LI &amp; Eligibility Stats'!$A:$A,0),MATCH('Program MW '!C$6,'Ex post LI &amp; Eligibility Stats'!$A$8:$N$8,0))/1000)</f>
        <v>5.6372</v>
      </c>
      <c r="E12" s="158">
        <v>14068</v>
      </c>
      <c r="F12" s="324">
        <f>E12*(INDEX('Ex ante LI &amp; Eligibility Stats'!$A:$M,MATCH($A12,'Ex ante LI &amp; Eligibility Stats'!$A:$A,0),MATCH('Program MW '!F$6,'Ex ante LI &amp; Eligibility Stats'!$A$8:$M$8,0))/1000)</f>
        <v>1.9695200000000002</v>
      </c>
      <c r="G12" s="325">
        <f>E12*(INDEX('Ex post LI &amp; Eligibility Stats'!$A:$N,MATCH($A12,'Ex post LI &amp; Eligibility Stats'!$A:$A,0),MATCH('Program MW '!F$6,'Ex post LI &amp; Eligibility Stats'!$A$8:$N$8,0))/1000)</f>
        <v>5.6272000000000002</v>
      </c>
      <c r="H12" s="158">
        <v>13616</v>
      </c>
      <c r="I12" s="326">
        <f>H12*(INDEX('Ex ante LI &amp; Eligibility Stats'!$A:$M,MATCH('Program MW '!$A12,'Ex ante LI &amp; Eligibility Stats'!$A:$A,0),MATCH('Program MW '!I$6,'Ex ante LI &amp; Eligibility Stats'!$A$8:$M$8,0))/1000)</f>
        <v>0</v>
      </c>
      <c r="J12" s="325">
        <f>H12*(INDEX('Ex post LI &amp; Eligibility Stats'!$A:$N,MATCH($A12,'Ex post LI &amp; Eligibility Stats'!$A:$A,0),MATCH('Program MW '!I$6,'Ex post LI &amp; Eligibility Stats'!$A$8:$N$8,0))/1000)</f>
        <v>6.552116814289886</v>
      </c>
      <c r="K12" s="158">
        <v>13615</v>
      </c>
      <c r="L12" s="326">
        <f>K12*(INDEX('Ex ante LI &amp; Eligibility Stats'!$A:$M,MATCH('Program MW '!$A12,'Ex ante LI &amp; Eligibility Stats'!$A:$A,0),MATCH('Program MW '!L$6,'Ex ante LI &amp; Eligibility Stats'!$A$8:$M$8,0))/1000)</f>
        <v>0</v>
      </c>
      <c r="M12" s="325">
        <f>K12*(INDEX('Ex post LI &amp; Eligibility Stats'!$A:$N,MATCH($A12,'Ex post LI &amp; Eligibility Stats'!$A:$A,0),MATCH('Program MW '!L$6,'Ex post LI &amp; Eligibility Stats'!$A$8:$N$8,0))/1000)</f>
        <v>6.5516356071207982</v>
      </c>
      <c r="N12" s="158">
        <v>13615</v>
      </c>
      <c r="O12" s="326">
        <f>N12*(INDEX('Ex ante LI &amp; Eligibility Stats'!$A:$M,MATCH('Program MW '!$A12,'Ex ante LI &amp; Eligibility Stats'!$A:$A,0),MATCH('Program MW '!O$6,'Ex ante LI &amp; Eligibility Stats'!$A$8:$M$8,0))/1000)</f>
        <v>0</v>
      </c>
      <c r="P12" s="325">
        <f>N12*(INDEX('Ex post LI &amp; Eligibility Stats'!$A:$N,MATCH($A12,'Ex post LI &amp; Eligibility Stats'!$A:$A,0),MATCH('Program MW '!O$6,'Ex post LI &amp; Eligibility Stats'!$A$8:$N$8,0))/1000)</f>
        <v>6.5516356071207982</v>
      </c>
      <c r="Q12" s="158">
        <v>14395</v>
      </c>
      <c r="R12" s="326">
        <f>Q12*(INDEX('Ex ante LI &amp; Eligibility Stats'!$A:$M,MATCH('Program MW '!$A12,'Ex ante LI &amp; Eligibility Stats'!$A:$A,0),MATCH('Program MW '!R$6,'Ex ante LI &amp; Eligibility Stats'!$A$8:$M$8,0))/1000)</f>
        <v>0</v>
      </c>
      <c r="S12" s="325">
        <f>Q12*(INDEX('Ex post LI &amp; Eligibility Stats'!$A:$N,MATCH($A12,'Ex post LI &amp; Eligibility Stats'!$A:$A,0),MATCH('Program MW '!R$6,'Ex post LI &amp; Eligibility Stats'!$A$8:$N$8,0))/1000)</f>
        <v>6.926977199008733</v>
      </c>
      <c r="T12" s="7">
        <v>138123</v>
      </c>
      <c r="U12" s="6"/>
      <c r="V12" s="6"/>
      <c r="W12" s="6"/>
      <c r="X12" s="6"/>
      <c r="Y12" s="6"/>
      <c r="Z12" s="6"/>
      <c r="AA12" s="6"/>
      <c r="AB12" s="6"/>
      <c r="AC12" s="6"/>
      <c r="AD12" s="6"/>
      <c r="AE12" s="6"/>
    </row>
    <row r="13" spans="1:31" ht="13.5">
      <c r="A13" s="205" t="s">
        <v>54</v>
      </c>
      <c r="B13" s="206">
        <v>0</v>
      </c>
      <c r="C13" s="326">
        <v>0</v>
      </c>
      <c r="D13" s="327">
        <v>0</v>
      </c>
      <c r="E13" s="206">
        <v>0</v>
      </c>
      <c r="F13" s="326">
        <v>0</v>
      </c>
      <c r="G13" s="327">
        <v>0</v>
      </c>
      <c r="H13" s="206">
        <v>0</v>
      </c>
      <c r="I13" s="326">
        <v>0</v>
      </c>
      <c r="J13" s="327">
        <v>0</v>
      </c>
      <c r="K13" s="206">
        <v>0</v>
      </c>
      <c r="L13" s="326">
        <v>0</v>
      </c>
      <c r="M13" s="327">
        <v>0</v>
      </c>
      <c r="N13" s="206">
        <v>0</v>
      </c>
      <c r="O13" s="326">
        <v>0</v>
      </c>
      <c r="P13" s="327">
        <v>0</v>
      </c>
      <c r="Q13" s="206">
        <v>0</v>
      </c>
      <c r="R13" s="326">
        <v>0</v>
      </c>
      <c r="S13" s="327">
        <v>0</v>
      </c>
      <c r="T13" s="4"/>
      <c r="U13" s="6"/>
      <c r="V13" s="6"/>
      <c r="W13" s="6"/>
      <c r="X13" s="6"/>
      <c r="Y13" s="6"/>
      <c r="Z13" s="6"/>
      <c r="AA13" s="6"/>
      <c r="AB13" s="6"/>
      <c r="AC13" s="6"/>
      <c r="AD13" s="6"/>
      <c r="AE13" s="6"/>
    </row>
    <row r="14" spans="1:31">
      <c r="A14" s="270" t="s">
        <v>17</v>
      </c>
      <c r="B14" s="159">
        <v>17376</v>
      </c>
      <c r="C14" s="326">
        <f>B14*(INDEX('Ex ante LI &amp; Eligibility Stats'!$A:$M,MATCH($A14,'Ex ante LI &amp; Eligibility Stats'!$A:$A,0),MATCH('Program MW '!C$6,'Ex ante LI &amp; Eligibility Stats'!$A$8:$M$8,0))/1000)</f>
        <v>1.9547919699107298E-4</v>
      </c>
      <c r="D14" s="327">
        <f>B14*(INDEX('Ex post LI &amp; Eligibility Stats'!$A:$N,MATCH($A14,'Ex post LI &amp; Eligibility Stats'!$A:$A,0),MATCH('Program MW '!C$6,'Ex post LI &amp; Eligibility Stats'!$A$8:$N$8,0))/1000)</f>
        <v>5.5603200000000008</v>
      </c>
      <c r="E14" s="159">
        <v>17278</v>
      </c>
      <c r="F14" s="326">
        <f>E14*(INDEX('Ex ante LI &amp; Eligibility Stats'!$A:$M,MATCH($A14,'Ex ante LI &amp; Eligibility Stats'!$A:$A,0),MATCH('Program MW '!F$6,'Ex ante LI &amp; Eligibility Stats'!$A$8:$M$8,0))/1000)</f>
        <v>4.5015298280304707E-5</v>
      </c>
      <c r="G14" s="327">
        <f>E14*(INDEX('Ex post LI &amp; Eligibility Stats'!$A:$N,MATCH($A14,'Ex post LI &amp; Eligibility Stats'!$A:$A,0),MATCH('Program MW '!F$6,'Ex post LI &amp; Eligibility Stats'!$A$8:$N$8,0))/1000)</f>
        <v>5.5289600000000005</v>
      </c>
      <c r="H14" s="159">
        <v>17050</v>
      </c>
      <c r="I14" s="326">
        <f>H14*(INDEX('Ex ante LI &amp; Eligibility Stats'!$A:$M,MATCH('Program MW '!$A14,'Ex ante LI &amp; Eligibility Stats'!$A:$A,0),MATCH('Program MW '!I$6,'Ex ante LI &amp; Eligibility Stats'!$A$8:$M$8,0))/1000)</f>
        <v>0</v>
      </c>
      <c r="J14" s="327">
        <f>H14*(INDEX('Ex post LI &amp; Eligibility Stats'!$A:$N,MATCH($A14,'Ex post LI &amp; Eligibility Stats'!$A:$A,0),MATCH('Program MW '!I$6,'Ex post LI &amp; Eligibility Stats'!$A$8:$N$8,0))/1000)</f>
        <v>5.1198614791035659</v>
      </c>
      <c r="K14" s="159">
        <v>17283</v>
      </c>
      <c r="L14" s="326">
        <f>K14*(INDEX('Ex ante LI &amp; Eligibility Stats'!$A:$M,MATCH('Program MW '!$A14,'Ex ante LI &amp; Eligibility Stats'!$A:$A,0),MATCH('Program MW '!L$6,'Ex ante LI &amp; Eligibility Stats'!$A$8:$M$8,0))/1000)</f>
        <v>0.63219965072348705</v>
      </c>
      <c r="M14" s="327">
        <f>K14*(INDEX('Ex post LI &amp; Eligibility Stats'!$A:$N,MATCH($A14,'Ex post LI &amp; Eligibility Stats'!$A:$A,0),MATCH('Program MW '!L$6,'Ex post LI &amp; Eligibility Stats'!$A$8:$N$8,0))/1000)</f>
        <v>5.1898279145658019</v>
      </c>
      <c r="N14" s="159">
        <v>17130</v>
      </c>
      <c r="O14" s="326">
        <f>N14*(INDEX('Ex ante LI &amp; Eligibility Stats'!$A:$M,MATCH('Program MW '!$A14,'Ex ante LI &amp; Eligibility Stats'!$A:$A,0),MATCH('Program MW '!O$6,'Ex ante LI &amp; Eligibility Stats'!$A$8:$M$8,0))/1000)</f>
        <v>1.3920932315289973</v>
      </c>
      <c r="P14" s="327">
        <f>N14*(INDEX('Ex post LI &amp; Eligibility Stats'!$A:$N,MATCH($A14,'Ex post LI &amp; Eligibility Stats'!$A:$A,0),MATCH('Program MW '!O$6,'Ex post LI &amp; Eligibility Stats'!$A$8:$N$8,0))/1000)</f>
        <v>5.1438842895627026</v>
      </c>
      <c r="Q14" s="159">
        <v>14623</v>
      </c>
      <c r="R14" s="326">
        <f>Q14*(INDEX('Ex ante LI &amp; Eligibility Stats'!$A:$M,MATCH('Program MW '!$A14,'Ex ante LI &amp; Eligibility Stats'!$A:$A,0),MATCH('Program MW '!R$6,'Ex ante LI &amp; Eligibility Stats'!$A$8:$M$8,0))/1000)</f>
        <v>0.75110183168202638</v>
      </c>
      <c r="S14" s="327">
        <f>Q14*(INDEX('Ex post LI &amp; Eligibility Stats'!$A:$N,MATCH($A14,'Ex post LI &amp; Eligibility Stats'!$A:$A,0),MATCH('Program MW '!R$6,'Ex post LI &amp; Eligibility Stats'!$A$8:$N$8,0))/1000)</f>
        <v>4.3910694667994976</v>
      </c>
      <c r="T14" s="4">
        <v>663393.5</v>
      </c>
      <c r="U14" s="6"/>
      <c r="V14" s="6"/>
      <c r="W14" s="6"/>
      <c r="X14" s="6"/>
      <c r="Y14" s="6"/>
      <c r="Z14" s="6"/>
      <c r="AA14" s="6"/>
      <c r="AB14" s="6"/>
      <c r="AC14" s="6"/>
      <c r="AD14" s="6"/>
      <c r="AE14" s="6"/>
    </row>
    <row r="15" spans="1:31">
      <c r="A15" s="156" t="s">
        <v>20</v>
      </c>
      <c r="B15" s="159">
        <v>704</v>
      </c>
      <c r="C15" s="326">
        <f>B15*(INDEX('Ex ante LI &amp; Eligibility Stats'!$A:$M,MATCH($A15,'Ex ante LI &amp; Eligibility Stats'!$A:$A,0),MATCH('Program MW '!C$6,'Ex ante LI &amp; Eligibility Stats'!$A$8:$M$8,0))/1000)</f>
        <v>2.559620887041092E-4</v>
      </c>
      <c r="D15" s="327">
        <f>B15*(INDEX('Ex post LI &amp; Eligibility Stats'!$A:$N,MATCH($A15,'Ex post LI &amp; Eligibility Stats'!$A:$A,0),MATCH('Program MW '!C$6,'Ex post LI &amp; Eligibility Stats'!$A$8:$N$8,0))/1000)</f>
        <v>0.32384000000000002</v>
      </c>
      <c r="E15" s="159">
        <v>704</v>
      </c>
      <c r="F15" s="326">
        <f>E15*(INDEX('Ex ante LI &amp; Eligibility Stats'!$A:$M,MATCH($A15,'Ex ante LI &amp; Eligibility Stats'!$A:$A,0),MATCH('Program MW '!F$6,'Ex ante LI &amp; Eligibility Stats'!$A$8:$M$8,0))/1000)</f>
        <v>5.9277471620589494E-5</v>
      </c>
      <c r="G15" s="327">
        <f>E15*(INDEX('Ex post LI &amp; Eligibility Stats'!$A:$N,MATCH($A15,'Ex post LI &amp; Eligibility Stats'!$A:$A,0),MATCH('Program MW '!F$6,'Ex post LI &amp; Eligibility Stats'!$A$8:$N$8,0))/1000)</f>
        <v>0.32384000000000002</v>
      </c>
      <c r="H15" s="159">
        <v>268</v>
      </c>
      <c r="I15" s="326">
        <f>H15*(INDEX('Ex ante LI &amp; Eligibility Stats'!$A:$M,MATCH('Program MW '!$A15,'Ex ante LI &amp; Eligibility Stats'!$A:$A,0),MATCH('Program MW '!I$6,'Ex ante LI &amp; Eligibility Stats'!$A$8:$M$8,0))/1000)</f>
        <v>0</v>
      </c>
      <c r="J15" s="327">
        <f>H15*(INDEX('Ex post LI &amp; Eligibility Stats'!$A:$N,MATCH($A15,'Ex post LI &amp; Eligibility Stats'!$A:$A,0),MATCH('Program MW '!I$6,'Ex post LI &amp; Eligibility Stats'!$A$8:$N$8,0))/1000)</f>
        <v>0.12431036806106567</v>
      </c>
      <c r="K15" s="159">
        <v>268</v>
      </c>
      <c r="L15" s="326">
        <f>K15*(INDEX('Ex ante LI &amp; Eligibility Stats'!$A:$M,MATCH('Program MW '!$A15,'Ex ante LI &amp; Eligibility Stats'!$A:$A,0),MATCH('Program MW '!L$6,'Ex ante LI &amp; Eligibility Stats'!$A$8:$M$8,0))/1000)</f>
        <v>9.207833182811738E-2</v>
      </c>
      <c r="M15" s="327">
        <f>K15*(INDEX('Ex post LI &amp; Eligibility Stats'!$A:$N,MATCH($A15,'Ex post LI &amp; Eligibility Stats'!$A:$A,0),MATCH('Program MW '!L$6,'Ex post LI &amp; Eligibility Stats'!$A$8:$N$8,0))/1000)</f>
        <v>0.12431036806106567</v>
      </c>
      <c r="N15" s="159">
        <v>256</v>
      </c>
      <c r="O15" s="326">
        <f>N15*(INDEX('Ex ante LI &amp; Eligibility Stats'!$A:$M,MATCH('Program MW '!$A15,'Ex ante LI &amp; Eligibility Stats'!$A:$A,0),MATCH('Program MW '!O$6,'Ex ante LI &amp; Eligibility Stats'!$A$8:$M$8,0))/1000)</f>
        <v>0.23586849975585938</v>
      </c>
      <c r="P15" s="327">
        <f>N15*(INDEX('Ex post LI &amp; Eligibility Stats'!$A:$N,MATCH($A15,'Ex post LI &amp; Eligibility Stats'!$A:$A,0),MATCH('Program MW '!O$6,'Ex post LI &amp; Eligibility Stats'!$A$8:$N$8,0))/1000)</f>
        <v>0.11874423217773437</v>
      </c>
      <c r="Q15" s="159">
        <v>236</v>
      </c>
      <c r="R15" s="326">
        <f>Q15*(INDEX('Ex ante LI &amp; Eligibility Stats'!$A:$M,MATCH('Program MW '!$A15,'Ex ante LI &amp; Eligibility Stats'!$A:$A,0),MATCH('Program MW '!R$6,'Ex ante LI &amp; Eligibility Stats'!$A$8:$M$8,0))/1000)</f>
        <v>0.20210570478439333</v>
      </c>
      <c r="S15" s="327">
        <f>Q15*(INDEX('Ex post LI &amp; Eligibility Stats'!$A:$N,MATCH($A15,'Ex post LI &amp; Eligibility Stats'!$A:$A,0),MATCH('Program MW '!R$6,'Ex post LI &amp; Eligibility Stats'!$A$8:$N$8,0))/1000)</f>
        <v>0.10946733903884888</v>
      </c>
      <c r="T15" s="4"/>
      <c r="U15" s="6"/>
      <c r="V15" s="6"/>
      <c r="W15" s="6"/>
      <c r="X15" s="6"/>
      <c r="Y15" s="6"/>
      <c r="Z15" s="6"/>
      <c r="AA15" s="6"/>
      <c r="AB15" s="6"/>
      <c r="AC15" s="6"/>
      <c r="AD15" s="6"/>
      <c r="AE15" s="6"/>
    </row>
    <row r="16" spans="1:31">
      <c r="A16" s="270" t="s">
        <v>21</v>
      </c>
      <c r="B16" s="383">
        <v>10225</v>
      </c>
      <c r="C16" s="326">
        <f>B16*(INDEX('Ex ante LI &amp; Eligibility Stats'!$A:$M,MATCH($A16,'Ex ante LI &amp; Eligibility Stats'!$A:$A,0),MATCH('Program MW '!C$6,'Ex ante LI &amp; Eligibility Stats'!$A$8:$M$8,0))/1000)</f>
        <v>0</v>
      </c>
      <c r="D16" s="327">
        <f>B16*(INDEX('Ex post LI &amp; Eligibility Stats'!$A:$N,MATCH($A16,'Ex post LI &amp; Eligibility Stats'!$A:$A,0),MATCH('Program MW '!C$6,'Ex post LI &amp; Eligibility Stats'!$A$8:$N$8,0))/1000)</f>
        <v>1.3292500000000003</v>
      </c>
      <c r="E16" s="383">
        <v>10185</v>
      </c>
      <c r="F16" s="326">
        <f>E16*(INDEX('Ex ante LI &amp; Eligibility Stats'!$A:$M,MATCH($A16,'Ex ante LI &amp; Eligibility Stats'!$A:$A,0),MATCH('Program MW '!F$6,'Ex ante LI &amp; Eligibility Stats'!$A$8:$M$8,0))/1000)</f>
        <v>0</v>
      </c>
      <c r="G16" s="327">
        <f>E16*(INDEX('Ex post LI &amp; Eligibility Stats'!$A:$N,MATCH($A16,'Ex post LI &amp; Eligibility Stats'!$A:$A,0),MATCH('Program MW '!F$6,'Ex post LI &amp; Eligibility Stats'!$A$8:$N$8,0))/1000)</f>
        <v>1.3240500000000002</v>
      </c>
      <c r="H16" s="383">
        <v>10091</v>
      </c>
      <c r="I16" s="326">
        <f>H16*(INDEX('Ex ante LI &amp; Eligibility Stats'!$A:$M,MATCH('Program MW '!$A16,'Ex ante LI &amp; Eligibility Stats'!$A:$A,0),MATCH('Program MW '!I$6,'Ex ante LI &amp; Eligibility Stats'!$A$8:$M$8,0))/1000)</f>
        <v>0</v>
      </c>
      <c r="J16" s="327">
        <f>H16*(INDEX('Ex post LI &amp; Eligibility Stats'!$A:$N,MATCH($A16,'Ex post LI &amp; Eligibility Stats'!$A:$A,0),MATCH('Program MW '!I$6,'Ex post LI &amp; Eligibility Stats'!$A$8:$N$8,0))/1000)</f>
        <v>1.3535956399000002</v>
      </c>
      <c r="K16" s="643">
        <v>9815</v>
      </c>
      <c r="L16" s="326">
        <f>K16*(INDEX('Ex ante LI &amp; Eligibility Stats'!$A:$M,MATCH('Program MW '!$A16,'Ex ante LI &amp; Eligibility Stats'!$A:$A,0),MATCH('Program MW '!L$6,'Ex ante LI &amp; Eligibility Stats'!$A$8:$M$8,0))/1000)</f>
        <v>0.27112955999999999</v>
      </c>
      <c r="M16" s="327">
        <f>K16*(INDEX('Ex post LI &amp; Eligibility Stats'!$A:$N,MATCH($A16,'Ex post LI &amp; Eligibility Stats'!$A:$A,0),MATCH('Program MW '!L$6,'Ex post LI &amp; Eligibility Stats'!$A$8:$N$8,0))/1000)</f>
        <v>1.3165733035000002</v>
      </c>
      <c r="N16" s="383">
        <v>9593</v>
      </c>
      <c r="O16" s="326">
        <f>N16*(INDEX('Ex ante LI &amp; Eligibility Stats'!$A:$M,MATCH('Program MW '!$A16,'Ex ante LI &amp; Eligibility Stats'!$A:$A,0),MATCH('Program MW '!O$6,'Ex ante LI &amp; Eligibility Stats'!$A$8:$M$8,0))/1000)</f>
        <v>0.55346429780000006</v>
      </c>
      <c r="P16" s="327">
        <f>N16*(INDEX('Ex post LI &amp; Eligibility Stats'!$A:$N,MATCH($A16,'Ex post LI &amp; Eligibility Stats'!$A:$A,0),MATCH('Program MW '!O$6,'Ex post LI &amp; Eligibility Stats'!$A$8:$N$8,0))/1000)</f>
        <v>1.2867944677000003</v>
      </c>
      <c r="Q16" s="383">
        <v>9409</v>
      </c>
      <c r="R16" s="326">
        <f>Q16*(INDEX('Ex ante LI &amp; Eligibility Stats'!$A:$M,MATCH('Program MW '!$A16,'Ex ante LI &amp; Eligibility Stats'!$A:$A,0),MATCH('Program MW '!R$6,'Ex ante LI &amp; Eligibility Stats'!$A$8:$M$8,0))/1000)</f>
        <v>0.34679127659999998</v>
      </c>
      <c r="S16" s="327">
        <f>Q16*(INDEX('Ex post LI &amp; Eligibility Stats'!$A:$N,MATCH($A16,'Ex post LI &amp; Eligibility Stats'!$A:$A,0),MATCH('Program MW '!R$6,'Ex post LI &amp; Eligibility Stats'!$A$8:$N$8,0))/1000)</f>
        <v>1.2621129101000002</v>
      </c>
      <c r="T16" s="4">
        <v>157189</v>
      </c>
      <c r="U16" s="6"/>
      <c r="V16" s="6"/>
      <c r="W16" s="6"/>
      <c r="X16" s="6"/>
      <c r="Y16" s="6"/>
      <c r="Z16" s="6"/>
      <c r="AA16" s="6"/>
      <c r="AB16" s="6"/>
      <c r="AC16" s="6"/>
      <c r="AD16" s="6"/>
      <c r="AE16" s="6"/>
    </row>
    <row r="17" spans="1:31">
      <c r="A17" s="270" t="s">
        <v>23</v>
      </c>
      <c r="B17" s="383">
        <v>2652</v>
      </c>
      <c r="C17" s="326">
        <f>B17*(INDEX('Ex ante LI &amp; Eligibility Stats'!$A:$M,MATCH($A17,'Ex ante LI &amp; Eligibility Stats'!$A:$A,0),MATCH('Program MW '!C$6,'Ex ante LI &amp; Eligibility Stats'!$A$8:$M$8,0))/1000)</f>
        <v>0</v>
      </c>
      <c r="D17" s="327">
        <f>B17*(INDEX('Ex post LI &amp; Eligibility Stats'!$A:$N,MATCH($A17,'Ex post LI &amp; Eligibility Stats'!$A:$A,0),MATCH('Program MW '!C$6,'Ex post LI &amp; Eligibility Stats'!$A$8:$N$8,0))/1000)</f>
        <v>0.1326</v>
      </c>
      <c r="E17" s="383">
        <v>2648</v>
      </c>
      <c r="F17" s="326">
        <f>E17*(INDEX('Ex ante LI &amp; Eligibility Stats'!$A:$M,MATCH($A17,'Ex ante LI &amp; Eligibility Stats'!$A:$A,0),MATCH('Program MW '!F$6,'Ex ante LI &amp; Eligibility Stats'!$A$8:$M$8,0))/1000)</f>
        <v>0</v>
      </c>
      <c r="G17" s="327">
        <f>E17*(INDEX('Ex post LI &amp; Eligibility Stats'!$A:$N,MATCH($A17,'Ex post LI &amp; Eligibility Stats'!$A:$A,0),MATCH('Program MW '!F$6,'Ex post LI &amp; Eligibility Stats'!$A$8:$N$8,0))/1000)</f>
        <v>0.13240000000000002</v>
      </c>
      <c r="H17" s="383">
        <v>2627</v>
      </c>
      <c r="I17" s="326">
        <f>H17*(INDEX('Ex ante LI &amp; Eligibility Stats'!$A:$M,MATCH('Program MW '!$A17,'Ex ante LI &amp; Eligibility Stats'!$A:$A,0),MATCH('Program MW '!I$6,'Ex ante LI &amp; Eligibility Stats'!$A$8:$M$8,0))/1000)</f>
        <v>0</v>
      </c>
      <c r="J17" s="327">
        <f>H17*(INDEX('Ex post LI &amp; Eligibility Stats'!$A:$N,MATCH($A17,'Ex post LI &amp; Eligibility Stats'!$A:$A,0),MATCH('Program MW '!I$6,'Ex post LI &amp; Eligibility Stats'!$A$8:$N$8,0))/1000)</f>
        <v>0.1296274761</v>
      </c>
      <c r="K17" s="643">
        <v>2774</v>
      </c>
      <c r="L17" s="326">
        <f>K17*(INDEX('Ex ante LI &amp; Eligibility Stats'!$A:$M,MATCH('Program MW '!$A17,'Ex ante LI &amp; Eligibility Stats'!$A:$A,0),MATCH('Program MW '!L$6,'Ex ante LI &amp; Eligibility Stats'!$A$8:$M$8,0))/1000)</f>
        <v>0.15616732319999999</v>
      </c>
      <c r="M17" s="327">
        <f>K17*(INDEX('Ex post LI &amp; Eligibility Stats'!$A:$N,MATCH($A17,'Ex post LI &amp; Eligibility Stats'!$A:$A,0),MATCH('Program MW '!L$6,'Ex post LI &amp; Eligibility Stats'!$A$8:$N$8,0))/1000)</f>
        <v>0.1368810882</v>
      </c>
      <c r="N17" s="383">
        <v>2705</v>
      </c>
      <c r="O17" s="326">
        <f>N17*(INDEX('Ex ante LI &amp; Eligibility Stats'!$A:$M,MATCH('Program MW '!$A17,'Ex ante LI &amp; Eligibility Stats'!$A:$A,0),MATCH('Program MW '!O$6,'Ex ante LI &amp; Eligibility Stats'!$A$8:$M$8,0))/1000)</f>
        <v>0.1742817975</v>
      </c>
      <c r="P17" s="327">
        <f>N17*(INDEX('Ex post LI &amp; Eligibility Stats'!$A:$N,MATCH($A17,'Ex post LI &amp; Eligibility Stats'!$A:$A,0),MATCH('Program MW '!O$6,'Ex post LI &amp; Eligibility Stats'!$A$8:$N$8,0))/1000)</f>
        <v>0.13347633149999999</v>
      </c>
      <c r="Q17" s="383">
        <v>2244</v>
      </c>
      <c r="R17" s="326">
        <f>Q17*(INDEX('Ex ante LI &amp; Eligibility Stats'!$A:$M,MATCH('Program MW '!$A17,'Ex ante LI &amp; Eligibility Stats'!$A:$A,0),MATCH('Program MW '!R$6,'Ex ante LI &amp; Eligibility Stats'!$A$8:$M$8,0))/1000)</f>
        <v>0.1342089276</v>
      </c>
      <c r="S17" s="327">
        <f>Q17*(INDEX('Ex post LI &amp; Eligibility Stats'!$A:$N,MATCH($A17,'Ex post LI &amp; Eligibility Stats'!$A:$A,0),MATCH('Program MW '!R$6,'Ex post LI &amp; Eligibility Stats'!$A$8:$N$8,0))/1000)</f>
        <v>0.11072860920000001</v>
      </c>
      <c r="T17" s="4">
        <v>157189</v>
      </c>
      <c r="U17" s="6"/>
      <c r="V17" s="6"/>
      <c r="W17" s="6"/>
      <c r="X17" s="6"/>
      <c r="Y17" s="6"/>
      <c r="Z17" s="6"/>
      <c r="AA17" s="6"/>
      <c r="AB17" s="6"/>
      <c r="AC17" s="6"/>
      <c r="AD17" s="6"/>
      <c r="AE17" s="6"/>
    </row>
    <row r="18" spans="1:31">
      <c r="A18" s="156" t="s">
        <v>24</v>
      </c>
      <c r="B18" s="159">
        <v>0</v>
      </c>
      <c r="C18" s="326">
        <f>B18*(INDEX('Ex ante LI &amp; Eligibility Stats'!$A:$M,MATCH($A18,'Ex ante LI &amp; Eligibility Stats'!$A:$A,0),MATCH('Program MW '!C$6,'Ex ante LI &amp; Eligibility Stats'!$A$8:$M$8,0))/1000)</f>
        <v>0</v>
      </c>
      <c r="D18" s="327">
        <f>B18*(INDEX('Ex post LI &amp; Eligibility Stats'!$A:$N,MATCH($A18,'Ex post LI &amp; Eligibility Stats'!$A:$A,0),MATCH('Program MW '!C$6,'Ex post LI &amp; Eligibility Stats'!$A$8:$N$8,0))/1000)</f>
        <v>0</v>
      </c>
      <c r="E18" s="159">
        <v>0</v>
      </c>
      <c r="F18" s="326">
        <f>E18*(INDEX('Ex ante LI &amp; Eligibility Stats'!$A:$M,MATCH($A18,'Ex ante LI &amp; Eligibility Stats'!$A:$A,0),MATCH('Program MW '!F$6,'Ex ante LI &amp; Eligibility Stats'!$A$8:$M$8,0))/1000)</f>
        <v>0</v>
      </c>
      <c r="G18" s="327">
        <f>E18*(INDEX('Ex post LI &amp; Eligibility Stats'!$A:$N,MATCH($A18,'Ex post LI &amp; Eligibility Stats'!$A:$A,0),MATCH('Program MW '!F$6,'Ex post LI &amp; Eligibility Stats'!$A$8:$N$8,0))/1000)</f>
        <v>0</v>
      </c>
      <c r="H18" s="159">
        <v>0</v>
      </c>
      <c r="I18" s="326">
        <f>H18*(INDEX('Ex ante LI &amp; Eligibility Stats'!$A:$M,MATCH('Program MW '!$A18,'Ex ante LI &amp; Eligibility Stats'!$A:$A,0),MATCH('Program MW '!I$6,'Ex ante LI &amp; Eligibility Stats'!$A$8:$M$8,0))/1000)</f>
        <v>0</v>
      </c>
      <c r="J18" s="327">
        <f>H18*(INDEX('Ex post LI &amp; Eligibility Stats'!$A:$N,MATCH($A18,'Ex post LI &amp; Eligibility Stats'!$A:$A,0),MATCH('Program MW '!I$6,'Ex post LI &amp; Eligibility Stats'!$A$8:$N$8,0))/1000)</f>
        <v>0</v>
      </c>
      <c r="K18" s="159">
        <v>0</v>
      </c>
      <c r="L18" s="326">
        <f>K18*(INDEX('Ex ante LI &amp; Eligibility Stats'!$A:$M,MATCH('Program MW '!$A18,'Ex ante LI &amp; Eligibility Stats'!$A:$A,0),MATCH('Program MW '!L$6,'Ex ante LI &amp; Eligibility Stats'!$A$8:$M$8,0))/1000)</f>
        <v>0</v>
      </c>
      <c r="M18" s="327">
        <f>K18*(INDEX('Ex post LI &amp; Eligibility Stats'!$A:$N,MATCH($A18,'Ex post LI &amp; Eligibility Stats'!$A:$A,0),MATCH('Program MW '!L$6,'Ex post LI &amp; Eligibility Stats'!$A$8:$N$8,0))/1000)</f>
        <v>0</v>
      </c>
      <c r="N18" s="159">
        <v>41</v>
      </c>
      <c r="O18" s="326">
        <f>N18*(INDEX('Ex ante LI &amp; Eligibility Stats'!$A:$M,MATCH('Program MW '!$A18,'Ex ante LI &amp; Eligibility Stats'!$A:$A,0),MATCH('Program MW '!O$6,'Ex ante LI &amp; Eligibility Stats'!$A$8:$M$8,0))/1000)</f>
        <v>0.48483278999999996</v>
      </c>
      <c r="P18" s="327">
        <f>N18*(INDEX('Ex post LI &amp; Eligibility Stats'!$A:$N,MATCH($A18,'Ex post LI &amp; Eligibility Stats'!$A:$A,0),MATCH('Program MW '!O$6,'Ex post LI &amp; Eligibility Stats'!$A$8:$N$8,0))/1000)</f>
        <v>0.73608612000000007</v>
      </c>
      <c r="Q18" s="159">
        <v>49</v>
      </c>
      <c r="R18" s="326">
        <f>Q18*(INDEX('Ex ante LI &amp; Eligibility Stats'!$A:$M,MATCH('Program MW '!$A18,'Ex ante LI &amp; Eligibility Stats'!$A:$A,0),MATCH('Program MW '!R$6,'Ex ante LI &amp; Eligibility Stats'!$A$8:$M$8,0))/1000)</f>
        <v>0.57943431000000001</v>
      </c>
      <c r="S18" s="327">
        <f>Q18*(INDEX('Ex post LI &amp; Eligibility Stats'!$A:$N,MATCH($A18,'Ex post LI &amp; Eligibility Stats'!$A:$A,0),MATCH('Program MW '!R$6,'Ex post LI &amp; Eligibility Stats'!$A$8:$N$8,0))/1000)</f>
        <v>0.87971268000000014</v>
      </c>
      <c r="T18" s="4">
        <v>18875</v>
      </c>
      <c r="U18" s="6"/>
      <c r="V18" s="6"/>
      <c r="W18" s="6"/>
      <c r="X18" s="6"/>
      <c r="Y18" s="6"/>
      <c r="Z18" s="6"/>
      <c r="AA18" s="6"/>
      <c r="AB18" s="6"/>
      <c r="AC18" s="6"/>
      <c r="AD18" s="6"/>
      <c r="AE18" s="6"/>
    </row>
    <row r="19" spans="1:31">
      <c r="A19" s="156" t="s">
        <v>25</v>
      </c>
      <c r="B19" s="159">
        <v>0</v>
      </c>
      <c r="C19" s="326">
        <f>B19*(INDEX('Ex ante LI &amp; Eligibility Stats'!$A:$M,MATCH($A19,'Ex ante LI &amp; Eligibility Stats'!$A:$A,0),MATCH('Program MW '!C$6,'Ex ante LI &amp; Eligibility Stats'!$A$8:$M$8,0))/1000)</f>
        <v>0</v>
      </c>
      <c r="D19" s="327">
        <f>B19*(INDEX('Ex post LI &amp; Eligibility Stats'!$A:$N,MATCH($A19,'Ex post LI &amp; Eligibility Stats'!$A:$A,0),MATCH('Program MW '!C$6,'Ex post LI &amp; Eligibility Stats'!$A$8:$N$8,0))/1000)</f>
        <v>0</v>
      </c>
      <c r="E19" s="159">
        <v>0</v>
      </c>
      <c r="F19" s="326">
        <f>E19*(INDEX('Ex ante LI &amp; Eligibility Stats'!$A:$M,MATCH($A19,'Ex ante LI &amp; Eligibility Stats'!$A:$A,0),MATCH('Program MW '!F$6,'Ex ante LI &amp; Eligibility Stats'!$A$8:$M$8,0))/1000)</f>
        <v>0</v>
      </c>
      <c r="G19" s="327">
        <f>E19*(INDEX('Ex post LI &amp; Eligibility Stats'!$A:$N,MATCH($A19,'Ex post LI &amp; Eligibility Stats'!$A:$A,0),MATCH('Program MW '!F$6,'Ex post LI &amp; Eligibility Stats'!$A$8:$N$8,0))/1000)</f>
        <v>0</v>
      </c>
      <c r="H19" s="159">
        <v>0</v>
      </c>
      <c r="I19" s="326">
        <f>H19*(INDEX('Ex ante LI &amp; Eligibility Stats'!$A:$M,MATCH('Program MW '!$A19,'Ex ante LI &amp; Eligibility Stats'!$A:$A,0),MATCH('Program MW '!I$6,'Ex ante LI &amp; Eligibility Stats'!$A$8:$M$8,0))/1000)</f>
        <v>0</v>
      </c>
      <c r="J19" s="327">
        <f>H19*(INDEX('Ex post LI &amp; Eligibility Stats'!$A:$N,MATCH($A19,'Ex post LI &amp; Eligibility Stats'!$A:$A,0),MATCH('Program MW '!I$6,'Ex post LI &amp; Eligibility Stats'!$A$8:$N$8,0))/1000)</f>
        <v>0</v>
      </c>
      <c r="K19" s="159">
        <v>0</v>
      </c>
      <c r="L19" s="326">
        <f>K19*(INDEX('Ex ante LI &amp; Eligibility Stats'!$A:$M,MATCH('Program MW '!$A19,'Ex ante LI &amp; Eligibility Stats'!$A:$A,0),MATCH('Program MW '!L$6,'Ex ante LI &amp; Eligibility Stats'!$A$8:$M$8,0))/1000)</f>
        <v>0</v>
      </c>
      <c r="M19" s="327">
        <f>K19*(INDEX('Ex post LI &amp; Eligibility Stats'!$A:$N,MATCH($A19,'Ex post LI &amp; Eligibility Stats'!$A:$A,0),MATCH('Program MW '!L$6,'Ex post LI &amp; Eligibility Stats'!$A$8:$N$8,0))/1000)</f>
        <v>0</v>
      </c>
      <c r="N19" s="159">
        <v>134</v>
      </c>
      <c r="O19" s="326">
        <f>N19*(INDEX('Ex ante LI &amp; Eligibility Stats'!$A:$M,MATCH('Program MW '!$A19,'Ex ante LI &amp; Eligibility Stats'!$A:$A,0),MATCH('Program MW '!O$6,'Ex ante LI &amp; Eligibility Stats'!$A$8:$M$8,0))/1000)</f>
        <v>1.214125358</v>
      </c>
      <c r="P19" s="327">
        <f>N19*(INDEX('Ex post LI &amp; Eligibility Stats'!$A:$N,MATCH($A19,'Ex post LI &amp; Eligibility Stats'!$A:$A,0),MATCH('Program MW '!O$6,'Ex post LI &amp; Eligibility Stats'!$A$8:$N$8,0))/1000)</f>
        <v>1.8493139000000001</v>
      </c>
      <c r="Q19" s="159">
        <v>125</v>
      </c>
      <c r="R19" s="326">
        <f>Q19*(INDEX('Ex ante LI &amp; Eligibility Stats'!$A:$M,MATCH('Program MW '!$A19,'Ex ante LI &amp; Eligibility Stats'!$A:$A,0),MATCH('Program MW '!R$6,'Ex ante LI &amp; Eligibility Stats'!$A$8:$M$8,0))/1000)</f>
        <v>1.132579625</v>
      </c>
      <c r="S19" s="327">
        <f>Q19*(INDEX('Ex post LI &amp; Eligibility Stats'!$A:$N,MATCH($A19,'Ex post LI &amp; Eligibility Stats'!$A:$A,0),MATCH('Program MW '!R$6,'Ex post LI &amp; Eligibility Stats'!$A$8:$N$8,0))/1000)</f>
        <v>1.7251062500000001</v>
      </c>
      <c r="T19" s="4">
        <v>18875</v>
      </c>
      <c r="U19" s="6"/>
      <c r="V19" s="6"/>
      <c r="W19" s="6"/>
      <c r="X19" s="6"/>
      <c r="Y19" s="6"/>
      <c r="Z19" s="6"/>
      <c r="AA19" s="6"/>
      <c r="AB19" s="6"/>
      <c r="AC19" s="6"/>
      <c r="AD19" s="6"/>
      <c r="AE19" s="6"/>
    </row>
    <row r="20" spans="1:31" s="152" customFormat="1">
      <c r="A20" s="270" t="s">
        <v>55</v>
      </c>
      <c r="B20" s="206">
        <v>94</v>
      </c>
      <c r="C20" s="326">
        <v>0</v>
      </c>
      <c r="D20" s="327">
        <v>0</v>
      </c>
      <c r="E20" s="206">
        <v>94</v>
      </c>
      <c r="F20" s="326" t="s">
        <v>56</v>
      </c>
      <c r="G20" s="327" t="s">
        <v>56</v>
      </c>
      <c r="H20" s="206">
        <v>92</v>
      </c>
      <c r="I20" s="644">
        <f>H20*(INDEX('Ex ante LI &amp; Eligibility Stats'!$A:$M,MATCH('Program MW '!$A20,'Ex ante LI &amp; Eligibility Stats'!$A:$A,0),MATCH('Program MW '!I$6,'Ex ante LI &amp; Eligibility Stats'!$A$8:$M$8,0))/1000)</f>
        <v>7.8712055087089533E-4</v>
      </c>
      <c r="J20" s="327">
        <f>H20*(INDEX('Ex post LI &amp; Eligibility Stats'!$A:$N,MATCH($A20,'Ex post LI &amp; Eligibility Stats'!$A:$A,0),MATCH('Program MW '!I$6,'Ex post LI &amp; Eligibility Stats'!$A$8:$N$8,0))/1000)</f>
        <v>4.3654910326004027E-2</v>
      </c>
      <c r="K20" s="643">
        <v>91</v>
      </c>
      <c r="L20" s="326">
        <f>K20*(INDEX('Ex ante LI &amp; Eligibility Stats'!$A:$M,MATCH('Program MW '!$A20,'Ex ante LI &amp; Eligibility Stats'!$A:$A,0),MATCH('Program MW '!L$6,'Ex ante LI &amp; Eligibility Stats'!$A$8:$M$8,0))/1000)</f>
        <v>0</v>
      </c>
      <c r="M20" s="327">
        <f>K20*(INDEX('Ex post LI &amp; Eligibility Stats'!$A:$N,MATCH($A20,'Ex post LI &amp; Eligibility Stats'!$A:$A,0),MATCH('Program MW '!L$6,'Ex post LI &amp; Eligibility Stats'!$A$8:$N$8,0))/1000)</f>
        <v>4.318040043115616E-2</v>
      </c>
      <c r="N20" s="206">
        <v>87</v>
      </c>
      <c r="O20" s="326">
        <f>N20*(INDEX('Ex ante LI &amp; Eligibility Stats'!$A:$M,MATCH('Program MW '!$A20,'Ex ante LI &amp; Eligibility Stats'!$A:$A,0),MATCH('Program MW '!O$6,'Ex ante LI &amp; Eligibility Stats'!$A$8:$M$8,0))/1000)</f>
        <v>0</v>
      </c>
      <c r="P20" s="327">
        <f>N20*(INDEX('Ex post LI &amp; Eligibility Stats'!$A:$N,MATCH($A20,'Ex post LI &amp; Eligibility Stats'!$A:$A,0),MATCH('Program MW '!O$6,'Ex post LI &amp; Eligibility Stats'!$A$8:$N$8,0))/1000)</f>
        <v>4.1282360851764677E-2</v>
      </c>
      <c r="Q20" s="206">
        <v>95</v>
      </c>
      <c r="R20" s="326">
        <f>Q20*(INDEX('Ex ante LI &amp; Eligibility Stats'!$A:$M,MATCH('Program MW '!$A20,'Ex ante LI &amp; Eligibility Stats'!$A:$A,0),MATCH('Program MW '!R$6,'Ex ante LI &amp; Eligibility Stats'!$A$8:$M$8,0))/1000)</f>
        <v>0</v>
      </c>
      <c r="S20" s="327">
        <f>Q20*(INDEX('Ex post LI &amp; Eligibility Stats'!$A:$N,MATCH($A20,'Ex post LI &amp; Eligibility Stats'!$A:$A,0),MATCH('Program MW '!R$6,'Ex post LI &amp; Eligibility Stats'!$A$8:$N$8,0))/1000)</f>
        <v>4.5078440010547637E-2</v>
      </c>
      <c r="T20" s="411"/>
      <c r="U20" s="412"/>
      <c r="V20" s="412"/>
      <c r="W20" s="412"/>
      <c r="X20" s="412"/>
      <c r="Y20" s="412"/>
      <c r="Z20" s="412"/>
      <c r="AA20" s="412"/>
      <c r="AB20" s="412"/>
      <c r="AC20" s="412"/>
      <c r="AD20" s="412"/>
      <c r="AE20" s="412"/>
    </row>
    <row r="21" spans="1:31">
      <c r="A21" s="156" t="s">
        <v>26</v>
      </c>
      <c r="B21" s="159">
        <v>17743</v>
      </c>
      <c r="C21" s="326">
        <f>B21*(INDEX('Ex ante LI &amp; Eligibility Stats'!$A:$M,MATCH($A21,'Ex ante LI &amp; Eligibility Stats'!$A:$A,0),MATCH('Program MW '!C$6,'Ex ante LI &amp; Eligibility Stats'!$A$8:$M$8,0))/1000)</f>
        <v>0.17743</v>
      </c>
      <c r="D21" s="327">
        <f>B21*(INDEX('Ex post LI &amp; Eligibility Stats'!$A:$N,MATCH($A21,'Ex post LI &amp; Eligibility Stats'!$A:$A,0),MATCH('Program MW '!C$6,'Ex post LI &amp; Eligibility Stats'!$A$8:$N$8,0))/1000)</f>
        <v>0.88714999999999999</v>
      </c>
      <c r="E21" s="159">
        <v>18502</v>
      </c>
      <c r="F21" s="326">
        <f>E21*(INDEX('Ex ante LI &amp; Eligibility Stats'!$A:$M,MATCH($A21,'Ex ante LI &amp; Eligibility Stats'!$A:$A,0),MATCH('Program MW '!F$6,'Ex ante LI &amp; Eligibility Stats'!$A$8:$M$8,0))/1000)</f>
        <v>0.18502000000000002</v>
      </c>
      <c r="G21" s="327">
        <f>E21*(INDEX('Ex post LI &amp; Eligibility Stats'!$A:$N,MATCH($A21,'Ex post LI &amp; Eligibility Stats'!$A:$A,0),MATCH('Program MW '!F$6,'Ex post LI &amp; Eligibility Stats'!$A$8:$N$8,0))/1000)</f>
        <v>0.92510000000000003</v>
      </c>
      <c r="H21" s="159">
        <v>19323</v>
      </c>
      <c r="I21" s="645">
        <f>H21*(INDEX('Ex ante LI &amp; Eligibility Stats'!$A:$M,MATCH('Program MW '!$A21,'Ex ante LI &amp; Eligibility Stats'!$A:$A,0),MATCH('Program MW '!I$6,'Ex ante LI &amp; Eligibility Stats'!$A$8:$M$8,0))/1000)</f>
        <v>2.0116550958380491E-3</v>
      </c>
      <c r="J21" s="327">
        <f>H21*(INDEX('Ex post LI &amp; Eligibility Stats'!$A:$N,MATCH($A21,'Ex post LI &amp; Eligibility Stats'!$A:$A,0),MATCH('Program MW '!I$6,'Ex post LI &amp; Eligibility Stats'!$A$8:$N$8,0))/1000)</f>
        <v>0.96545821129729859</v>
      </c>
      <c r="K21" s="643">
        <v>16109</v>
      </c>
      <c r="L21" s="326">
        <f>K21*(INDEX('Ex ante LI &amp; Eligibility Stats'!$A:$M,MATCH('Program MW '!$A21,'Ex ante LI &amp; Eligibility Stats'!$A:$A,0),MATCH('Program MW '!L$6,'Ex ante LI &amp; Eligibility Stats'!$A$8:$M$8,0))/1000)</f>
        <v>1.1831353974535091E-2</v>
      </c>
      <c r="M21" s="327">
        <f>K21*(INDEX('Ex post LI &amp; Eligibility Stats'!$A:$N,MATCH($A21,'Ex post LI &amp; Eligibility Stats'!$A:$A,0),MATCH('Program MW '!L$6,'Ex post LI &amp; Eligibility Stats'!$A$8:$N$8,0))/1000)</f>
        <v>0.80487327670590403</v>
      </c>
      <c r="N21" s="159">
        <v>19517</v>
      </c>
      <c r="O21" s="326">
        <f>N21*(INDEX('Ex ante LI &amp; Eligibility Stats'!$A:$M,MATCH('Program MW '!$A21,'Ex ante LI &amp; Eligibility Stats'!$A:$A,0),MATCH('Program MW '!O$6,'Ex ante LI &amp; Eligibility Stats'!$A$8:$M$8,0))/1000)</f>
        <v>2.6687764786962602E-2</v>
      </c>
      <c r="P21" s="327">
        <f>N21*(INDEX('Ex post LI &amp; Eligibility Stats'!$A:$N,MATCH($A21,'Ex post LI &amp; Eligibility Stats'!$A:$A,0),MATCH('Program MW '!O$6,'Ex post LI &amp; Eligibility Stats'!$A$8:$N$8,0))/1000)</f>
        <v>0.97515126584326328</v>
      </c>
      <c r="Q21" s="159">
        <v>20395</v>
      </c>
      <c r="R21" s="326">
        <f>Q21*(INDEX('Ex ante LI &amp; Eligibility Stats'!$A:$M,MATCH('Program MW '!$A21,'Ex ante LI &amp; Eligibility Stats'!$A:$A,0),MATCH('Program MW '!R$6,'Ex ante LI &amp; Eligibility Stats'!$A$8:$M$8,0))/1000)</f>
        <v>1.7896924899157656E-2</v>
      </c>
      <c r="S21" s="327">
        <f>Q21*(INDEX('Ex post LI &amp; Eligibility Stats'!$A:$N,MATCH($A21,'Ex post LI &amp; Eligibility Stats'!$A:$A,0),MATCH('Program MW '!R$6,'Ex post LI &amp; Eligibility Stats'!$A$8:$N$8,0))/1000)</f>
        <v>1.0190198322935571</v>
      </c>
      <c r="T21" s="4"/>
      <c r="U21" s="6"/>
      <c r="V21" s="6"/>
      <c r="W21" s="6"/>
      <c r="X21" s="6"/>
      <c r="Y21" s="6"/>
      <c r="Z21" s="6"/>
      <c r="AA21" s="6"/>
      <c r="AB21" s="6"/>
      <c r="AC21" s="6"/>
      <c r="AD21" s="6"/>
      <c r="AE21" s="6"/>
    </row>
    <row r="22" spans="1:31">
      <c r="A22" s="227" t="s">
        <v>27</v>
      </c>
      <c r="B22" s="269">
        <v>111812</v>
      </c>
      <c r="C22" s="328">
        <f>B22*(INDEX('Ex ante LI &amp; Eligibility Stats'!$A:$M,MATCH($A22,'Ex ante LI &amp; Eligibility Stats'!$A:$A,0),MATCH('Program MW '!C$6,'Ex ante LI &amp; Eligibility Stats'!$A$8:$M$8,0))/1000)</f>
        <v>4.327015207260847</v>
      </c>
      <c r="D22" s="329">
        <f>B22*(INDEX('Ex post LI &amp; Eligibility Stats'!$A:$N,MATCH($A22,'Ex post LI &amp; Eligibility Stats'!$A:$A,0),MATCH('Program MW '!C$6,'Ex post LI &amp; Eligibility Stats'!$A$8:$N$8,0))/1000)</f>
        <v>19.008040000000001</v>
      </c>
      <c r="E22" s="269">
        <v>111739</v>
      </c>
      <c r="F22" s="573">
        <f>E22*(INDEX('Ex ante LI &amp; Eligibility Stats'!$A:$M,MATCH($A22,'Ex ante LI &amp; Eligibility Stats'!$A:$A,0),MATCH('Program MW '!F$6,'Ex ante LI &amp; Eligibility Stats'!$A$8:$M$8,0))/1000)</f>
        <v>3.8396224975138904</v>
      </c>
      <c r="G22" s="327">
        <f>E22*(INDEX('Ex post LI &amp; Eligibility Stats'!$A:$N,MATCH($A22,'Ex post LI &amp; Eligibility Stats'!$A:$A,0),MATCH('Program MW '!F$6,'Ex post LI &amp; Eligibility Stats'!$A$8:$N$8,0))/1000)</f>
        <v>18.995630000000002</v>
      </c>
      <c r="H22" s="269">
        <v>111470</v>
      </c>
      <c r="I22" s="326">
        <f>H22*(INDEX('Ex ante LI &amp; Eligibility Stats'!$A:$M,MATCH('Program MW '!$A22,'Ex ante LI &amp; Eligibility Stats'!$A:$A,0),MATCH('Program MW '!I$6,'Ex ante LI &amp; Eligibility Stats'!$A$8:$M$8,0))/1000)</f>
        <v>4.7142752863180295</v>
      </c>
      <c r="J22" s="327">
        <f>H22*(INDEX('Ex post LI &amp; Eligibility Stats'!$A:$N,MATCH($A22,'Ex post LI &amp; Eligibility Stats'!$A:$A,0),MATCH('Program MW '!I$6,'Ex post LI &amp; Eligibility Stats'!$A$8:$N$8,0))/1000)</f>
        <v>18.627798373690627</v>
      </c>
      <c r="K22" s="643">
        <v>112449</v>
      </c>
      <c r="L22" s="326">
        <f>K22*(INDEX('Ex ante LI &amp; Eligibility Stats'!$A:$M,MATCH('Program MW '!$A22,'Ex ante LI &amp; Eligibility Stats'!$A:$A,0),MATCH('Program MW '!L$6,'Ex ante LI &amp; Eligibility Stats'!$A$8:$M$8,0))/1000)</f>
        <v>5.1785319546330015</v>
      </c>
      <c r="M22" s="327">
        <f>K22*(INDEX('Ex post LI &amp; Eligibility Stats'!$A:$N,MATCH($A22,'Ex post LI &amp; Eligibility Stats'!$A:$A,0),MATCH('Program MW '!L$6,'Ex post LI &amp; Eligibility Stats'!$A$8:$N$8,0))/1000)</f>
        <v>18.791399473608479</v>
      </c>
      <c r="N22" s="269">
        <v>106176</v>
      </c>
      <c r="O22" s="326">
        <f>N22*(INDEX('Ex ante LI &amp; Eligibility Stats'!$A:$M,MATCH('Program MW '!$A22,'Ex ante LI &amp; Eligibility Stats'!$A:$A,0),MATCH('Program MW '!O$6,'Ex ante LI &amp; Eligibility Stats'!$A$8:$M$8,0))/1000)</f>
        <v>10.495567726145767</v>
      </c>
      <c r="P22" s="327">
        <f>N22*(INDEX('Ex post LI &amp; Eligibility Stats'!$A:$N,MATCH($A22,'Ex post LI &amp; Eligibility Stats'!$A:$A,0),MATCH('Program MW '!O$6,'Ex post LI &amp; Eligibility Stats'!$A$8:$N$8,0))/1000)</f>
        <v>17.743115817035758</v>
      </c>
      <c r="Q22" s="269">
        <v>105904</v>
      </c>
      <c r="R22" s="326">
        <f>Q22*(INDEX('Ex ante LI &amp; Eligibility Stats'!$A:$M,MATCH('Program MW '!$A22,'Ex ante LI &amp; Eligibility Stats'!$A:$A,0),MATCH('Program MW '!R$6,'Ex ante LI &amp; Eligibility Stats'!$A$8:$M$8,0))/1000)</f>
        <v>7.935654954850289</v>
      </c>
      <c r="S22" s="327">
        <f>Q22*(INDEX('Ex post LI &amp; Eligibility Stats'!$A:$N,MATCH($A22,'Ex post LI &amp; Eligibility Stats'!$A:$A,0),MATCH('Program MW '!R$6,'Ex post LI &amp; Eligibility Stats'!$A$8:$N$8,0))/1000)</f>
        <v>17.697661783146426</v>
      </c>
      <c r="T22" s="4"/>
      <c r="U22" s="6"/>
      <c r="V22" s="6"/>
      <c r="W22" s="6"/>
      <c r="X22" s="6"/>
      <c r="Y22" s="6"/>
      <c r="Z22" s="6"/>
      <c r="AA22" s="6"/>
      <c r="AB22" s="6"/>
      <c r="AC22" s="6"/>
      <c r="AD22" s="6"/>
      <c r="AE22" s="6"/>
    </row>
    <row r="23" spans="1:31" ht="13.5" thickBot="1">
      <c r="A23" s="184" t="s">
        <v>57</v>
      </c>
      <c r="B23" s="157">
        <f t="shared" ref="B23:S23" si="3">SUM(B12:B22)</f>
        <v>174699</v>
      </c>
      <c r="C23" s="174">
        <f t="shared" si="3"/>
        <v>6.4779166485465431</v>
      </c>
      <c r="D23" s="173">
        <f t="shared" si="3"/>
        <v>32.878399999999999</v>
      </c>
      <c r="E23" s="1">
        <f t="shared" si="3"/>
        <v>175218</v>
      </c>
      <c r="F23" s="229">
        <f t="shared" si="3"/>
        <v>5.9942667902837918</v>
      </c>
      <c r="G23" s="230">
        <f t="shared" si="3"/>
        <v>32.85718</v>
      </c>
      <c r="H23" s="1">
        <f t="shared" si="3"/>
        <v>174537</v>
      </c>
      <c r="I23" s="229">
        <f t="shared" si="3"/>
        <v>4.7170740619647384</v>
      </c>
      <c r="J23" s="230">
        <f t="shared" si="3"/>
        <v>32.916423272768448</v>
      </c>
      <c r="K23" s="1">
        <f t="shared" si="3"/>
        <v>172404</v>
      </c>
      <c r="L23" s="229">
        <f t="shared" si="3"/>
        <v>6.3419381743591412</v>
      </c>
      <c r="M23" s="230">
        <f t="shared" si="3"/>
        <v>32.958681432193202</v>
      </c>
      <c r="N23" s="1">
        <f t="shared" si="3"/>
        <v>169254</v>
      </c>
      <c r="O23" s="231">
        <f t="shared" si="3"/>
        <v>14.576921465517586</v>
      </c>
      <c r="P23" s="234">
        <f t="shared" si="3"/>
        <v>34.579484391792022</v>
      </c>
      <c r="Q23" s="1">
        <f t="shared" si="3"/>
        <v>167475</v>
      </c>
      <c r="R23" s="238">
        <f t="shared" si="3"/>
        <v>11.099773555415865</v>
      </c>
      <c r="S23" s="239">
        <f t="shared" si="3"/>
        <v>34.16693450959761</v>
      </c>
      <c r="T23" s="5"/>
      <c r="U23" s="6"/>
      <c r="V23" s="6"/>
      <c r="W23" s="6"/>
      <c r="X23" s="6"/>
      <c r="Y23" s="6"/>
      <c r="Z23" s="6"/>
      <c r="AA23" s="6"/>
      <c r="AB23" s="6"/>
      <c r="AC23" s="6"/>
      <c r="AD23" s="6"/>
      <c r="AE23" s="6"/>
    </row>
    <row r="24" spans="1:31" ht="14" thickTop="1" thickBot="1">
      <c r="A24" s="191" t="s">
        <v>58</v>
      </c>
      <c r="B24" s="2">
        <f t="shared" ref="B24:S24" si="4">+B10+B23</f>
        <v>174703</v>
      </c>
      <c r="C24" s="174">
        <f t="shared" si="4"/>
        <v>7.069673728624668</v>
      </c>
      <c r="D24" s="267">
        <f t="shared" si="4"/>
        <v>33.302720000000001</v>
      </c>
      <c r="E24" s="2">
        <f t="shared" si="4"/>
        <v>175222</v>
      </c>
      <c r="F24" s="174">
        <f t="shared" si="4"/>
        <v>6.4877002314459009</v>
      </c>
      <c r="G24" s="174">
        <f t="shared" si="4"/>
        <v>33.281500000000001</v>
      </c>
      <c r="H24" s="2">
        <f t="shared" si="4"/>
        <v>174541</v>
      </c>
      <c r="I24" s="174">
        <f t="shared" si="4"/>
        <v>5.3337787738788007</v>
      </c>
      <c r="J24" s="173">
        <f t="shared" si="4"/>
        <v>33.340423272768447</v>
      </c>
      <c r="K24" s="2">
        <f t="shared" si="4"/>
        <v>172408</v>
      </c>
      <c r="L24" s="174">
        <f t="shared" si="4"/>
        <v>6.9073895293396097</v>
      </c>
      <c r="M24" s="173">
        <f t="shared" si="4"/>
        <v>33.382681432193202</v>
      </c>
      <c r="N24" s="2">
        <f t="shared" si="4"/>
        <v>169258</v>
      </c>
      <c r="O24" s="232">
        <f t="shared" si="4"/>
        <v>15.126122515322272</v>
      </c>
      <c r="P24" s="173">
        <f t="shared" si="4"/>
        <v>35.003484391792021</v>
      </c>
      <c r="Q24" s="2">
        <f t="shared" si="4"/>
        <v>167476</v>
      </c>
      <c r="R24" s="241">
        <f t="shared" si="4"/>
        <v>11.266858043330904</v>
      </c>
      <c r="S24" s="240">
        <f t="shared" si="4"/>
        <v>34.272934509597611</v>
      </c>
      <c r="T24" s="8"/>
      <c r="U24" s="6"/>
      <c r="V24" s="6"/>
      <c r="W24" s="6"/>
      <c r="X24" s="6"/>
      <c r="Y24" s="6"/>
      <c r="Z24" s="6"/>
      <c r="AA24" s="6"/>
      <c r="AB24" s="6"/>
      <c r="AC24" s="6"/>
      <c r="AD24" s="6"/>
      <c r="AE24" s="6"/>
    </row>
    <row r="25" spans="1:31" ht="13.5" thickTop="1">
      <c r="A25" s="146"/>
      <c r="B25" s="92"/>
      <c r="C25" s="90"/>
      <c r="D25" s="91"/>
      <c r="E25" s="92"/>
      <c r="F25" s="90"/>
      <c r="G25" s="93"/>
      <c r="H25" s="92"/>
      <c r="I25" s="90"/>
      <c r="J25" s="93"/>
      <c r="K25" s="92"/>
      <c r="L25" s="90"/>
      <c r="M25" s="93"/>
      <c r="N25" s="92"/>
      <c r="O25" s="90"/>
      <c r="P25" s="93"/>
      <c r="Q25" s="92"/>
      <c r="R25" s="90"/>
      <c r="S25" s="93"/>
      <c r="T25" s="9"/>
      <c r="U25" s="6"/>
      <c r="V25" s="6"/>
      <c r="W25" s="6"/>
      <c r="X25" s="6"/>
      <c r="Y25" s="6"/>
      <c r="Z25" s="6"/>
      <c r="AA25" s="6"/>
      <c r="AB25" s="6"/>
      <c r="AC25" s="6"/>
      <c r="AD25" s="6"/>
      <c r="AE25" s="6"/>
    </row>
    <row r="26" spans="1:31">
      <c r="B26" s="41"/>
      <c r="C26" s="41"/>
      <c r="D26" s="41"/>
      <c r="E26" s="41"/>
      <c r="F26" s="41"/>
      <c r="G26" s="41"/>
      <c r="H26" s="41"/>
      <c r="I26" s="41"/>
      <c r="J26" s="41"/>
      <c r="K26" s="41"/>
      <c r="L26" s="41"/>
      <c r="M26" s="41"/>
      <c r="N26" s="41"/>
      <c r="O26" s="41"/>
      <c r="P26" s="41"/>
      <c r="Q26" s="41"/>
      <c r="R26" s="41"/>
      <c r="S26" s="41"/>
    </row>
    <row r="27" spans="1:31" hidden="1">
      <c r="B27" s="41"/>
      <c r="C27" s="41">
        <f>C4+6</f>
        <v>8</v>
      </c>
      <c r="D27" s="41">
        <f>D4+6</f>
        <v>8</v>
      </c>
      <c r="E27" s="41"/>
      <c r="F27" s="41">
        <f>F4+6</f>
        <v>9</v>
      </c>
      <c r="G27" s="41">
        <f>G4+6</f>
        <v>9</v>
      </c>
      <c r="H27" s="41"/>
      <c r="I27" s="41">
        <f>I4+6</f>
        <v>10</v>
      </c>
      <c r="J27" s="41">
        <f>J4+6</f>
        <v>10</v>
      </c>
      <c r="K27" s="41"/>
      <c r="L27" s="41">
        <f>L4+6</f>
        <v>11</v>
      </c>
      <c r="M27" s="41">
        <f>M4+6</f>
        <v>11</v>
      </c>
      <c r="N27" s="41"/>
      <c r="O27" s="41">
        <f>O4+6</f>
        <v>12</v>
      </c>
      <c r="P27" s="41">
        <f>P4+6</f>
        <v>12</v>
      </c>
      <c r="Q27" s="41"/>
      <c r="R27" s="41">
        <f>R4+6</f>
        <v>13</v>
      </c>
      <c r="S27" s="41">
        <f>S4+6</f>
        <v>13</v>
      </c>
    </row>
    <row r="28" spans="1:31" ht="13">
      <c r="A28" s="88"/>
      <c r="B28" s="385"/>
      <c r="C28" s="385" t="s">
        <v>59</v>
      </c>
      <c r="D28" s="255"/>
      <c r="E28" s="385"/>
      <c r="F28" s="385" t="s">
        <v>66</v>
      </c>
      <c r="G28" s="385"/>
      <c r="H28" s="385"/>
      <c r="I28" s="385" t="s">
        <v>67</v>
      </c>
      <c r="J28" s="385"/>
      <c r="K28" s="385"/>
      <c r="L28" s="385" t="s">
        <v>61</v>
      </c>
      <c r="M28" s="385"/>
      <c r="N28" s="385"/>
      <c r="O28" s="385" t="s">
        <v>68</v>
      </c>
      <c r="P28" s="385"/>
      <c r="Q28" s="385"/>
      <c r="R28" s="385" t="s">
        <v>62</v>
      </c>
      <c r="S28" s="385"/>
      <c r="T28" s="146"/>
      <c r="U28" s="146"/>
    </row>
    <row r="29" spans="1:31" ht="39">
      <c r="A29" s="162" t="s">
        <v>46</v>
      </c>
      <c r="B29" s="181" t="s">
        <v>6</v>
      </c>
      <c r="C29" s="178" t="s">
        <v>277</v>
      </c>
      <c r="D29" s="168" t="s">
        <v>278</v>
      </c>
      <c r="E29" s="181" t="s">
        <v>6</v>
      </c>
      <c r="F29" s="178" t="s">
        <v>277</v>
      </c>
      <c r="G29" s="168" t="s">
        <v>278</v>
      </c>
      <c r="H29" s="181" t="s">
        <v>6</v>
      </c>
      <c r="I29" s="178" t="s">
        <v>277</v>
      </c>
      <c r="J29" s="168" t="s">
        <v>278</v>
      </c>
      <c r="K29" s="181" t="s">
        <v>6</v>
      </c>
      <c r="L29" s="178" t="s">
        <v>277</v>
      </c>
      <c r="M29" s="168" t="s">
        <v>278</v>
      </c>
      <c r="N29" s="181" t="s">
        <v>6</v>
      </c>
      <c r="O29" s="178" t="s">
        <v>277</v>
      </c>
      <c r="P29" s="168" t="s">
        <v>278</v>
      </c>
      <c r="Q29" s="181" t="s">
        <v>6</v>
      </c>
      <c r="R29" s="178" t="s">
        <v>277</v>
      </c>
      <c r="S29" s="168" t="s">
        <v>278</v>
      </c>
      <c r="T29" s="168" t="s">
        <v>50</v>
      </c>
      <c r="V29" s="11"/>
    </row>
    <row r="30" spans="1:31" ht="13">
      <c r="A30" s="162" t="s">
        <v>51</v>
      </c>
      <c r="B30" s="181"/>
      <c r="C30" s="179"/>
      <c r="D30" s="182"/>
      <c r="E30" s="181"/>
      <c r="F30" s="179"/>
      <c r="G30" s="182"/>
      <c r="H30" s="181"/>
      <c r="I30" s="179"/>
      <c r="J30" s="179"/>
      <c r="K30" s="181"/>
      <c r="L30" s="179"/>
      <c r="M30" s="182"/>
      <c r="N30" s="181"/>
      <c r="O30" s="179"/>
      <c r="P30" s="182"/>
      <c r="Q30" s="181"/>
      <c r="R30" s="179"/>
      <c r="S30" s="182"/>
      <c r="T30" s="183"/>
    </row>
    <row r="31" spans="1:31">
      <c r="A31" s="85" t="s">
        <v>8</v>
      </c>
      <c r="B31" s="127">
        <v>0</v>
      </c>
      <c r="C31" s="326">
        <f>B31*(INDEX('Ex ante LI &amp; Eligibility Stats'!$A:$M,MATCH('Program MW '!$A31,'Ex ante LI &amp; Eligibility Stats'!$A:$A,0),MATCH('Program MW '!C$28,'Ex ante LI &amp; Eligibility Stats'!$A$8:$M$8,0))/1000)</f>
        <v>0</v>
      </c>
      <c r="D31" s="326">
        <f>B31*(INDEX('Ex post LI &amp; Eligibility Stats'!$A:$N,MATCH($A31,'Ex post LI &amp; Eligibility Stats'!$A:$A,0),MATCH('Program MW '!C$28,'Ex post LI &amp; Eligibility Stats'!$A$8:$N$8,0))/1000)</f>
        <v>0</v>
      </c>
      <c r="E31" s="124">
        <v>0</v>
      </c>
      <c r="F31" s="326">
        <f>E31*(INDEX('Ex ante LI &amp; Eligibility Stats'!$A:$M,MATCH('Program MW '!$A31,'Ex ante LI &amp; Eligibility Stats'!$A:$A,0),MATCH('Program MW '!F$28,'Ex ante LI &amp; Eligibility Stats'!$A$8:$M$8,0))/1000)</f>
        <v>0</v>
      </c>
      <c r="G31" s="326">
        <f>E31*(INDEX('Ex post LI &amp; Eligibility Stats'!$A:$N,MATCH($A31,'Ex post LI &amp; Eligibility Stats'!$A:$A,0),MATCH('Program MW '!F$28,'Ex post LI &amp; Eligibility Stats'!$A$8:$N$8,0))/1000)</f>
        <v>0</v>
      </c>
      <c r="H31" s="124">
        <v>0</v>
      </c>
      <c r="I31" s="326">
        <f>H31*(INDEX('Ex ante LI &amp; Eligibility Stats'!$A:$M,MATCH('Program MW '!$A31,'Ex ante LI &amp; Eligibility Stats'!$A:$A,0),MATCH('Program MW '!I$28,'Ex ante LI &amp; Eligibility Stats'!$A$8:$M$8,0))/1000)</f>
        <v>0</v>
      </c>
      <c r="J31" s="326">
        <f>H31*(INDEX('Ex post LI &amp; Eligibility Stats'!$A:$N,MATCH($A31,'Ex post LI &amp; Eligibility Stats'!$A:$A,0),MATCH('Program MW '!I$28,'Ex post LI &amp; Eligibility Stats'!$A$8:$N$8,0))/1000)</f>
        <v>0</v>
      </c>
      <c r="K31" s="126">
        <v>0</v>
      </c>
      <c r="L31" s="326">
        <f>K31*(INDEX('Ex ante LI &amp; Eligibility Stats'!$A:$M,MATCH('Program MW '!$A31,'Ex ante LI &amp; Eligibility Stats'!$A:$A,0),MATCH('Program MW '!L$28,'Ex ante LI &amp; Eligibility Stats'!$A$8:$M$8,0))/1000)</f>
        <v>0</v>
      </c>
      <c r="M31" s="326">
        <f>K31*(INDEX('Ex post LI &amp; Eligibility Stats'!$A:$N,MATCH($A31,'Ex post LI &amp; Eligibility Stats'!$A:$A,0),MATCH('Program MW '!L$28,'Ex post LI &amp; Eligibility Stats'!$A$8:$N$8,0))/1000)</f>
        <v>0</v>
      </c>
      <c r="N31" s="124">
        <v>0</v>
      </c>
      <c r="O31" s="326">
        <f>N31*(INDEX('Ex ante LI &amp; Eligibility Stats'!$A:$M,MATCH('Program MW '!$A31,'Ex ante LI &amp; Eligibility Stats'!$A:$A,0),MATCH('Program MW '!O$28,'Ex ante LI &amp; Eligibility Stats'!$A$8:$M$8,0))/1000)</f>
        <v>0</v>
      </c>
      <c r="P31" s="326">
        <f>N31*(INDEX('Ex post LI &amp; Eligibility Stats'!$A:$N,MATCH($A31,'Ex post LI &amp; Eligibility Stats'!$A:$A,0),MATCH('Program MW '!O$28,'Ex post LI &amp; Eligibility Stats'!$A$8:$N$8,0))/1000)</f>
        <v>0</v>
      </c>
      <c r="Q31" s="124">
        <v>0</v>
      </c>
      <c r="R31" s="326">
        <f>Q31*(INDEX('Ex ante LI &amp; Eligibility Stats'!$A:$M,MATCH('Program MW '!$A31,'Ex ante LI &amp; Eligibility Stats'!$A:$A,0),MATCH('Program MW '!R$28,'Ex ante LI &amp; Eligibility Stats'!$A$8:$M$8,0))/1000)</f>
        <v>0</v>
      </c>
      <c r="S31" s="326">
        <f>Q31*(INDEX('Ex post LI &amp; Eligibility Stats'!$A:$N,MATCH($A31,'Ex post LI &amp; Eligibility Stats'!$A:$A,0),MATCH('Program MW '!R$28,'Ex post LI &amp; Eligibility Stats'!$A$8:$N$8,0))/1000)</f>
        <v>0</v>
      </c>
      <c r="T31" s="4">
        <v>5276</v>
      </c>
    </row>
    <row r="32" spans="1:31" ht="13.5" thickBot="1">
      <c r="A32" s="184" t="s">
        <v>52</v>
      </c>
      <c r="B32" s="155">
        <f t="shared" ref="B32:K32" si="5">SUM(B31:B31)</f>
        <v>0</v>
      </c>
      <c r="C32" s="257">
        <f t="shared" si="5"/>
        <v>0</v>
      </c>
      <c r="D32" s="258">
        <f t="shared" si="5"/>
        <v>0</v>
      </c>
      <c r="E32" s="125">
        <f t="shared" si="5"/>
        <v>0</v>
      </c>
      <c r="F32" s="257">
        <f t="shared" ref="F32:G32" si="6">SUM(F31:F31)</f>
        <v>0</v>
      </c>
      <c r="G32" s="258">
        <f t="shared" si="6"/>
        <v>0</v>
      </c>
      <c r="H32" s="125">
        <f t="shared" si="5"/>
        <v>0</v>
      </c>
      <c r="I32" s="257">
        <f t="shared" si="5"/>
        <v>0</v>
      </c>
      <c r="J32" s="258">
        <f t="shared" si="5"/>
        <v>0</v>
      </c>
      <c r="K32" s="125">
        <f t="shared" si="5"/>
        <v>0</v>
      </c>
      <c r="L32" s="257">
        <f t="shared" ref="L32:M32" si="7">SUM(L31:L31)</f>
        <v>0</v>
      </c>
      <c r="M32" s="258">
        <f t="shared" si="7"/>
        <v>0</v>
      </c>
      <c r="N32" s="125">
        <f t="shared" ref="N32:Q32" si="8">SUM(N31:N31)</f>
        <v>0</v>
      </c>
      <c r="O32" s="257">
        <f t="shared" ref="O32:P32" si="9">SUM(O31:O31)</f>
        <v>0</v>
      </c>
      <c r="P32" s="258">
        <f t="shared" si="9"/>
        <v>0</v>
      </c>
      <c r="Q32" s="125">
        <f t="shared" si="8"/>
        <v>0</v>
      </c>
      <c r="R32" s="257">
        <f t="shared" ref="R32:S32" si="10">SUM(R31:R31)</f>
        <v>0</v>
      </c>
      <c r="S32" s="258">
        <f t="shared" si="10"/>
        <v>0</v>
      </c>
      <c r="T32" s="5"/>
    </row>
    <row r="33" spans="1:26" ht="13.5" thickTop="1">
      <c r="A33" s="162" t="s">
        <v>53</v>
      </c>
      <c r="B33" s="189"/>
      <c r="C33" s="188"/>
      <c r="D33" s="187"/>
      <c r="E33" s="189"/>
      <c r="F33" s="188"/>
      <c r="G33" s="187"/>
      <c r="H33" s="189"/>
      <c r="I33" s="188"/>
      <c r="J33" s="187"/>
      <c r="K33" s="189"/>
      <c r="L33" s="188"/>
      <c r="M33" s="187"/>
      <c r="N33" s="189"/>
      <c r="O33" s="188"/>
      <c r="P33" s="187"/>
      <c r="Q33" s="189"/>
      <c r="R33" s="188"/>
      <c r="S33" s="187"/>
      <c r="T33" s="183"/>
    </row>
    <row r="34" spans="1:26">
      <c r="A34" s="42" t="s">
        <v>11</v>
      </c>
      <c r="B34" s="158">
        <v>0</v>
      </c>
      <c r="C34" s="326">
        <f>B34*(INDEX('Ex ante LI &amp; Eligibility Stats'!$A:$M,MATCH('Program MW '!$A34,'Ex ante LI &amp; Eligibility Stats'!$A:$A,0),MATCH('Program MW '!C$28,'Ex ante LI &amp; Eligibility Stats'!$A$8:$M$8,0))/1000)</f>
        <v>0</v>
      </c>
      <c r="D34" s="325">
        <f>B34*(INDEX('Ex post LI &amp; Eligibility Stats'!$A:$N,MATCH($A34,'Ex post LI &amp; Eligibility Stats'!$A:$A,0),MATCH('Program MW '!C$28,'Ex post LI &amp; Eligibility Stats'!$A$8:$N$8,0))/1000)</f>
        <v>0</v>
      </c>
      <c r="E34" s="158">
        <v>0</v>
      </c>
      <c r="F34" s="326">
        <f>E34*(INDEX('Ex ante LI &amp; Eligibility Stats'!$A:$M,MATCH('Program MW '!$A34,'Ex ante LI &amp; Eligibility Stats'!$A:$A,0),MATCH('Program MW '!F$28,'Ex ante LI &amp; Eligibility Stats'!$A$8:$M$8,0))/1000)</f>
        <v>0</v>
      </c>
      <c r="G34" s="325">
        <f>E34*(INDEX('Ex post LI &amp; Eligibility Stats'!$A:$N,MATCH($A34,'Ex post LI &amp; Eligibility Stats'!$A:$A,0),MATCH('Program MW '!F$28,'Ex post LI &amp; Eligibility Stats'!$A$8:$N$8,0))/1000)</f>
        <v>0</v>
      </c>
      <c r="H34" s="158">
        <v>0</v>
      </c>
      <c r="I34" s="326">
        <f>H34*(INDEX('Ex ante LI &amp; Eligibility Stats'!$A:$M,MATCH('Program MW '!$A34,'Ex ante LI &amp; Eligibility Stats'!$A:$A,0),MATCH('Program MW '!I$28,'Ex ante LI &amp; Eligibility Stats'!$A$8:$M$8,0))/1000)</f>
        <v>0</v>
      </c>
      <c r="J34" s="325">
        <f>H34*(INDEX('Ex post LI &amp; Eligibility Stats'!$A:$N,MATCH($A34,'Ex post LI &amp; Eligibility Stats'!$A:$A,0),MATCH('Program MW '!I$28,'Ex post LI &amp; Eligibility Stats'!$A$8:$N$8,0))/1000)</f>
        <v>0</v>
      </c>
      <c r="K34" s="158">
        <v>0</v>
      </c>
      <c r="L34" s="326">
        <f>K34*(INDEX('Ex ante LI &amp; Eligibility Stats'!$A:$M,MATCH('Program MW '!$A34,'Ex ante LI &amp; Eligibility Stats'!$A:$A,0),MATCH('Program MW '!L$28,'Ex ante LI &amp; Eligibility Stats'!$A$8:$M$8,0))/1000)</f>
        <v>0</v>
      </c>
      <c r="M34" s="325">
        <f>K34*(INDEX('Ex post LI &amp; Eligibility Stats'!$A:$N,MATCH($A34,'Ex post LI &amp; Eligibility Stats'!$A:$A,0),MATCH('Program MW '!L$28,'Ex post LI &amp; Eligibility Stats'!$A$8:$N$8,0))/1000)</f>
        <v>0</v>
      </c>
      <c r="N34" s="158">
        <v>0</v>
      </c>
      <c r="O34" s="326">
        <f>N34*(INDEX('Ex ante LI &amp; Eligibility Stats'!$A:$M,MATCH('Program MW '!$A34,'Ex ante LI &amp; Eligibility Stats'!$A:$A,0),MATCH('Program MW '!O$28,'Ex ante LI &amp; Eligibility Stats'!$A$8:$M$8,0))/1000)</f>
        <v>0</v>
      </c>
      <c r="P34" s="325">
        <f>N34*(INDEX('Ex post LI &amp; Eligibility Stats'!$A:$N,MATCH($A34,'Ex post LI &amp; Eligibility Stats'!$A:$A,0),MATCH('Program MW '!O$28,'Ex post LI &amp; Eligibility Stats'!$A$8:$N$8,0))/1000)</f>
        <v>0</v>
      </c>
      <c r="Q34" s="158">
        <v>0</v>
      </c>
      <c r="R34" s="326">
        <f>Q34*(INDEX('Ex ante LI &amp; Eligibility Stats'!$A:$M,MATCH('Program MW '!$A34,'Ex ante LI &amp; Eligibility Stats'!$A:$A,0),MATCH('Program MW '!R$28,'Ex ante LI &amp; Eligibility Stats'!$A$8:$M$8,0))/1000)</f>
        <v>0</v>
      </c>
      <c r="S34" s="325">
        <f>Q34*(INDEX('Ex post LI &amp; Eligibility Stats'!$A:$N,MATCH($A34,'Ex post LI &amp; Eligibility Stats'!$A:$A,0),MATCH('Program MW '!R$28,'Ex post LI &amp; Eligibility Stats'!$A$8:$N$8,0))/1000)</f>
        <v>0</v>
      </c>
      <c r="T34" s="7">
        <v>138123</v>
      </c>
    </row>
    <row r="35" spans="1:26" ht="13.5">
      <c r="A35" s="205" t="s">
        <v>54</v>
      </c>
      <c r="B35" s="206">
        <v>0</v>
      </c>
      <c r="C35" s="326">
        <v>0</v>
      </c>
      <c r="D35" s="327">
        <v>0</v>
      </c>
      <c r="E35" s="206">
        <v>0</v>
      </c>
      <c r="F35" s="326">
        <v>0</v>
      </c>
      <c r="G35" s="327">
        <v>0</v>
      </c>
      <c r="H35" s="206">
        <v>0</v>
      </c>
      <c r="I35" s="326">
        <v>0</v>
      </c>
      <c r="J35" s="327">
        <v>0</v>
      </c>
      <c r="K35" s="206">
        <v>0</v>
      </c>
      <c r="L35" s="326">
        <v>0</v>
      </c>
      <c r="M35" s="327">
        <v>0</v>
      </c>
      <c r="N35" s="206">
        <v>0</v>
      </c>
      <c r="O35" s="326">
        <v>0</v>
      </c>
      <c r="P35" s="327">
        <v>0</v>
      </c>
      <c r="Q35" s="206">
        <v>0</v>
      </c>
      <c r="R35" s="326">
        <v>0</v>
      </c>
      <c r="S35" s="327">
        <v>0</v>
      </c>
      <c r="T35" s="4"/>
    </row>
    <row r="36" spans="1:26">
      <c r="A36" s="271" t="s">
        <v>17</v>
      </c>
      <c r="B36" s="159">
        <v>0</v>
      </c>
      <c r="C36" s="326">
        <f>B36*(INDEX('Ex ante LI &amp; Eligibility Stats'!$A:$M,MATCH('Program MW '!$A36,'Ex ante LI &amp; Eligibility Stats'!$A:$A,0),MATCH('Program MW '!C$28,'Ex ante LI &amp; Eligibility Stats'!$A$8:$M$8,0))/1000)</f>
        <v>0</v>
      </c>
      <c r="D36" s="327">
        <f>B36*(INDEX('Ex post LI &amp; Eligibility Stats'!$A:$N,MATCH($A36,'Ex post LI &amp; Eligibility Stats'!$A:$A,0),MATCH('Program MW '!C$28,'Ex post LI &amp; Eligibility Stats'!$A$8:$N$8,0))/1000)</f>
        <v>0</v>
      </c>
      <c r="E36" s="159">
        <v>0</v>
      </c>
      <c r="F36" s="326">
        <f>E36*(INDEX('Ex ante LI &amp; Eligibility Stats'!$A:$M,MATCH('Program MW '!$A36,'Ex ante LI &amp; Eligibility Stats'!$A:$A,0),MATCH('Program MW '!F$28,'Ex ante LI &amp; Eligibility Stats'!$A$8:$M$8,0))/1000)</f>
        <v>0</v>
      </c>
      <c r="G36" s="327">
        <f>E36*(INDEX('Ex post LI &amp; Eligibility Stats'!$A:$N,MATCH($A36,'Ex post LI &amp; Eligibility Stats'!$A:$A,0),MATCH('Program MW '!F$28,'Ex post LI &amp; Eligibility Stats'!$A$8:$N$8,0))/1000)</f>
        <v>0</v>
      </c>
      <c r="H36" s="159">
        <v>0</v>
      </c>
      <c r="I36" s="326">
        <f>H36*(INDEX('Ex ante LI &amp; Eligibility Stats'!$A:$M,MATCH('Program MW '!$A36,'Ex ante LI &amp; Eligibility Stats'!$A:$A,0),MATCH('Program MW '!I$28,'Ex ante LI &amp; Eligibility Stats'!$A$8:$M$8,0))/1000)</f>
        <v>0</v>
      </c>
      <c r="J36" s="327">
        <f>H36*(INDEX('Ex post LI &amp; Eligibility Stats'!$A:$N,MATCH($A36,'Ex post LI &amp; Eligibility Stats'!$A:$A,0),MATCH('Program MW '!I$28,'Ex post LI &amp; Eligibility Stats'!$A$8:$N$8,0))/1000)</f>
        <v>0</v>
      </c>
      <c r="K36" s="159">
        <v>0</v>
      </c>
      <c r="L36" s="326">
        <f>K36*(INDEX('Ex ante LI &amp; Eligibility Stats'!$A:$M,MATCH('Program MW '!$A36,'Ex ante LI &amp; Eligibility Stats'!$A:$A,0),MATCH('Program MW '!L$28,'Ex ante LI &amp; Eligibility Stats'!$A$8:$M$8,0))/1000)</f>
        <v>0</v>
      </c>
      <c r="M36" s="327">
        <f>K36*(INDEX('Ex post LI &amp; Eligibility Stats'!$A:$N,MATCH($A36,'Ex post LI &amp; Eligibility Stats'!$A:$A,0),MATCH('Program MW '!L$28,'Ex post LI &amp; Eligibility Stats'!$A$8:$N$8,0))/1000)</f>
        <v>0</v>
      </c>
      <c r="N36" s="159">
        <v>0</v>
      </c>
      <c r="O36" s="508">
        <f>N36*(INDEX('Ex ante LI &amp; Eligibility Stats'!$A:$M,MATCH('Program MW '!$A36,'Ex ante LI &amp; Eligibility Stats'!$A:$A,0),MATCH('Program MW '!O$28,'Ex ante LI &amp; Eligibility Stats'!$A$8:$M$8,0))/1000)</f>
        <v>0</v>
      </c>
      <c r="P36" s="327">
        <f>N36*(INDEX('Ex post LI &amp; Eligibility Stats'!$A:$N,MATCH($A36,'Ex post LI &amp; Eligibility Stats'!$A:$A,0),MATCH('Program MW '!O$28,'Ex post LI &amp; Eligibility Stats'!$A$8:$N$8,0))/1000)</f>
        <v>0</v>
      </c>
      <c r="Q36" s="159">
        <v>0</v>
      </c>
      <c r="R36" s="326">
        <f>Q36*(INDEX('Ex ante LI &amp; Eligibility Stats'!$A:$M,MATCH('Program MW '!$A36,'Ex ante LI &amp; Eligibility Stats'!$A:$A,0),MATCH('Program MW '!R$28,'Ex ante LI &amp; Eligibility Stats'!$A$8:$M$8,0))/1000)</f>
        <v>0</v>
      </c>
      <c r="S36" s="327">
        <f>Q36*(INDEX('Ex post LI &amp; Eligibility Stats'!$A:$N,MATCH($A36,'Ex post LI &amp; Eligibility Stats'!$A:$A,0),MATCH('Program MW '!R$28,'Ex post LI &amp; Eligibility Stats'!$A$8:$N$8,0))/1000)</f>
        <v>0</v>
      </c>
      <c r="T36" s="4">
        <v>663393.5</v>
      </c>
    </row>
    <row r="37" spans="1:26">
      <c r="A37" s="271" t="s">
        <v>20</v>
      </c>
      <c r="B37" s="159">
        <v>0</v>
      </c>
      <c r="C37" s="326">
        <f>B37*(INDEX('Ex ante LI &amp; Eligibility Stats'!$A:$M,MATCH('Program MW '!$A37,'Ex ante LI &amp; Eligibility Stats'!$A:$A,0),MATCH('Program MW '!C$28,'Ex ante LI &amp; Eligibility Stats'!$A$8:$M$8,0))/1000)</f>
        <v>0</v>
      </c>
      <c r="D37" s="327">
        <f>B37*(INDEX('Ex post LI &amp; Eligibility Stats'!$A:$N,MATCH($A37,'Ex post LI &amp; Eligibility Stats'!$A:$A,0),MATCH('Program MW '!C$28,'Ex post LI &amp; Eligibility Stats'!$A$8:$N$8,0))/1000)</f>
        <v>0</v>
      </c>
      <c r="E37" s="159">
        <v>0</v>
      </c>
      <c r="F37" s="326">
        <f>E37*(INDEX('Ex ante LI &amp; Eligibility Stats'!$A:$M,MATCH('Program MW '!$A37,'Ex ante LI &amp; Eligibility Stats'!$A:$A,0),MATCH('Program MW '!F$28,'Ex ante LI &amp; Eligibility Stats'!$A$8:$M$8,0))/1000)</f>
        <v>0</v>
      </c>
      <c r="G37" s="327">
        <f>E37*(INDEX('Ex post LI &amp; Eligibility Stats'!$A:$N,MATCH($A37,'Ex post LI &amp; Eligibility Stats'!$A:$A,0),MATCH('Program MW '!F$28,'Ex post LI &amp; Eligibility Stats'!$A$8:$N$8,0))/1000)</f>
        <v>0</v>
      </c>
      <c r="H37" s="159">
        <v>0</v>
      </c>
      <c r="I37" s="326">
        <f>H37*(INDEX('Ex ante LI &amp; Eligibility Stats'!$A:$M,MATCH('Program MW '!$A37,'Ex ante LI &amp; Eligibility Stats'!$A:$A,0),MATCH('Program MW '!I$28,'Ex ante LI &amp; Eligibility Stats'!$A$8:$M$8,0))/1000)</f>
        <v>0</v>
      </c>
      <c r="J37" s="327">
        <f>H37*(INDEX('Ex post LI &amp; Eligibility Stats'!$A:$N,MATCH($A37,'Ex post LI &amp; Eligibility Stats'!$A:$A,0),MATCH('Program MW '!I$28,'Ex post LI &amp; Eligibility Stats'!$A$8:$N$8,0))/1000)</f>
        <v>0</v>
      </c>
      <c r="K37" s="159">
        <v>0</v>
      </c>
      <c r="L37" s="326">
        <f>K37*(INDEX('Ex ante LI &amp; Eligibility Stats'!$A:$M,MATCH('Program MW '!$A37,'Ex ante LI &amp; Eligibility Stats'!$A:$A,0),MATCH('Program MW '!L$28,'Ex ante LI &amp; Eligibility Stats'!$A$8:$M$8,0))/1000)</f>
        <v>0</v>
      </c>
      <c r="M37" s="327">
        <f>K37*(INDEX('Ex post LI &amp; Eligibility Stats'!$A:$N,MATCH($A37,'Ex post LI &amp; Eligibility Stats'!$A:$A,0),MATCH('Program MW '!L$28,'Ex post LI &amp; Eligibility Stats'!$A$8:$N$8,0))/1000)</f>
        <v>0</v>
      </c>
      <c r="N37" s="159">
        <v>0</v>
      </c>
      <c r="O37" s="326">
        <f>N37*(INDEX('Ex ante LI &amp; Eligibility Stats'!$A:$M,MATCH('Program MW '!$A37,'Ex ante LI &amp; Eligibility Stats'!$A:$A,0),MATCH('Program MW '!O$28,'Ex ante LI &amp; Eligibility Stats'!$A$8:$M$8,0))/1000)</f>
        <v>0</v>
      </c>
      <c r="P37" s="327">
        <f>N37*(INDEX('Ex post LI &amp; Eligibility Stats'!$A:$N,MATCH($A37,'Ex post LI &amp; Eligibility Stats'!$A:$A,0),MATCH('Program MW '!O$28,'Ex post LI &amp; Eligibility Stats'!$A$8:$N$8,0))/1000)</f>
        <v>0</v>
      </c>
      <c r="Q37" s="159">
        <v>0</v>
      </c>
      <c r="R37" s="326">
        <f>Q37*(INDEX('Ex ante LI &amp; Eligibility Stats'!$A:$M,MATCH('Program MW '!$A37,'Ex ante LI &amp; Eligibility Stats'!$A:$A,0),MATCH('Program MW '!R$28,'Ex ante LI &amp; Eligibility Stats'!$A$8:$M$8,0))/1000)</f>
        <v>0</v>
      </c>
      <c r="S37" s="327">
        <f>Q37*(INDEX('Ex post LI &amp; Eligibility Stats'!$A:$N,MATCH($A37,'Ex post LI &amp; Eligibility Stats'!$A:$A,0),MATCH('Program MW '!R$28,'Ex post LI &amp; Eligibility Stats'!$A$8:$N$8,0))/1000)</f>
        <v>0</v>
      </c>
      <c r="T37" s="4"/>
    </row>
    <row r="38" spans="1:26">
      <c r="A38" s="271" t="s">
        <v>21</v>
      </c>
      <c r="B38" s="383">
        <v>0</v>
      </c>
      <c r="C38" s="326">
        <f>B38*(INDEX('Ex ante LI &amp; Eligibility Stats'!$A:$M,MATCH('Program MW '!$A38,'Ex ante LI &amp; Eligibility Stats'!$A:$A,0),MATCH('Program MW '!C$28,'Ex ante LI &amp; Eligibility Stats'!$A$8:$M$8,0))/1000)</f>
        <v>0</v>
      </c>
      <c r="D38" s="327">
        <f>B38*(INDEX('Ex post LI &amp; Eligibility Stats'!$A:$N,MATCH($A38,'Ex post LI &amp; Eligibility Stats'!$A:$A,0),MATCH('Program MW '!C$28,'Ex post LI &amp; Eligibility Stats'!$A$8:$N$8,0))/1000)</f>
        <v>0</v>
      </c>
      <c r="E38" s="383">
        <v>0</v>
      </c>
      <c r="F38" s="326">
        <f>E38*(INDEX('Ex ante LI &amp; Eligibility Stats'!$A:$M,MATCH('Program MW '!$A38,'Ex ante LI &amp; Eligibility Stats'!$A:$A,0),MATCH('Program MW '!F$28,'Ex ante LI &amp; Eligibility Stats'!$A$8:$M$8,0))/1000)</f>
        <v>0</v>
      </c>
      <c r="G38" s="327">
        <f>E38*(INDEX('Ex post LI &amp; Eligibility Stats'!$A:$N,MATCH($A38,'Ex post LI &amp; Eligibility Stats'!$A:$A,0),MATCH('Program MW '!F$28,'Ex post LI &amp; Eligibility Stats'!$A$8:$N$8,0))/1000)</f>
        <v>0</v>
      </c>
      <c r="H38" s="383">
        <v>0</v>
      </c>
      <c r="I38" s="326">
        <f>H38*(INDEX('Ex ante LI &amp; Eligibility Stats'!$A:$M,MATCH('Program MW '!$A38,'Ex ante LI &amp; Eligibility Stats'!$A:$A,0),MATCH('Program MW '!I$28,'Ex ante LI &amp; Eligibility Stats'!$A$8:$M$8,0))/1000)</f>
        <v>0</v>
      </c>
      <c r="J38" s="327">
        <f>H38*(INDEX('Ex post LI &amp; Eligibility Stats'!$A:$N,MATCH($A38,'Ex post LI &amp; Eligibility Stats'!$A:$A,0),MATCH('Program MW '!I$28,'Ex post LI &amp; Eligibility Stats'!$A$8:$N$8,0))/1000)</f>
        <v>0</v>
      </c>
      <c r="K38" s="383">
        <v>0</v>
      </c>
      <c r="L38" s="326">
        <f>K38*(INDEX('Ex ante LI &amp; Eligibility Stats'!$A:$M,MATCH('Program MW '!$A38,'Ex ante LI &amp; Eligibility Stats'!$A:$A,0),MATCH('Program MW '!L$28,'Ex ante LI &amp; Eligibility Stats'!$A$8:$M$8,0))/1000)</f>
        <v>0</v>
      </c>
      <c r="M38" s="327">
        <f>K38*(INDEX('Ex post LI &amp; Eligibility Stats'!$A:$N,MATCH($A38,'Ex post LI &amp; Eligibility Stats'!$A:$A,0),MATCH('Program MW '!L$28,'Ex post LI &amp; Eligibility Stats'!$A$8:$N$8,0))/1000)</f>
        <v>0</v>
      </c>
      <c r="N38" s="383">
        <v>0</v>
      </c>
      <c r="O38" s="326">
        <f>N38*(INDEX('Ex ante LI &amp; Eligibility Stats'!$A:$M,MATCH('Program MW '!$A38,'Ex ante LI &amp; Eligibility Stats'!$A:$A,0),MATCH('Program MW '!O$28,'Ex ante LI &amp; Eligibility Stats'!$A$8:$M$8,0))/1000)</f>
        <v>0</v>
      </c>
      <c r="P38" s="327">
        <f>N38*(INDEX('Ex post LI &amp; Eligibility Stats'!$A:$N,MATCH($A38,'Ex post LI &amp; Eligibility Stats'!$A:$A,0),MATCH('Program MW '!O$28,'Ex post LI &amp; Eligibility Stats'!$A$8:$N$8,0))/1000)</f>
        <v>0</v>
      </c>
      <c r="Q38" s="383">
        <v>0</v>
      </c>
      <c r="R38" s="326">
        <f>Q38*(INDEX('Ex ante LI &amp; Eligibility Stats'!$A:$M,MATCH('Program MW '!$A38,'Ex ante LI &amp; Eligibility Stats'!$A:$A,0),MATCH('Program MW '!R$28,'Ex ante LI &amp; Eligibility Stats'!$A$8:$M$8,0))/1000)</f>
        <v>0</v>
      </c>
      <c r="S38" s="327">
        <f>Q38*(INDEX('Ex post LI &amp; Eligibility Stats'!$A:$N,MATCH($A38,'Ex post LI &amp; Eligibility Stats'!$A:$A,0),MATCH('Program MW '!R$28,'Ex post LI &amp; Eligibility Stats'!$A$8:$N$8,0))/1000)</f>
        <v>0</v>
      </c>
      <c r="T38" s="4">
        <v>157189</v>
      </c>
    </row>
    <row r="39" spans="1:26">
      <c r="A39" s="271" t="s">
        <v>23</v>
      </c>
      <c r="B39" s="383">
        <v>0</v>
      </c>
      <c r="C39" s="326">
        <f>B39*(INDEX('Ex ante LI &amp; Eligibility Stats'!$A:$M,MATCH('Program MW '!$A39,'Ex ante LI &amp; Eligibility Stats'!$A:$A,0),MATCH('Program MW '!C$28,'Ex ante LI &amp; Eligibility Stats'!$A$8:$M$8,0))/1000)</f>
        <v>0</v>
      </c>
      <c r="D39" s="327">
        <f>B39*(INDEX('Ex post LI &amp; Eligibility Stats'!$A:$N,MATCH($A39,'Ex post LI &amp; Eligibility Stats'!$A:$A,0),MATCH('Program MW '!C$28,'Ex post LI &amp; Eligibility Stats'!$A$8:$N$8,0))/1000)</f>
        <v>0</v>
      </c>
      <c r="E39" s="383">
        <v>0</v>
      </c>
      <c r="F39" s="326">
        <f>E39*(INDEX('Ex ante LI &amp; Eligibility Stats'!$A:$M,MATCH('Program MW '!$A39,'Ex ante LI &amp; Eligibility Stats'!$A:$A,0),MATCH('Program MW '!F$28,'Ex ante LI &amp; Eligibility Stats'!$A$8:$M$8,0))/1000)</f>
        <v>0</v>
      </c>
      <c r="G39" s="327">
        <f>E39*(INDEX('Ex post LI &amp; Eligibility Stats'!$A:$N,MATCH($A39,'Ex post LI &amp; Eligibility Stats'!$A:$A,0),MATCH('Program MW '!F$28,'Ex post LI &amp; Eligibility Stats'!$A$8:$N$8,0))/1000)</f>
        <v>0</v>
      </c>
      <c r="H39" s="383">
        <v>0</v>
      </c>
      <c r="I39" s="326">
        <f>H39*(INDEX('Ex ante LI &amp; Eligibility Stats'!$A:$M,MATCH('Program MW '!$A39,'Ex ante LI &amp; Eligibility Stats'!$A:$A,0),MATCH('Program MW '!I$28,'Ex ante LI &amp; Eligibility Stats'!$A$8:$M$8,0))/1000)</f>
        <v>0</v>
      </c>
      <c r="J39" s="327">
        <f>H39*(INDEX('Ex post LI &amp; Eligibility Stats'!$A:$N,MATCH($A39,'Ex post LI &amp; Eligibility Stats'!$A:$A,0),MATCH('Program MW '!I$28,'Ex post LI &amp; Eligibility Stats'!$A$8:$N$8,0))/1000)</f>
        <v>0</v>
      </c>
      <c r="K39" s="383">
        <v>0</v>
      </c>
      <c r="L39" s="326">
        <f>K39*(INDEX('Ex ante LI &amp; Eligibility Stats'!$A:$M,MATCH('Program MW '!$A39,'Ex ante LI &amp; Eligibility Stats'!$A:$A,0),MATCH('Program MW '!L$28,'Ex ante LI &amp; Eligibility Stats'!$A$8:$M$8,0))/1000)</f>
        <v>0</v>
      </c>
      <c r="M39" s="327">
        <f>K39*(INDEX('Ex post LI &amp; Eligibility Stats'!$A:$N,MATCH($A39,'Ex post LI &amp; Eligibility Stats'!$A:$A,0),MATCH('Program MW '!L$28,'Ex post LI &amp; Eligibility Stats'!$A$8:$N$8,0))/1000)</f>
        <v>0</v>
      </c>
      <c r="N39" s="383">
        <v>0</v>
      </c>
      <c r="O39" s="326">
        <f>N39*(INDEX('Ex ante LI &amp; Eligibility Stats'!$A:$M,MATCH('Program MW '!$A39,'Ex ante LI &amp; Eligibility Stats'!$A:$A,0),MATCH('Program MW '!O$28,'Ex ante LI &amp; Eligibility Stats'!$A$8:$M$8,0))/1000)</f>
        <v>0</v>
      </c>
      <c r="P39" s="327">
        <f>N39*(INDEX('Ex post LI &amp; Eligibility Stats'!$A:$N,MATCH($A39,'Ex post LI &amp; Eligibility Stats'!$A:$A,0),MATCH('Program MW '!O$28,'Ex post LI &amp; Eligibility Stats'!$A$8:$N$8,0))/1000)</f>
        <v>0</v>
      </c>
      <c r="Q39" s="383">
        <v>0</v>
      </c>
      <c r="R39" s="326">
        <f>Q39*(INDEX('Ex ante LI &amp; Eligibility Stats'!$A:$M,MATCH('Program MW '!$A39,'Ex ante LI &amp; Eligibility Stats'!$A:$A,0),MATCH('Program MW '!R$28,'Ex ante LI &amp; Eligibility Stats'!$A$8:$M$8,0))/1000)</f>
        <v>0</v>
      </c>
      <c r="S39" s="327">
        <f>Q39*(INDEX('Ex post LI &amp; Eligibility Stats'!$A:$N,MATCH($A39,'Ex post LI &amp; Eligibility Stats'!$A:$A,0),MATCH('Program MW '!R$28,'Ex post LI &amp; Eligibility Stats'!$A$8:$N$8,0))/1000)</f>
        <v>0</v>
      </c>
      <c r="T39" s="4">
        <v>157189</v>
      </c>
    </row>
    <row r="40" spans="1:26">
      <c r="A40" s="85" t="s">
        <v>24</v>
      </c>
      <c r="B40" s="159">
        <v>0</v>
      </c>
      <c r="C40" s="326">
        <f>B40*(INDEX('Ex ante LI &amp; Eligibility Stats'!$A:$M,MATCH('Program MW '!$A40,'Ex ante LI &amp; Eligibility Stats'!$A:$A,0),MATCH('Program MW '!C$28,'Ex ante LI &amp; Eligibility Stats'!$A$8:$M$8,0))/1000)</f>
        <v>0</v>
      </c>
      <c r="D40" s="327">
        <f>B40*(INDEX('Ex post LI &amp; Eligibility Stats'!$A:$N,MATCH($A40,'Ex post LI &amp; Eligibility Stats'!$A:$A,0),MATCH('Program MW '!C$28,'Ex post LI &amp; Eligibility Stats'!$A$8:$N$8,0))/1000)</f>
        <v>0</v>
      </c>
      <c r="E40" s="159">
        <v>0</v>
      </c>
      <c r="F40" s="326">
        <f>E40*(INDEX('Ex ante LI &amp; Eligibility Stats'!$A:$M,MATCH('Program MW '!$A40,'Ex ante LI &amp; Eligibility Stats'!$A:$A,0),MATCH('Program MW '!F$28,'Ex ante LI &amp; Eligibility Stats'!$A$8:$M$8,0))/1000)</f>
        <v>0</v>
      </c>
      <c r="G40" s="327">
        <f>E40*(INDEX('Ex post LI &amp; Eligibility Stats'!$A:$N,MATCH($A40,'Ex post LI &amp; Eligibility Stats'!$A:$A,0),MATCH('Program MW '!F$28,'Ex post LI &amp; Eligibility Stats'!$A$8:$N$8,0))/1000)</f>
        <v>0</v>
      </c>
      <c r="H40" s="159">
        <v>0</v>
      </c>
      <c r="I40" s="326">
        <f>H40*(INDEX('Ex ante LI &amp; Eligibility Stats'!$A:$M,MATCH('Program MW '!$A40,'Ex ante LI &amp; Eligibility Stats'!$A:$A,0),MATCH('Program MW '!I$28,'Ex ante LI &amp; Eligibility Stats'!$A$8:$M$8,0))/1000)</f>
        <v>0</v>
      </c>
      <c r="J40" s="327">
        <f>H40*(INDEX('Ex post LI &amp; Eligibility Stats'!$A:$N,MATCH($A40,'Ex post LI &amp; Eligibility Stats'!$A:$A,0),MATCH('Program MW '!I$28,'Ex post LI &amp; Eligibility Stats'!$A$8:$N$8,0))/1000)</f>
        <v>0</v>
      </c>
      <c r="K40" s="159">
        <v>0</v>
      </c>
      <c r="L40" s="326">
        <f>K40*(INDEX('Ex ante LI &amp; Eligibility Stats'!$A:$M,MATCH('Program MW '!$A40,'Ex ante LI &amp; Eligibility Stats'!$A:$A,0),MATCH('Program MW '!L$28,'Ex ante LI &amp; Eligibility Stats'!$A$8:$M$8,0))/1000)</f>
        <v>0</v>
      </c>
      <c r="M40" s="327">
        <f>K40*(INDEX('Ex post LI &amp; Eligibility Stats'!$A:$N,MATCH($A40,'Ex post LI &amp; Eligibility Stats'!$A:$A,0),MATCH('Program MW '!L$28,'Ex post LI &amp; Eligibility Stats'!$A$8:$N$8,0))/1000)</f>
        <v>0</v>
      </c>
      <c r="N40" s="159">
        <v>0</v>
      </c>
      <c r="O40" s="326">
        <f>N40*(INDEX('Ex ante LI &amp; Eligibility Stats'!$A:$M,MATCH('Program MW '!$A40,'Ex ante LI &amp; Eligibility Stats'!$A:$A,0),MATCH('Program MW '!O$28,'Ex ante LI &amp; Eligibility Stats'!$A$8:$M$8,0))/1000)</f>
        <v>0</v>
      </c>
      <c r="P40" s="327">
        <f>N40*(INDEX('Ex post LI &amp; Eligibility Stats'!$A:$N,MATCH($A40,'Ex post LI &amp; Eligibility Stats'!$A:$A,0),MATCH('Program MW '!O$28,'Ex post LI &amp; Eligibility Stats'!$A$8:$N$8,0))/1000)</f>
        <v>0</v>
      </c>
      <c r="Q40" s="159">
        <v>0</v>
      </c>
      <c r="R40" s="326">
        <f>Q40*(INDEX('Ex ante LI &amp; Eligibility Stats'!$A:$M,MATCH('Program MW '!$A40,'Ex ante LI &amp; Eligibility Stats'!$A:$A,0),MATCH('Program MW '!R$28,'Ex ante LI &amp; Eligibility Stats'!$A$8:$M$8,0))/1000)</f>
        <v>0</v>
      </c>
      <c r="S40" s="327">
        <f>Q40*(INDEX('Ex post LI &amp; Eligibility Stats'!$A:$N,MATCH($A40,'Ex post LI &amp; Eligibility Stats'!$A:$A,0),MATCH('Program MW '!R$28,'Ex post LI &amp; Eligibility Stats'!$A$8:$N$8,0))/1000)</f>
        <v>0</v>
      </c>
      <c r="T40" s="4">
        <v>18875</v>
      </c>
      <c r="V40" s="406" t="s">
        <v>56</v>
      </c>
    </row>
    <row r="41" spans="1:26">
      <c r="A41" s="85" t="s">
        <v>25</v>
      </c>
      <c r="B41" s="159">
        <v>0</v>
      </c>
      <c r="C41" s="326">
        <f>B41*(INDEX('Ex ante LI &amp; Eligibility Stats'!$A:$M,MATCH('Program MW '!$A41,'Ex ante LI &amp; Eligibility Stats'!$A:$A,0),MATCH('Program MW '!C$28,'Ex ante LI &amp; Eligibility Stats'!$A$8:$M$8,0))/1000)</f>
        <v>0</v>
      </c>
      <c r="D41" s="327">
        <f>B41*(INDEX('Ex post LI &amp; Eligibility Stats'!$A:$N,MATCH($A41,'Ex post LI &amp; Eligibility Stats'!$A:$A,0),MATCH('Program MW '!C$28,'Ex post LI &amp; Eligibility Stats'!$A$8:$N$8,0))/1000)</f>
        <v>0</v>
      </c>
      <c r="E41" s="159">
        <v>0</v>
      </c>
      <c r="F41" s="326">
        <f>E41*(INDEX('Ex ante LI &amp; Eligibility Stats'!$A:$M,MATCH('Program MW '!$A41,'Ex ante LI &amp; Eligibility Stats'!$A:$A,0),MATCH('Program MW '!F$28,'Ex ante LI &amp; Eligibility Stats'!$A$8:$M$8,0))/1000)</f>
        <v>0</v>
      </c>
      <c r="G41" s="327">
        <f>E41*(INDEX('Ex post LI &amp; Eligibility Stats'!$A:$N,MATCH($A41,'Ex post LI &amp; Eligibility Stats'!$A:$A,0),MATCH('Program MW '!F$28,'Ex post LI &amp; Eligibility Stats'!$A$8:$N$8,0))/1000)</f>
        <v>0</v>
      </c>
      <c r="H41" s="159">
        <v>0</v>
      </c>
      <c r="I41" s="326">
        <f>H41*(INDEX('Ex ante LI &amp; Eligibility Stats'!$A:$M,MATCH('Program MW '!$A41,'Ex ante LI &amp; Eligibility Stats'!$A:$A,0),MATCH('Program MW '!I$28,'Ex ante LI &amp; Eligibility Stats'!$A$8:$M$8,0))/1000)</f>
        <v>0</v>
      </c>
      <c r="J41" s="327">
        <f>H41*(INDEX('Ex post LI &amp; Eligibility Stats'!$A:$N,MATCH($A41,'Ex post LI &amp; Eligibility Stats'!$A:$A,0),MATCH('Program MW '!I$28,'Ex post LI &amp; Eligibility Stats'!$A$8:$N$8,0))/1000)</f>
        <v>0</v>
      </c>
      <c r="K41" s="159">
        <v>0</v>
      </c>
      <c r="L41" s="326">
        <f>K41*(INDEX('Ex ante LI &amp; Eligibility Stats'!$A:$M,MATCH('Program MW '!$A41,'Ex ante LI &amp; Eligibility Stats'!$A:$A,0),MATCH('Program MW '!L$28,'Ex ante LI &amp; Eligibility Stats'!$A$8:$M$8,0))/1000)</f>
        <v>0</v>
      </c>
      <c r="M41" s="327">
        <f>K41*(INDEX('Ex post LI &amp; Eligibility Stats'!$A:$N,MATCH($A41,'Ex post LI &amp; Eligibility Stats'!$A:$A,0),MATCH('Program MW '!L$28,'Ex post LI &amp; Eligibility Stats'!$A$8:$N$8,0))/1000)</f>
        <v>0</v>
      </c>
      <c r="N41" s="159">
        <v>0</v>
      </c>
      <c r="O41" s="326">
        <f>N41*(INDEX('Ex ante LI &amp; Eligibility Stats'!$A:$M,MATCH('Program MW '!$A41,'Ex ante LI &amp; Eligibility Stats'!$A:$A,0),MATCH('Program MW '!O$28,'Ex ante LI &amp; Eligibility Stats'!$A$8:$M$8,0))/1000)</f>
        <v>0</v>
      </c>
      <c r="P41" s="327">
        <f>N41*(INDEX('Ex post LI &amp; Eligibility Stats'!$A:$N,MATCH($A41,'Ex post LI &amp; Eligibility Stats'!$A:$A,0),MATCH('Program MW '!O$28,'Ex post LI &amp; Eligibility Stats'!$A$8:$N$8,0))/1000)</f>
        <v>0</v>
      </c>
      <c r="Q41" s="159">
        <v>0</v>
      </c>
      <c r="R41" s="326">
        <f>Q41*(INDEX('Ex ante LI &amp; Eligibility Stats'!$A:$M,MATCH('Program MW '!$A41,'Ex ante LI &amp; Eligibility Stats'!$A:$A,0),MATCH('Program MW '!R$28,'Ex ante LI &amp; Eligibility Stats'!$A$8:$M$8,0))/1000)</f>
        <v>0</v>
      </c>
      <c r="S41" s="327">
        <f>Q41*(INDEX('Ex post LI &amp; Eligibility Stats'!$A:$N,MATCH($A41,'Ex post LI &amp; Eligibility Stats'!$A:$A,0),MATCH('Program MW '!R$28,'Ex post LI &amp; Eligibility Stats'!$A$8:$N$8,0))/1000)</f>
        <v>0</v>
      </c>
      <c r="T41" s="4">
        <v>18875</v>
      </c>
    </row>
    <row r="42" spans="1:26" s="152" customFormat="1">
      <c r="A42" s="271" t="s">
        <v>55</v>
      </c>
      <c r="B42" s="206">
        <v>0</v>
      </c>
      <c r="C42" s="326">
        <f>B42*(INDEX('Ex ante LI &amp; Eligibility Stats'!$A:$M,MATCH('Program MW '!$A42,'Ex ante LI &amp; Eligibility Stats'!$A:$A,0),MATCH('Program MW '!C$28,'Ex ante LI &amp; Eligibility Stats'!$A$8:$M$8,0))/1000)</f>
        <v>0</v>
      </c>
      <c r="D42" s="327">
        <f>B42*(INDEX('Ex post LI &amp; Eligibility Stats'!$A:$N,MATCH($A42,'Ex post LI &amp; Eligibility Stats'!$A:$A,0),MATCH('Program MW '!C$28,'Ex post LI &amp; Eligibility Stats'!$A$8:$N$8,0))/1000)</f>
        <v>0</v>
      </c>
      <c r="E42" s="206">
        <v>0</v>
      </c>
      <c r="F42" s="326">
        <f>E42*(INDEX('Ex ante LI &amp; Eligibility Stats'!$A:$M,MATCH('Program MW '!$A42,'Ex ante LI &amp; Eligibility Stats'!$A:$A,0),MATCH('Program MW '!F$28,'Ex ante LI &amp; Eligibility Stats'!$A$8:$M$8,0))/1000)</f>
        <v>0</v>
      </c>
      <c r="G42" s="327">
        <f>E42*(INDEX('Ex post LI &amp; Eligibility Stats'!$A:$N,MATCH($A42,'Ex post LI &amp; Eligibility Stats'!$A:$A,0),MATCH('Program MW '!F$28,'Ex post LI &amp; Eligibility Stats'!$A$8:$N$8,0))/1000)</f>
        <v>0</v>
      </c>
      <c r="H42" s="206">
        <v>0</v>
      </c>
      <c r="I42" s="326">
        <f>H42*(INDEX('Ex ante LI &amp; Eligibility Stats'!$A:$M,MATCH('Program MW '!$A42,'Ex ante LI &amp; Eligibility Stats'!$A:$A,0),MATCH('Program MW '!I$28,'Ex ante LI &amp; Eligibility Stats'!$A$8:$M$8,0))/1000)</f>
        <v>0</v>
      </c>
      <c r="J42" s="327">
        <f>H42*(INDEX('Ex post LI &amp; Eligibility Stats'!$A:$N,MATCH($A42,'Ex post LI &amp; Eligibility Stats'!$A:$A,0),MATCH('Program MW '!I$28,'Ex post LI &amp; Eligibility Stats'!$A$8:$N$8,0))/1000)</f>
        <v>0</v>
      </c>
      <c r="K42" s="206">
        <v>0</v>
      </c>
      <c r="L42" s="326">
        <f>K42*(INDEX('Ex ante LI &amp; Eligibility Stats'!$A:$M,MATCH('Program MW '!$A42,'Ex ante LI &amp; Eligibility Stats'!$A:$A,0),MATCH('Program MW '!L$28,'Ex ante LI &amp; Eligibility Stats'!$A$8:$M$8,0))/1000)</f>
        <v>0</v>
      </c>
      <c r="M42" s="327">
        <f>K42*(INDEX('Ex post LI &amp; Eligibility Stats'!$A:$N,MATCH($A42,'Ex post LI &amp; Eligibility Stats'!$A:$A,0),MATCH('Program MW '!L$28,'Ex post LI &amp; Eligibility Stats'!$A$8:$N$8,0))/1000)</f>
        <v>0</v>
      </c>
      <c r="N42" s="206">
        <v>0</v>
      </c>
      <c r="O42" s="326">
        <f>N42*(INDEX('Ex ante LI &amp; Eligibility Stats'!$A:$M,MATCH('Program MW '!$A42,'Ex ante LI &amp; Eligibility Stats'!$A:$A,0),MATCH('Program MW '!O$28,'Ex ante LI &amp; Eligibility Stats'!$A$8:$M$8,0))/1000)</f>
        <v>0</v>
      </c>
      <c r="P42" s="327">
        <f>N42*(INDEX('Ex post LI &amp; Eligibility Stats'!$A:$N,MATCH($A42,'Ex post LI &amp; Eligibility Stats'!$A:$A,0),MATCH('Program MW '!O$28,'Ex post LI &amp; Eligibility Stats'!$A$8:$N$8,0))/1000)</f>
        <v>0</v>
      </c>
      <c r="Q42" s="206">
        <v>0</v>
      </c>
      <c r="R42" s="326">
        <f>Q42*(INDEX('Ex ante LI &amp; Eligibility Stats'!$A:$M,MATCH('Program MW '!$A42,'Ex ante LI &amp; Eligibility Stats'!$A:$A,0),MATCH('Program MW '!R$28,'Ex ante LI &amp; Eligibility Stats'!$A$8:$M$8,0))/1000)</f>
        <v>0</v>
      </c>
      <c r="S42" s="327">
        <f>Q42*(INDEX('Ex post LI &amp; Eligibility Stats'!$A:$N,MATCH($A42,'Ex post LI &amp; Eligibility Stats'!$A:$A,0),MATCH('Program MW '!R$28,'Ex post LI &amp; Eligibility Stats'!$A$8:$N$8,0))/1000)</f>
        <v>0</v>
      </c>
      <c r="T42" s="411"/>
    </row>
    <row r="43" spans="1:26">
      <c r="A43" s="85" t="s">
        <v>26</v>
      </c>
      <c r="B43" s="159">
        <v>0</v>
      </c>
      <c r="C43" s="326">
        <f>B43*(INDEX('Ex ante LI &amp; Eligibility Stats'!$A:$M,MATCH('Program MW '!$A43,'Ex ante LI &amp; Eligibility Stats'!$A:$A,0),MATCH('Program MW '!C$28,'Ex ante LI &amp; Eligibility Stats'!$A$8:$M$8,0))/1000)</f>
        <v>0</v>
      </c>
      <c r="D43" s="327">
        <f>B43*(INDEX('Ex post LI &amp; Eligibility Stats'!$A:$N,MATCH($A43,'Ex post LI &amp; Eligibility Stats'!$A:$A,0),MATCH('Program MW '!C$28,'Ex post LI &amp; Eligibility Stats'!$A$8:$N$8,0))/1000)</f>
        <v>0</v>
      </c>
      <c r="E43" s="159">
        <v>0</v>
      </c>
      <c r="F43" s="326">
        <f>E43*(INDEX('Ex ante LI &amp; Eligibility Stats'!$A:$M,MATCH('Program MW '!$A43,'Ex ante LI &amp; Eligibility Stats'!$A:$A,0),MATCH('Program MW '!F$28,'Ex ante LI &amp; Eligibility Stats'!$A$8:$M$8,0))/1000)</f>
        <v>0</v>
      </c>
      <c r="G43" s="327">
        <f>E43*(INDEX('Ex post LI &amp; Eligibility Stats'!$A:$N,MATCH($A43,'Ex post LI &amp; Eligibility Stats'!$A:$A,0),MATCH('Program MW '!F$28,'Ex post LI &amp; Eligibility Stats'!$A$8:$N$8,0))/1000)</f>
        <v>0</v>
      </c>
      <c r="H43" s="159">
        <v>0</v>
      </c>
      <c r="I43" s="326">
        <f>H43*(INDEX('Ex ante LI &amp; Eligibility Stats'!$A:$M,MATCH('Program MW '!$A43,'Ex ante LI &amp; Eligibility Stats'!$A:$A,0),MATCH('Program MW '!I$28,'Ex ante LI &amp; Eligibility Stats'!$A$8:$M$8,0))/1000)</f>
        <v>0</v>
      </c>
      <c r="J43" s="327">
        <f>H43*(INDEX('Ex post LI &amp; Eligibility Stats'!$A:$N,MATCH($A43,'Ex post LI &amp; Eligibility Stats'!$A:$A,0),MATCH('Program MW '!I$28,'Ex post LI &amp; Eligibility Stats'!$A$8:$N$8,0))/1000)</f>
        <v>0</v>
      </c>
      <c r="K43" s="159">
        <v>0</v>
      </c>
      <c r="L43" s="326">
        <f>K43*(INDEX('Ex ante LI &amp; Eligibility Stats'!$A:$M,MATCH('Program MW '!$A43,'Ex ante LI &amp; Eligibility Stats'!$A:$A,0),MATCH('Program MW '!L$28,'Ex ante LI &amp; Eligibility Stats'!$A$8:$M$8,0))/1000)</f>
        <v>0</v>
      </c>
      <c r="M43" s="327">
        <f>K43*(INDEX('Ex post LI &amp; Eligibility Stats'!$A:$N,MATCH($A43,'Ex post LI &amp; Eligibility Stats'!$A:$A,0),MATCH('Program MW '!L$28,'Ex post LI &amp; Eligibility Stats'!$A$8:$N$8,0))/1000)</f>
        <v>0</v>
      </c>
      <c r="N43" s="159">
        <v>0</v>
      </c>
      <c r="O43" s="326">
        <f>N43*(INDEX('Ex ante LI &amp; Eligibility Stats'!$A:$M,MATCH('Program MW '!$A43,'Ex ante LI &amp; Eligibility Stats'!$A:$A,0),MATCH('Program MW '!O$28,'Ex ante LI &amp; Eligibility Stats'!$A$8:$M$8,0))/1000)</f>
        <v>0</v>
      </c>
      <c r="P43" s="327">
        <f>N43*(INDEX('Ex post LI &amp; Eligibility Stats'!$A:$N,MATCH($A43,'Ex post LI &amp; Eligibility Stats'!$A:$A,0),MATCH('Program MW '!O$28,'Ex post LI &amp; Eligibility Stats'!$A$8:$N$8,0))/1000)</f>
        <v>0</v>
      </c>
      <c r="Q43" s="159">
        <v>0</v>
      </c>
      <c r="R43" s="326">
        <f>Q43*(INDEX('Ex ante LI &amp; Eligibility Stats'!$A:$M,MATCH('Program MW '!$A43,'Ex ante LI &amp; Eligibility Stats'!$A:$A,0),MATCH('Program MW '!R$28,'Ex ante LI &amp; Eligibility Stats'!$A$8:$M$8,0))/1000)</f>
        <v>0</v>
      </c>
      <c r="S43" s="327">
        <f>Q43*(INDEX('Ex post LI &amp; Eligibility Stats'!$A:$N,MATCH($A43,'Ex post LI &amp; Eligibility Stats'!$A:$A,0),MATCH('Program MW '!R$28,'Ex post LI &amp; Eligibility Stats'!$A$8:$N$8,0))/1000)</f>
        <v>0</v>
      </c>
      <c r="T43" s="4"/>
    </row>
    <row r="44" spans="1:26">
      <c r="A44" s="42" t="s">
        <v>27</v>
      </c>
      <c r="B44" s="269">
        <v>0</v>
      </c>
      <c r="C44" s="326">
        <f>B44*(INDEX('Ex ante LI &amp; Eligibility Stats'!$A:$M,MATCH('Program MW '!$A44,'Ex ante LI &amp; Eligibility Stats'!$A:$A,0),MATCH('Program MW '!C$28,'Ex ante LI &amp; Eligibility Stats'!$A$8:$M$8,0))/1000)</f>
        <v>0</v>
      </c>
      <c r="D44" s="327">
        <f>B44*(INDEX('Ex post LI &amp; Eligibility Stats'!$A:$N,MATCH($A44,'Ex post LI &amp; Eligibility Stats'!$A:$A,0),MATCH('Program MW '!C$28,'Ex post LI &amp; Eligibility Stats'!$A$8:$N$8,0))/1000)</f>
        <v>0</v>
      </c>
      <c r="E44" s="269">
        <v>0</v>
      </c>
      <c r="F44" s="326">
        <f>E44*(INDEX('Ex ante LI &amp; Eligibility Stats'!$A:$M,MATCH('Program MW '!$A44,'Ex ante LI &amp; Eligibility Stats'!$A:$A,0),MATCH('Program MW '!F$28,'Ex ante LI &amp; Eligibility Stats'!$A$8:$M$8,0))/1000)</f>
        <v>0</v>
      </c>
      <c r="G44" s="327">
        <f>E44*(INDEX('Ex post LI &amp; Eligibility Stats'!$A:$N,MATCH($A44,'Ex post LI &amp; Eligibility Stats'!$A:$A,0),MATCH('Program MW '!F$28,'Ex post LI &amp; Eligibility Stats'!$A$8:$N$8,0))/1000)</f>
        <v>0</v>
      </c>
      <c r="H44" s="269">
        <v>0</v>
      </c>
      <c r="I44" s="326">
        <f>H44*(INDEX('Ex ante LI &amp; Eligibility Stats'!$A:$M,MATCH('Program MW '!$A44,'Ex ante LI &amp; Eligibility Stats'!$A:$A,0),MATCH('Program MW '!I$28,'Ex ante LI &amp; Eligibility Stats'!$A$8:$M$8,0))/1000)</f>
        <v>0</v>
      </c>
      <c r="J44" s="327">
        <f>H44*(INDEX('Ex post LI &amp; Eligibility Stats'!$A:$N,MATCH($A44,'Ex post LI &amp; Eligibility Stats'!$A:$A,0),MATCH('Program MW '!I$28,'Ex post LI &amp; Eligibility Stats'!$A$8:$N$8,0))/1000)</f>
        <v>0</v>
      </c>
      <c r="K44" s="269">
        <v>0</v>
      </c>
      <c r="L44" s="326">
        <f>K44*(INDEX('Ex ante LI &amp; Eligibility Stats'!$A:$M,MATCH('Program MW '!$A44,'Ex ante LI &amp; Eligibility Stats'!$A:$A,0),MATCH('Program MW '!L$28,'Ex ante LI &amp; Eligibility Stats'!$A$8:$M$8,0))/1000)</f>
        <v>0</v>
      </c>
      <c r="M44" s="327">
        <f>K44*(INDEX('Ex post LI &amp; Eligibility Stats'!$A:$N,MATCH($A44,'Ex post LI &amp; Eligibility Stats'!$A:$A,0),MATCH('Program MW '!L$28,'Ex post LI &amp; Eligibility Stats'!$A$8:$N$8,0))/1000)</f>
        <v>0</v>
      </c>
      <c r="N44" s="269">
        <v>0</v>
      </c>
      <c r="O44" s="326">
        <f>N44*(INDEX('Ex ante LI &amp; Eligibility Stats'!$A:$M,MATCH('Program MW '!$A44,'Ex ante LI &amp; Eligibility Stats'!$A:$A,0),MATCH('Program MW '!O$28,'Ex ante LI &amp; Eligibility Stats'!$A$8:$M$8,0))/1000)</f>
        <v>0</v>
      </c>
      <c r="P44" s="327">
        <f>N44*(INDEX('Ex post LI &amp; Eligibility Stats'!$A:$N,MATCH($A44,'Ex post LI &amp; Eligibility Stats'!$A:$A,0),MATCH('Program MW '!O$28,'Ex post LI &amp; Eligibility Stats'!$A$8:$N$8,0))/1000)</f>
        <v>0</v>
      </c>
      <c r="Q44" s="269">
        <v>0</v>
      </c>
      <c r="R44" s="326">
        <f>Q44*(INDEX('Ex ante LI &amp; Eligibility Stats'!$A:$M,MATCH('Program MW '!$A44,'Ex ante LI &amp; Eligibility Stats'!$A:$A,0),MATCH('Program MW '!R$28,'Ex ante LI &amp; Eligibility Stats'!$A$8:$M$8,0))/1000)</f>
        <v>0</v>
      </c>
      <c r="S44" s="327">
        <f>Q44*(INDEX('Ex post LI &amp; Eligibility Stats'!$A:$N,MATCH($A44,'Ex post LI &amp; Eligibility Stats'!$A:$A,0),MATCH('Program MW '!R$28,'Ex post LI &amp; Eligibility Stats'!$A$8:$N$8,0))/1000)</f>
        <v>0</v>
      </c>
      <c r="T44" s="4"/>
    </row>
    <row r="45" spans="1:26" ht="13.5" thickBot="1">
      <c r="A45" s="184" t="s">
        <v>57</v>
      </c>
      <c r="B45" s="3">
        <f t="shared" ref="B45:S45" si="11">SUM(B34:B44)</f>
        <v>0</v>
      </c>
      <c r="C45" s="253">
        <f t="shared" si="11"/>
        <v>0</v>
      </c>
      <c r="D45" s="234">
        <f t="shared" si="11"/>
        <v>0</v>
      </c>
      <c r="E45" s="3">
        <f t="shared" si="11"/>
        <v>0</v>
      </c>
      <c r="F45" s="253">
        <f t="shared" si="11"/>
        <v>0</v>
      </c>
      <c r="G45" s="234">
        <f t="shared" si="11"/>
        <v>0</v>
      </c>
      <c r="H45" s="3">
        <f t="shared" si="11"/>
        <v>0</v>
      </c>
      <c r="I45" s="253">
        <f t="shared" si="11"/>
        <v>0</v>
      </c>
      <c r="J45" s="234">
        <f t="shared" si="11"/>
        <v>0</v>
      </c>
      <c r="K45" s="3">
        <f t="shared" si="11"/>
        <v>0</v>
      </c>
      <c r="L45" s="253">
        <f t="shared" si="11"/>
        <v>0</v>
      </c>
      <c r="M45" s="234">
        <f t="shared" si="11"/>
        <v>0</v>
      </c>
      <c r="N45" s="3">
        <f t="shared" si="11"/>
        <v>0</v>
      </c>
      <c r="O45" s="253">
        <f t="shared" si="11"/>
        <v>0</v>
      </c>
      <c r="P45" s="234">
        <f t="shared" si="11"/>
        <v>0</v>
      </c>
      <c r="Q45" s="3">
        <f t="shared" si="11"/>
        <v>0</v>
      </c>
      <c r="R45" s="253">
        <f t="shared" si="11"/>
        <v>0</v>
      </c>
      <c r="S45" s="234">
        <f t="shared" si="11"/>
        <v>0</v>
      </c>
      <c r="T45" s="9"/>
    </row>
    <row r="46" spans="1:26" ht="14" thickTop="1" thickBot="1">
      <c r="A46" s="191" t="s">
        <v>58</v>
      </c>
      <c r="B46" s="2">
        <f t="shared" ref="B46:S46" si="12">+B32+B45</f>
        <v>0</v>
      </c>
      <c r="C46" s="254">
        <f t="shared" si="12"/>
        <v>0</v>
      </c>
      <c r="D46" s="233">
        <f t="shared" si="12"/>
        <v>0</v>
      </c>
      <c r="E46" s="2">
        <f t="shared" si="12"/>
        <v>0</v>
      </c>
      <c r="F46" s="254">
        <f t="shared" si="12"/>
        <v>0</v>
      </c>
      <c r="G46" s="233">
        <f t="shared" si="12"/>
        <v>0</v>
      </c>
      <c r="H46" s="2">
        <f t="shared" si="12"/>
        <v>0</v>
      </c>
      <c r="I46" s="254">
        <f t="shared" si="12"/>
        <v>0</v>
      </c>
      <c r="J46" s="233">
        <f t="shared" si="12"/>
        <v>0</v>
      </c>
      <c r="K46" s="2">
        <f t="shared" si="12"/>
        <v>0</v>
      </c>
      <c r="L46" s="254">
        <f t="shared" si="12"/>
        <v>0</v>
      </c>
      <c r="M46" s="233">
        <f t="shared" si="12"/>
        <v>0</v>
      </c>
      <c r="N46" s="2">
        <f t="shared" si="12"/>
        <v>0</v>
      </c>
      <c r="O46" s="254">
        <f t="shared" si="12"/>
        <v>0</v>
      </c>
      <c r="P46" s="233">
        <f t="shared" si="12"/>
        <v>0</v>
      </c>
      <c r="Q46" s="2">
        <f t="shared" si="12"/>
        <v>0</v>
      </c>
      <c r="R46" s="254">
        <f t="shared" si="12"/>
        <v>0</v>
      </c>
      <c r="S46" s="233">
        <f t="shared" si="12"/>
        <v>0</v>
      </c>
      <c r="T46" s="12"/>
      <c r="U46" s="6"/>
      <c r="V46" s="12"/>
      <c r="W46" s="12"/>
      <c r="X46" s="6"/>
      <c r="Y46" s="12"/>
      <c r="Z46" s="12"/>
    </row>
    <row r="47" spans="1:26" ht="13.5" thickTop="1">
      <c r="A47" s="146"/>
      <c r="B47" s="12"/>
      <c r="C47" s="12"/>
      <c r="D47" s="6"/>
      <c r="E47" s="12"/>
      <c r="F47" s="12"/>
      <c r="G47" s="12"/>
      <c r="H47" s="6"/>
      <c r="I47" s="12"/>
      <c r="J47" s="12"/>
      <c r="K47" s="12"/>
      <c r="L47" s="12"/>
      <c r="M47" s="6"/>
      <c r="N47" s="12"/>
      <c r="O47" s="12"/>
      <c r="P47" s="12"/>
      <c r="Q47" s="6"/>
      <c r="R47" s="12"/>
      <c r="S47" s="12"/>
      <c r="T47" s="12"/>
      <c r="U47" s="6"/>
      <c r="V47" s="6"/>
      <c r="W47" s="12"/>
      <c r="X47" s="6"/>
      <c r="Y47" s="6"/>
      <c r="Z47" s="12"/>
    </row>
    <row r="48" spans="1:26" ht="14">
      <c r="A48" s="244" t="s">
        <v>63</v>
      </c>
      <c r="B48" s="192"/>
      <c r="C48" s="192"/>
      <c r="D48" s="192"/>
      <c r="E48" s="387"/>
      <c r="F48" s="193"/>
      <c r="G48" s="192"/>
      <c r="H48" s="193"/>
      <c r="I48" s="192"/>
      <c r="J48" s="192"/>
      <c r="K48" s="192"/>
      <c r="L48" s="192"/>
      <c r="M48" s="192"/>
      <c r="N48" s="192"/>
      <c r="O48" s="192"/>
      <c r="P48" s="194"/>
      <c r="Q48" s="192"/>
      <c r="R48" s="192"/>
      <c r="S48" s="192"/>
      <c r="T48" s="13"/>
      <c r="U48" s="13"/>
      <c r="V48" s="13"/>
      <c r="W48" s="13"/>
      <c r="X48" s="13"/>
      <c r="Y48" s="13"/>
      <c r="Z48" s="13"/>
    </row>
    <row r="49" spans="1:26" ht="29.65" customHeight="1">
      <c r="A49" s="669" t="s">
        <v>297</v>
      </c>
      <c r="B49" s="669"/>
      <c r="C49" s="669"/>
      <c r="D49" s="669"/>
      <c r="E49" s="669"/>
      <c r="F49" s="669"/>
      <c r="G49" s="669"/>
      <c r="H49" s="669"/>
      <c r="I49" s="669"/>
      <c r="J49" s="669"/>
      <c r="K49" s="669"/>
      <c r="L49" s="669"/>
      <c r="M49" s="669"/>
      <c r="N49" s="669"/>
      <c r="O49" s="669"/>
    </row>
    <row r="50" spans="1:26" ht="30.4" customHeight="1">
      <c r="A50" s="669" t="s">
        <v>298</v>
      </c>
      <c r="B50" s="669"/>
      <c r="C50" s="669"/>
      <c r="D50" s="669"/>
      <c r="E50" s="669"/>
      <c r="F50" s="669"/>
      <c r="G50" s="669"/>
      <c r="H50" s="669"/>
      <c r="I50" s="669"/>
      <c r="J50" s="669"/>
      <c r="K50" s="669"/>
      <c r="L50" s="669"/>
      <c r="M50" s="669"/>
      <c r="N50" s="669"/>
      <c r="O50" s="669"/>
      <c r="P50" s="13"/>
      <c r="Q50" s="13"/>
      <c r="R50" s="13"/>
      <c r="S50" s="13"/>
      <c r="T50" s="146"/>
      <c r="U50" s="146"/>
      <c r="V50" s="146"/>
      <c r="W50" s="146"/>
      <c r="X50" s="146"/>
      <c r="Y50" s="146"/>
      <c r="Z50" s="146"/>
    </row>
    <row r="51" spans="1:26" s="152" customFormat="1" ht="18" customHeight="1">
      <c r="A51" s="669" t="s">
        <v>252</v>
      </c>
      <c r="B51" s="669"/>
      <c r="C51" s="669"/>
      <c r="D51" s="669"/>
      <c r="E51" s="669"/>
      <c r="F51" s="669"/>
      <c r="G51" s="669"/>
      <c r="H51" s="669"/>
      <c r="I51" s="669"/>
      <c r="J51" s="669"/>
      <c r="K51" s="669"/>
      <c r="L51" s="669"/>
      <c r="M51" s="669"/>
      <c r="N51" s="669"/>
      <c r="O51" s="669"/>
      <c r="P51" s="384"/>
      <c r="Q51" s="384"/>
      <c r="R51" s="384"/>
      <c r="S51" s="384"/>
      <c r="T51" s="203"/>
      <c r="U51" s="203"/>
      <c r="V51" s="203"/>
      <c r="W51" s="203"/>
      <c r="X51" s="203"/>
      <c r="Y51" s="203"/>
      <c r="Z51" s="203"/>
    </row>
    <row r="52" spans="1:26" s="152" customFormat="1" ht="18" customHeight="1">
      <c r="A52" s="669" t="s">
        <v>279</v>
      </c>
      <c r="B52" s="669"/>
      <c r="C52" s="669"/>
      <c r="D52" s="669"/>
      <c r="E52" s="669"/>
      <c r="F52" s="669"/>
      <c r="G52" s="669"/>
      <c r="H52" s="669"/>
      <c r="I52" s="669"/>
      <c r="J52" s="669"/>
      <c r="K52" s="669"/>
      <c r="L52" s="669"/>
      <c r="M52" s="669"/>
      <c r="N52" s="669"/>
      <c r="O52" s="669"/>
      <c r="P52" s="384"/>
      <c r="Q52" s="384"/>
      <c r="R52" s="384"/>
      <c r="S52" s="384"/>
      <c r="T52" s="203"/>
      <c r="U52" s="203"/>
      <c r="V52" s="203"/>
      <c r="W52" s="203"/>
      <c r="X52" s="203"/>
      <c r="Y52" s="203"/>
      <c r="Z52" s="203"/>
    </row>
    <row r="53" spans="1:26" s="152" customFormat="1" ht="13.9" customHeight="1">
      <c r="A53" s="669" t="s">
        <v>342</v>
      </c>
      <c r="B53" s="669"/>
      <c r="C53" s="669"/>
      <c r="D53" s="669"/>
      <c r="E53" s="669"/>
      <c r="F53" s="669"/>
      <c r="G53" s="669"/>
      <c r="H53" s="669"/>
      <c r="I53" s="669"/>
      <c r="J53" s="669"/>
      <c r="K53" s="669"/>
      <c r="L53" s="669"/>
      <c r="M53" s="669"/>
      <c r="N53" s="669"/>
      <c r="O53" s="650"/>
      <c r="P53" s="384"/>
      <c r="Q53" s="384"/>
      <c r="R53" s="384"/>
      <c r="S53" s="384"/>
      <c r="T53" s="203"/>
      <c r="U53" s="203"/>
      <c r="V53" s="203"/>
      <c r="W53" s="203"/>
      <c r="X53" s="203"/>
      <c r="Y53" s="203"/>
      <c r="Z53" s="203"/>
    </row>
    <row r="54" spans="1:26" ht="15.75" customHeight="1">
      <c r="A54" s="511" t="s">
        <v>303</v>
      </c>
      <c r="B54" s="660"/>
      <c r="C54" s="660"/>
      <c r="D54" s="660"/>
      <c r="E54" s="660"/>
      <c r="F54" s="660"/>
      <c r="G54" s="660"/>
      <c r="H54" s="660"/>
      <c r="I54" s="660"/>
      <c r="J54" s="660"/>
      <c r="K54" s="660"/>
      <c r="L54" s="660"/>
      <c r="M54" s="660"/>
      <c r="N54" s="660"/>
      <c r="O54" s="661"/>
    </row>
    <row r="55" spans="1:26" ht="14">
      <c r="A55" s="511" t="s">
        <v>341</v>
      </c>
      <c r="B55" s="660"/>
      <c r="C55" s="660"/>
      <c r="D55" s="660"/>
      <c r="E55" s="660"/>
      <c r="F55" s="660"/>
      <c r="G55" s="660"/>
      <c r="H55" s="660"/>
      <c r="I55" s="660"/>
      <c r="J55" s="660"/>
      <c r="K55" s="660"/>
      <c r="L55" s="660"/>
      <c r="M55" s="660"/>
      <c r="N55" s="660"/>
      <c r="O55" s="661"/>
    </row>
    <row r="56" spans="1:26" ht="14">
      <c r="A56" s="659" t="s">
        <v>346</v>
      </c>
      <c r="B56" s="660"/>
      <c r="C56" s="660"/>
      <c r="D56" s="660"/>
      <c r="E56" s="660"/>
      <c r="F56" s="660"/>
      <c r="G56" s="660"/>
      <c r="H56" s="660"/>
      <c r="I56" s="660"/>
      <c r="J56" s="660"/>
      <c r="K56" s="660"/>
      <c r="L56" s="660"/>
      <c r="M56" s="660"/>
      <c r="N56" s="660"/>
      <c r="O56" s="661"/>
    </row>
    <row r="57" spans="1:26" ht="14">
      <c r="A57" s="667" t="s">
        <v>347</v>
      </c>
      <c r="B57" s="668"/>
      <c r="C57" s="668"/>
      <c r="D57" s="668"/>
      <c r="E57" s="668"/>
      <c r="F57" s="668"/>
      <c r="G57" s="668"/>
      <c r="H57" s="668"/>
      <c r="I57" s="668"/>
      <c r="J57" s="668"/>
      <c r="K57" s="668"/>
      <c r="L57" s="668"/>
      <c r="M57" s="668"/>
      <c r="N57" s="668"/>
      <c r="O57" s="668"/>
      <c r="P57" s="668"/>
    </row>
    <row r="58" spans="1:26" ht="14">
      <c r="A58" s="235" t="s">
        <v>64</v>
      </c>
    </row>
  </sheetData>
  <mergeCells count="5">
    <mergeCell ref="A49:O49"/>
    <mergeCell ref="A50:O50"/>
    <mergeCell ref="A51:O51"/>
    <mergeCell ref="A52:O52"/>
    <mergeCell ref="A53:N53"/>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0"/>
  <sheetViews>
    <sheetView topLeftCell="A7" zoomScaleNormal="100" zoomScaleSheetLayoutView="100" workbookViewId="0">
      <pane xSplit="1" ySplit="2" topLeftCell="B15" activePane="bottomRight" state="frozen"/>
      <selection activeCell="B55" sqref="B55"/>
      <selection pane="topRight" activeCell="B55" sqref="B55"/>
      <selection pane="bottomLeft" activeCell="B55" sqref="B55"/>
      <selection pane="bottomRight" activeCell="B55" sqref="B55"/>
    </sheetView>
  </sheetViews>
  <sheetFormatPr defaultColWidth="9.26953125" defaultRowHeight="12.5"/>
  <cols>
    <col min="1" max="1" width="33.54296875" customWidth="1"/>
    <col min="2" max="2" width="9" customWidth="1"/>
    <col min="3" max="3" width="10.453125" customWidth="1"/>
    <col min="4" max="4" width="9" customWidth="1"/>
    <col min="5" max="9" width="10.54296875" customWidth="1"/>
    <col min="10" max="10" width="11.54296875" customWidth="1"/>
    <col min="11" max="11" width="10.54296875" customWidth="1"/>
    <col min="12" max="12" width="10.7265625" customWidth="1"/>
    <col min="13" max="13" width="10.26953125" customWidth="1"/>
    <col min="14" max="14" width="18.7265625" style="153" customWidth="1"/>
    <col min="15" max="15" width="149.54296875" customWidth="1"/>
  </cols>
  <sheetData>
    <row r="2" spans="1:16" ht="13">
      <c r="A2" s="38"/>
      <c r="H2" s="148" t="s">
        <v>39</v>
      </c>
      <c r="N2" s="348"/>
    </row>
    <row r="3" spans="1:16" ht="13">
      <c r="E3" s="349"/>
      <c r="H3" s="151" t="str">
        <f>'Program MW '!H3</f>
        <v>June 2021</v>
      </c>
      <c r="N3" s="348"/>
    </row>
    <row r="4" spans="1:16">
      <c r="E4" s="150"/>
      <c r="F4" s="150"/>
      <c r="G4" s="150"/>
      <c r="I4" s="150"/>
      <c r="N4" s="348"/>
    </row>
    <row r="5" spans="1:16" ht="13">
      <c r="B5" s="150"/>
      <c r="C5" s="150"/>
      <c r="D5" s="150"/>
      <c r="F5" s="149"/>
      <c r="N5" s="348"/>
      <c r="O5" s="41"/>
    </row>
    <row r="6" spans="1:16" ht="13">
      <c r="F6" s="149"/>
      <c r="N6" s="348"/>
    </row>
    <row r="7" spans="1:16" ht="13.5" customHeight="1">
      <c r="A7" s="670" t="s">
        <v>65</v>
      </c>
      <c r="B7" s="671"/>
      <c r="C7" s="671"/>
      <c r="D7" s="671"/>
      <c r="E7" s="671"/>
      <c r="F7" s="671"/>
      <c r="G7" s="671"/>
      <c r="H7" s="671"/>
      <c r="I7" s="671"/>
      <c r="J7" s="671"/>
      <c r="K7" s="671"/>
      <c r="L7" s="671"/>
      <c r="M7" s="671"/>
      <c r="N7" s="672"/>
      <c r="O7" s="386"/>
    </row>
    <row r="8" spans="1:16" ht="38.25" customHeight="1">
      <c r="A8" s="40" t="s">
        <v>1</v>
      </c>
      <c r="B8" s="422" t="s">
        <v>41</v>
      </c>
      <c r="C8" s="422" t="s">
        <v>42</v>
      </c>
      <c r="D8" s="422" t="s">
        <v>43</v>
      </c>
      <c r="E8" s="422" t="s">
        <v>44</v>
      </c>
      <c r="F8" s="422" t="s">
        <v>31</v>
      </c>
      <c r="G8" s="422" t="s">
        <v>45</v>
      </c>
      <c r="H8" s="422" t="s">
        <v>59</v>
      </c>
      <c r="I8" s="422" t="s">
        <v>66</v>
      </c>
      <c r="J8" s="422" t="s">
        <v>67</v>
      </c>
      <c r="K8" s="422" t="s">
        <v>61</v>
      </c>
      <c r="L8" s="422" t="s">
        <v>68</v>
      </c>
      <c r="M8" s="422" t="s">
        <v>62</v>
      </c>
      <c r="N8" s="420" t="s">
        <v>69</v>
      </c>
      <c r="O8" s="272" t="s">
        <v>70</v>
      </c>
    </row>
    <row r="9" spans="1:16" ht="75.75" customHeight="1">
      <c r="A9" s="423" t="s">
        <v>8</v>
      </c>
      <c r="B9" s="424">
        <v>147.93927001953125</v>
      </c>
      <c r="C9" s="424">
        <v>123.35836029052734</v>
      </c>
      <c r="D9" s="424">
        <v>154.17617797851563</v>
      </c>
      <c r="E9" s="424">
        <v>141.36283874511719</v>
      </c>
      <c r="F9" s="424">
        <v>137.30026245117188</v>
      </c>
      <c r="G9" s="424">
        <v>167.08448791503906</v>
      </c>
      <c r="H9" s="424">
        <v>159.48800659179688</v>
      </c>
      <c r="I9" s="424">
        <v>159.82838439941406</v>
      </c>
      <c r="J9" s="424">
        <v>182.0330810546875</v>
      </c>
      <c r="K9" s="424">
        <v>153.41392517089844</v>
      </c>
      <c r="L9" s="424">
        <v>178.67237854003906</v>
      </c>
      <c r="M9" s="424">
        <v>115.07282257080078</v>
      </c>
      <c r="N9" s="425">
        <v>5326</v>
      </c>
      <c r="O9" s="414" t="s">
        <v>248</v>
      </c>
      <c r="P9" s="424"/>
    </row>
    <row r="10" spans="1:16" ht="75.75" customHeight="1">
      <c r="A10" s="426" t="s">
        <v>11</v>
      </c>
      <c r="B10" s="427">
        <v>0.14000000000000001</v>
      </c>
      <c r="C10" s="427">
        <v>0.14000000000000001</v>
      </c>
      <c r="D10" s="424">
        <v>0</v>
      </c>
      <c r="E10" s="424">
        <v>0</v>
      </c>
      <c r="F10" s="424">
        <v>0</v>
      </c>
      <c r="G10" s="424">
        <v>0</v>
      </c>
      <c r="H10" s="424">
        <v>0</v>
      </c>
      <c r="I10" s="424">
        <v>0</v>
      </c>
      <c r="J10" s="424">
        <v>0</v>
      </c>
      <c r="K10" s="424">
        <v>0</v>
      </c>
      <c r="L10" s="424">
        <v>0</v>
      </c>
      <c r="M10" s="424">
        <v>0</v>
      </c>
      <c r="N10" s="428">
        <v>24298</v>
      </c>
      <c r="O10" s="414" t="s">
        <v>71</v>
      </c>
    </row>
    <row r="11" spans="1:16" ht="75.75" customHeight="1">
      <c r="A11" s="426" t="s">
        <v>17</v>
      </c>
      <c r="B11" s="427">
        <v>1.1249953786318656E-5</v>
      </c>
      <c r="C11" s="427">
        <v>2.6053535293613095E-6</v>
      </c>
      <c r="D11" s="424">
        <v>0</v>
      </c>
      <c r="E11" s="424">
        <v>3.6579277366399765E-2</v>
      </c>
      <c r="F11" s="424">
        <v>8.1266388297080994E-2</v>
      </c>
      <c r="G11" s="424">
        <v>5.1364414393901825E-2</v>
      </c>
      <c r="H11" s="424">
        <v>0.16627712547779083</v>
      </c>
      <c r="I11" s="424">
        <v>0.22152504324913025</v>
      </c>
      <c r="J11" s="424">
        <v>0.28739506006240845</v>
      </c>
      <c r="K11" s="424">
        <v>0.1512436717748642</v>
      </c>
      <c r="L11" s="424">
        <v>2.2867627441883087E-2</v>
      </c>
      <c r="M11" s="424">
        <v>0</v>
      </c>
      <c r="N11" s="429">
        <v>590220</v>
      </c>
      <c r="O11" s="414" t="s">
        <v>249</v>
      </c>
    </row>
    <row r="12" spans="1:16" ht="75.75" customHeight="1">
      <c r="A12" s="426" t="s">
        <v>20</v>
      </c>
      <c r="B12" s="427">
        <v>3.6358251236379147E-4</v>
      </c>
      <c r="C12" s="427">
        <v>8.4200954006519169E-5</v>
      </c>
      <c r="D12" s="424">
        <v>0</v>
      </c>
      <c r="E12" s="424">
        <v>0.3435758650302887</v>
      </c>
      <c r="F12" s="424">
        <v>0.92136132717132568</v>
      </c>
      <c r="G12" s="424">
        <v>0.85638010501861572</v>
      </c>
      <c r="H12" s="424">
        <v>2.0786657333374023</v>
      </c>
      <c r="I12" s="424">
        <v>3.0234215259552002</v>
      </c>
      <c r="J12" s="424">
        <v>2.5092508792877197</v>
      </c>
      <c r="K12" s="424">
        <v>2.084477424621582</v>
      </c>
      <c r="L12" s="424">
        <v>0.46237781643867493</v>
      </c>
      <c r="M12" s="424">
        <v>0</v>
      </c>
      <c r="N12" s="429">
        <v>133226</v>
      </c>
      <c r="O12" s="414" t="s">
        <v>72</v>
      </c>
    </row>
    <row r="13" spans="1:16" ht="75.75" customHeight="1">
      <c r="A13" s="426" t="s">
        <v>21</v>
      </c>
      <c r="B13" s="430">
        <v>0</v>
      </c>
      <c r="C13" s="430">
        <v>0</v>
      </c>
      <c r="D13" s="424">
        <v>0</v>
      </c>
      <c r="E13" s="424">
        <v>2.7623999999999999E-2</v>
      </c>
      <c r="F13" s="424">
        <v>5.7694599999999999E-2</v>
      </c>
      <c r="G13" s="424">
        <v>3.6857399999999998E-2</v>
      </c>
      <c r="H13" s="424">
        <v>0.13324759999999999</v>
      </c>
      <c r="I13" s="424">
        <v>0.19637180000000001</v>
      </c>
      <c r="J13" s="424">
        <v>0.24341650000000001</v>
      </c>
      <c r="K13" s="424">
        <v>0.12678610000000001</v>
      </c>
      <c r="L13" s="424">
        <v>0</v>
      </c>
      <c r="M13" s="424">
        <v>0</v>
      </c>
      <c r="N13" s="429">
        <v>590220</v>
      </c>
      <c r="O13" s="414" t="s">
        <v>250</v>
      </c>
    </row>
    <row r="14" spans="1:16" ht="75.75" customHeight="1">
      <c r="A14" s="426" t="s">
        <v>23</v>
      </c>
      <c r="B14" s="430">
        <v>0</v>
      </c>
      <c r="C14" s="430">
        <v>0</v>
      </c>
      <c r="D14" s="424">
        <v>0</v>
      </c>
      <c r="E14" s="424">
        <v>5.6296800000000001E-2</v>
      </c>
      <c r="F14" s="424">
        <v>6.4429500000000001E-2</v>
      </c>
      <c r="G14" s="424">
        <v>5.9807899999999997E-2</v>
      </c>
      <c r="H14" s="424">
        <v>8.1098299999999998E-2</v>
      </c>
      <c r="I14" s="424">
        <v>9.1515600000000003E-2</v>
      </c>
      <c r="J14" s="424">
        <v>0.1040353</v>
      </c>
      <c r="K14" s="424">
        <v>8.3492899999999995E-2</v>
      </c>
      <c r="L14" s="424">
        <v>0</v>
      </c>
      <c r="M14" s="424">
        <v>0</v>
      </c>
      <c r="N14" s="429">
        <v>133226</v>
      </c>
      <c r="O14" s="414" t="s">
        <v>251</v>
      </c>
    </row>
    <row r="15" spans="1:16" ht="75.75" customHeight="1">
      <c r="A15" s="426" t="s">
        <v>24</v>
      </c>
      <c r="B15" s="430">
        <v>0</v>
      </c>
      <c r="C15" s="430">
        <v>0</v>
      </c>
      <c r="D15" s="424">
        <v>0</v>
      </c>
      <c r="E15" s="424">
        <v>0</v>
      </c>
      <c r="F15" s="424">
        <v>11.825189999999999</v>
      </c>
      <c r="G15" s="424">
        <v>11.825189999999999</v>
      </c>
      <c r="H15" s="424">
        <v>11.825189999999999</v>
      </c>
      <c r="I15" s="424">
        <v>11.825189999999999</v>
      </c>
      <c r="J15" s="424">
        <v>11.825189999999999</v>
      </c>
      <c r="K15" s="424">
        <v>11.825189999999999</v>
      </c>
      <c r="L15" s="424">
        <v>0</v>
      </c>
      <c r="M15" s="424">
        <v>0</v>
      </c>
      <c r="N15" s="428">
        <v>78368</v>
      </c>
      <c r="O15" s="414" t="s">
        <v>73</v>
      </c>
    </row>
    <row r="16" spans="1:16" ht="75.75" customHeight="1">
      <c r="A16" s="426" t="s">
        <v>25</v>
      </c>
      <c r="B16" s="430">
        <v>0</v>
      </c>
      <c r="C16" s="430">
        <v>0</v>
      </c>
      <c r="D16" s="424">
        <v>0</v>
      </c>
      <c r="E16" s="424">
        <v>0</v>
      </c>
      <c r="F16" s="424">
        <v>9.0606369999999998</v>
      </c>
      <c r="G16" s="424">
        <v>9.0606369999999998</v>
      </c>
      <c r="H16" s="424">
        <v>9.0606369999999998</v>
      </c>
      <c r="I16" s="424">
        <v>9.0606369999999998</v>
      </c>
      <c r="J16" s="424">
        <v>9.0606369999999998</v>
      </c>
      <c r="K16" s="424">
        <v>9.0606369999999998</v>
      </c>
      <c r="L16" s="424">
        <v>0</v>
      </c>
      <c r="M16" s="424">
        <v>0</v>
      </c>
      <c r="N16" s="428">
        <v>78368</v>
      </c>
      <c r="O16" s="414" t="s">
        <v>73</v>
      </c>
    </row>
    <row r="17" spans="1:15" ht="75.75" customHeight="1">
      <c r="A17" s="426" t="s">
        <v>27</v>
      </c>
      <c r="B17" s="427">
        <v>3.8699023425579071E-2</v>
      </c>
      <c r="C17" s="427">
        <v>3.4362420439720154E-2</v>
      </c>
      <c r="D17" s="424">
        <v>4.2291874821189825E-2</v>
      </c>
      <c r="E17" s="424">
        <v>4.6052272182349342E-2</v>
      </c>
      <c r="F17" s="424">
        <v>9.885066047078217E-2</v>
      </c>
      <c r="G17" s="424">
        <v>7.4932532811322408E-2</v>
      </c>
      <c r="H17" s="424">
        <v>8.597143254338098E-2</v>
      </c>
      <c r="I17" s="424">
        <v>9.1918985532060252E-2</v>
      </c>
      <c r="J17" s="424">
        <v>0.10056453415944168</v>
      </c>
      <c r="K17" s="424">
        <v>9.3665201236999687E-2</v>
      </c>
      <c r="L17" s="424">
        <v>0.14194687939870335</v>
      </c>
      <c r="M17" s="424">
        <v>0.16120215621047654</v>
      </c>
      <c r="N17" s="428">
        <v>1292629</v>
      </c>
      <c r="O17" s="414" t="s">
        <v>74</v>
      </c>
    </row>
    <row r="18" spans="1:15" ht="160.5" customHeight="1">
      <c r="A18" s="513" t="s">
        <v>26</v>
      </c>
      <c r="B18" s="432">
        <v>0.01</v>
      </c>
      <c r="C18" s="432">
        <v>0.01</v>
      </c>
      <c r="D18" s="514">
        <v>1.04106768919839E-4</v>
      </c>
      <c r="E18" s="514">
        <v>7.3445614094823331E-4</v>
      </c>
      <c r="F18" s="514">
        <v>1.3674112203188298E-3</v>
      </c>
      <c r="G18" s="514">
        <v>8.7751531743847301E-4</v>
      </c>
      <c r="H18" s="514">
        <v>2.1878068924228323E-3</v>
      </c>
      <c r="I18" s="514">
        <v>3.1452219928486133E-3</v>
      </c>
      <c r="J18" s="514">
        <v>4.4619246315722007E-3</v>
      </c>
      <c r="K18" s="514">
        <v>2.8590413124677172E-3</v>
      </c>
      <c r="L18" s="514">
        <v>3.151220920205923E-4</v>
      </c>
      <c r="M18" s="514">
        <v>-7.7720472862196388E-5</v>
      </c>
      <c r="N18" s="515">
        <v>120672</v>
      </c>
      <c r="O18" s="516" t="s">
        <v>74</v>
      </c>
    </row>
    <row r="19" spans="1:15" ht="50">
      <c r="A19" s="423" t="s">
        <v>55</v>
      </c>
      <c r="B19" s="517">
        <v>7.0191817358136177E-3</v>
      </c>
      <c r="C19" s="517">
        <v>7.0191817358136177E-3</v>
      </c>
      <c r="D19" s="517">
        <v>8.5556581616401672E-3</v>
      </c>
      <c r="E19" s="517">
        <v>0</v>
      </c>
      <c r="F19" s="517">
        <v>0</v>
      </c>
      <c r="G19" s="517">
        <v>0</v>
      </c>
      <c r="H19" s="517">
        <v>0</v>
      </c>
      <c r="I19" s="517">
        <v>0</v>
      </c>
      <c r="J19" s="517">
        <v>0</v>
      </c>
      <c r="K19" s="517">
        <v>0</v>
      </c>
      <c r="L19" s="517">
        <v>0</v>
      </c>
      <c r="M19" s="517">
        <v>0</v>
      </c>
      <c r="N19" s="518">
        <v>2822</v>
      </c>
      <c r="O19" s="273" t="s">
        <v>75</v>
      </c>
    </row>
    <row r="20" spans="1:15" s="415" customFormat="1" ht="51" customHeight="1">
      <c r="A20" s="445"/>
      <c r="B20" s="446"/>
      <c r="C20" s="446"/>
      <c r="D20" s="446"/>
      <c r="E20" s="446"/>
      <c r="F20" s="446"/>
      <c r="G20" s="446"/>
      <c r="H20" s="446"/>
      <c r="I20" s="446"/>
      <c r="J20" s="446"/>
      <c r="K20" s="446"/>
      <c r="L20" s="446"/>
      <c r="M20" s="446"/>
      <c r="N20" s="447"/>
      <c r="O20" s="419"/>
    </row>
    <row r="21" spans="1:15">
      <c r="A21" s="445"/>
      <c r="B21" s="446"/>
      <c r="C21" s="446"/>
      <c r="D21" s="446"/>
      <c r="E21" s="446"/>
      <c r="F21" s="446"/>
      <c r="G21" s="446"/>
      <c r="H21" s="446"/>
      <c r="I21" s="446"/>
      <c r="J21" s="446"/>
      <c r="K21" s="446"/>
      <c r="L21" s="446"/>
      <c r="M21" s="446"/>
      <c r="N21" s="448"/>
      <c r="O21" s="419"/>
    </row>
    <row r="22" spans="1:15" ht="14">
      <c r="A22" s="245" t="s">
        <v>63</v>
      </c>
      <c r="B22" s="350"/>
      <c r="C22" s="350"/>
      <c r="D22" s="350"/>
      <c r="E22" s="350"/>
      <c r="F22" s="351"/>
      <c r="G22" s="350"/>
      <c r="H22" s="351"/>
      <c r="I22" s="350"/>
      <c r="J22" s="350"/>
      <c r="K22" s="350"/>
      <c r="L22" s="350"/>
      <c r="M22" s="350"/>
      <c r="N22" s="348"/>
      <c r="O22" s="350"/>
    </row>
    <row r="23" spans="1:15" ht="30.4" customHeight="1">
      <c r="A23" s="677" t="s">
        <v>295</v>
      </c>
      <c r="B23" s="677"/>
      <c r="C23" s="677"/>
      <c r="D23" s="677"/>
      <c r="E23" s="677"/>
      <c r="F23" s="677"/>
      <c r="G23" s="677"/>
      <c r="H23" s="677"/>
      <c r="I23" s="677"/>
      <c r="J23" s="677"/>
      <c r="K23" s="677"/>
      <c r="L23" s="677"/>
      <c r="M23" s="677"/>
      <c r="N23" s="574"/>
      <c r="O23" s="574"/>
    </row>
    <row r="24" spans="1:15" ht="14">
      <c r="A24" s="673" t="s">
        <v>76</v>
      </c>
      <c r="B24" s="674"/>
      <c r="C24" s="674"/>
      <c r="D24" s="674"/>
      <c r="E24" s="674"/>
      <c r="F24" s="674"/>
      <c r="G24" s="674"/>
      <c r="H24" s="674"/>
      <c r="I24" s="674"/>
      <c r="J24" s="674"/>
      <c r="K24" s="674"/>
      <c r="L24" s="674"/>
      <c r="M24" s="674"/>
      <c r="N24" s="674"/>
      <c r="O24" s="519"/>
    </row>
    <row r="25" spans="1:15" ht="14">
      <c r="A25" s="520" t="s">
        <v>77</v>
      </c>
      <c r="B25" s="519"/>
      <c r="C25" s="519"/>
      <c r="D25" s="519"/>
      <c r="E25" s="519"/>
      <c r="F25" s="519"/>
      <c r="G25" s="41"/>
      <c r="H25" s="41"/>
      <c r="I25" s="41"/>
      <c r="J25" s="41"/>
      <c r="K25" s="41"/>
      <c r="L25" s="41"/>
      <c r="M25" s="41"/>
      <c r="N25" s="41"/>
      <c r="O25" s="41"/>
    </row>
    <row r="26" spans="1:15" s="150" customFormat="1" ht="14">
      <c r="A26" s="675" t="s">
        <v>253</v>
      </c>
      <c r="B26" s="676"/>
      <c r="C26" s="676"/>
      <c r="D26" s="676"/>
      <c r="E26" s="676"/>
      <c r="F26" s="676"/>
      <c r="G26" s="676"/>
      <c r="H26" s="676"/>
      <c r="I26" s="676"/>
      <c r="J26" s="676"/>
      <c r="K26" s="676"/>
      <c r="L26" s="676"/>
      <c r="M26" s="676"/>
      <c r="N26" s="676"/>
      <c r="O26" s="519"/>
    </row>
    <row r="27" spans="1:15" ht="14">
      <c r="A27" s="235" t="s">
        <v>64</v>
      </c>
      <c r="B27" s="524"/>
      <c r="C27" s="524"/>
      <c r="D27" s="524"/>
      <c r="E27" s="524"/>
      <c r="F27" s="524"/>
      <c r="G27" s="524"/>
      <c r="H27" s="524"/>
      <c r="I27" s="524"/>
      <c r="J27" s="524"/>
      <c r="K27" s="524"/>
      <c r="L27" s="524"/>
      <c r="M27" s="524"/>
      <c r="N27" s="524"/>
      <c r="O27" s="512" t="s">
        <v>79</v>
      </c>
    </row>
    <row r="28" spans="1:15" ht="14">
      <c r="A28" s="455"/>
      <c r="B28" s="433"/>
      <c r="C28" s="433"/>
      <c r="D28" s="433"/>
      <c r="E28" s="433"/>
      <c r="F28" s="433"/>
      <c r="G28" s="433"/>
      <c r="H28" s="433"/>
      <c r="I28" s="433"/>
      <c r="J28" s="433"/>
      <c r="K28" s="433"/>
      <c r="L28" s="433"/>
      <c r="M28" s="433"/>
      <c r="N28" s="433"/>
      <c r="O28" s="433"/>
    </row>
    <row r="29" spans="1:15">
      <c r="N29" s="348"/>
    </row>
    <row r="30" spans="1:15">
      <c r="N30" s="348"/>
    </row>
  </sheetData>
  <mergeCells count="4">
    <mergeCell ref="A7:N7"/>
    <mergeCell ref="A24:N24"/>
    <mergeCell ref="A26:N26"/>
    <mergeCell ref="A23:M23"/>
  </mergeCells>
  <phoneticPr fontId="44"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8"/>
  <sheetViews>
    <sheetView showGridLines="0" showRuler="0" topLeftCell="A19" zoomScaleNormal="100" zoomScaleSheetLayoutView="100" workbookViewId="0">
      <selection activeCell="B55" sqref="B55"/>
    </sheetView>
  </sheetViews>
  <sheetFormatPr defaultColWidth="9.26953125" defaultRowHeight="40.5" customHeight="1"/>
  <cols>
    <col min="1" max="1" width="35" customWidth="1"/>
    <col min="2" max="9" width="10.7265625" customWidth="1"/>
    <col min="10" max="10" width="11.453125" customWidth="1"/>
    <col min="11" max="13" width="10.7265625" customWidth="1"/>
    <col min="14" max="14" width="14.26953125" style="201" bestFit="1" customWidth="1"/>
    <col min="15" max="15" width="149.54296875" customWidth="1"/>
  </cols>
  <sheetData>
    <row r="1" spans="1:16" ht="12.5">
      <c r="N1" s="352"/>
    </row>
    <row r="2" spans="1:16" ht="13">
      <c r="H2" s="148" t="s">
        <v>39</v>
      </c>
      <c r="N2" s="352"/>
    </row>
    <row r="3" spans="1:16" ht="13">
      <c r="H3" s="198" t="str">
        <f>'Program MW '!H3</f>
        <v>June 2021</v>
      </c>
      <c r="N3" s="352"/>
    </row>
    <row r="4" spans="1:16" ht="12.5">
      <c r="F4" s="150"/>
      <c r="G4" s="150"/>
      <c r="I4" s="150"/>
      <c r="N4" s="352"/>
      <c r="O4" s="41"/>
    </row>
    <row r="5" spans="1:16" ht="13">
      <c r="B5" s="150"/>
      <c r="C5" s="150"/>
      <c r="D5" s="150"/>
      <c r="F5" s="148"/>
      <c r="N5" s="352"/>
    </row>
    <row r="6" spans="1:16" ht="13">
      <c r="F6" s="148"/>
      <c r="N6" s="352"/>
    </row>
    <row r="7" spans="1:16" ht="22.5" customHeight="1">
      <c r="A7" s="678" t="s">
        <v>80</v>
      </c>
      <c r="B7" s="679"/>
      <c r="C7" s="679"/>
      <c r="D7" s="679"/>
      <c r="E7" s="679"/>
      <c r="F7" s="679"/>
      <c r="G7" s="679"/>
      <c r="H7" s="679"/>
      <c r="I7" s="679"/>
      <c r="J7" s="679"/>
      <c r="K7" s="679"/>
      <c r="L7" s="679"/>
      <c r="M7" s="679"/>
      <c r="N7" s="680"/>
      <c r="O7" s="39"/>
    </row>
    <row r="8" spans="1:16" ht="40.5" customHeight="1">
      <c r="A8" s="40" t="s">
        <v>1</v>
      </c>
      <c r="B8" s="422" t="s">
        <v>41</v>
      </c>
      <c r="C8" s="422" t="s">
        <v>42</v>
      </c>
      <c r="D8" s="422" t="s">
        <v>43</v>
      </c>
      <c r="E8" s="422" t="s">
        <v>44</v>
      </c>
      <c r="F8" s="422" t="s">
        <v>31</v>
      </c>
      <c r="G8" s="422" t="s">
        <v>45</v>
      </c>
      <c r="H8" s="422" t="s">
        <v>59</v>
      </c>
      <c r="I8" s="422" t="s">
        <v>66</v>
      </c>
      <c r="J8" s="422" t="s">
        <v>67</v>
      </c>
      <c r="K8" s="422" t="s">
        <v>61</v>
      </c>
      <c r="L8" s="422" t="s">
        <v>68</v>
      </c>
      <c r="M8" s="422" t="s">
        <v>62</v>
      </c>
      <c r="N8" s="421" t="str">
        <f>'Ex ante LI &amp; Eligibility Stats'!N8:N8</f>
        <v>Eligible Accounts as of January</v>
      </c>
      <c r="O8" s="272" t="s">
        <v>70</v>
      </c>
    </row>
    <row r="9" spans="1:16" ht="75.75" customHeight="1">
      <c r="A9" s="423" t="s">
        <v>8</v>
      </c>
      <c r="B9" s="424">
        <v>106.08</v>
      </c>
      <c r="C9" s="424">
        <v>106.08</v>
      </c>
      <c r="D9" s="424">
        <v>106</v>
      </c>
      <c r="E9" s="424">
        <v>106</v>
      </c>
      <c r="F9" s="424">
        <v>106</v>
      </c>
      <c r="G9" s="424">
        <v>106</v>
      </c>
      <c r="H9" s="424">
        <v>106</v>
      </c>
      <c r="I9" s="424">
        <v>106</v>
      </c>
      <c r="J9" s="424">
        <v>106</v>
      </c>
      <c r="K9" s="424">
        <v>106</v>
      </c>
      <c r="L9" s="424">
        <v>106</v>
      </c>
      <c r="M9" s="424">
        <v>106</v>
      </c>
      <c r="N9" s="431">
        <f>'Ex ante LI &amp; Eligibility Stats'!N9</f>
        <v>5326</v>
      </c>
      <c r="O9" s="273" t="str">
        <f>'Ex ante LI &amp; Eligibility Stats'!O9</f>
        <v>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v>
      </c>
      <c r="P9" s="424"/>
    </row>
    <row r="10" spans="1:16" ht="75.75" customHeight="1">
      <c r="A10" s="525" t="s">
        <v>11</v>
      </c>
      <c r="B10" s="526">
        <v>0.4</v>
      </c>
      <c r="C10" s="526">
        <v>0.4</v>
      </c>
      <c r="D10" s="424">
        <v>0.48120716908709499</v>
      </c>
      <c r="E10" s="424">
        <v>0.48120716908709499</v>
      </c>
      <c r="F10" s="424">
        <v>0.48120716908709499</v>
      </c>
      <c r="G10" s="424">
        <v>0.48120716908709499</v>
      </c>
      <c r="H10" s="424">
        <v>0.48120716908709499</v>
      </c>
      <c r="I10" s="424">
        <v>0.48120716908709499</v>
      </c>
      <c r="J10" s="424">
        <v>0.48120716908709499</v>
      </c>
      <c r="K10" s="424">
        <v>0.48120716908709499</v>
      </c>
      <c r="L10" s="424">
        <v>0.48120716908709499</v>
      </c>
      <c r="M10" s="424">
        <v>0.48120716908709499</v>
      </c>
      <c r="N10" s="429">
        <f>'Ex ante LI &amp; Eligibility Stats'!N10</f>
        <v>24298</v>
      </c>
      <c r="O10" s="273"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426" t="s">
        <v>17</v>
      </c>
      <c r="B11" s="427">
        <v>0.32</v>
      </c>
      <c r="C11" s="427">
        <v>0.32</v>
      </c>
      <c r="D11" s="424">
        <v>0.30028513073921204</v>
      </c>
      <c r="E11" s="424">
        <v>0.30028513073921204</v>
      </c>
      <c r="F11" s="424">
        <v>0.30028513073921204</v>
      </c>
      <c r="G11" s="424">
        <v>0.30028513073921204</v>
      </c>
      <c r="H11" s="424">
        <v>0.30028513073921204</v>
      </c>
      <c r="I11" s="424">
        <v>0.30028513073921204</v>
      </c>
      <c r="J11" s="424">
        <v>0.30028513073921204</v>
      </c>
      <c r="K11" s="424">
        <v>0.30028513073921204</v>
      </c>
      <c r="L11" s="424">
        <v>0.30028513073921204</v>
      </c>
      <c r="M11" s="424">
        <v>0.30028513073921204</v>
      </c>
      <c r="N11" s="429">
        <f>'Ex ante LI &amp; Eligibility Stats'!N11</f>
        <v>590220</v>
      </c>
      <c r="O11" s="273"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v>
      </c>
    </row>
    <row r="12" spans="1:16" ht="75.75" customHeight="1">
      <c r="A12" s="426" t="s">
        <v>20</v>
      </c>
      <c r="B12" s="427">
        <v>0.46</v>
      </c>
      <c r="C12" s="427">
        <v>0.46</v>
      </c>
      <c r="D12" s="424">
        <v>0.4638446569442749</v>
      </c>
      <c r="E12" s="424">
        <v>0.4638446569442749</v>
      </c>
      <c r="F12" s="424">
        <v>0.4638446569442749</v>
      </c>
      <c r="G12" s="424">
        <v>0.4638446569442749</v>
      </c>
      <c r="H12" s="424">
        <v>0.4638446569442749</v>
      </c>
      <c r="I12" s="424">
        <v>0.4638446569442749</v>
      </c>
      <c r="J12" s="424">
        <v>0.4638446569442749</v>
      </c>
      <c r="K12" s="424">
        <v>0.4638446569442749</v>
      </c>
      <c r="L12" s="424">
        <v>0.4638446569442749</v>
      </c>
      <c r="M12" s="424">
        <v>0.4638446569442749</v>
      </c>
      <c r="N12" s="429">
        <f>'Ex ante LI &amp; Eligibility Stats'!N12</f>
        <v>133226</v>
      </c>
      <c r="O12" s="273"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426" t="s">
        <v>21</v>
      </c>
      <c r="B13" s="427">
        <v>0.13</v>
      </c>
      <c r="C13" s="427">
        <v>0.13</v>
      </c>
      <c r="D13" s="424">
        <v>0.13413890000000001</v>
      </c>
      <c r="E13" s="424">
        <v>0.13413890000000001</v>
      </c>
      <c r="F13" s="424">
        <v>0.13413890000000001</v>
      </c>
      <c r="G13" s="424">
        <v>0.13413890000000001</v>
      </c>
      <c r="H13" s="424">
        <v>0.13413890000000001</v>
      </c>
      <c r="I13" s="424">
        <v>0.13413890000000001</v>
      </c>
      <c r="J13" s="424">
        <v>0.13413890000000001</v>
      </c>
      <c r="K13" s="424">
        <v>0.13413890000000001</v>
      </c>
      <c r="L13" s="424">
        <v>0.13413890000000001</v>
      </c>
      <c r="M13" s="424">
        <v>0.13413890000000001</v>
      </c>
      <c r="N13" s="429">
        <f>'Ex ante LI &amp; Eligibility Stats'!N13</f>
        <v>590220</v>
      </c>
      <c r="O13" s="273"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v>
      </c>
    </row>
    <row r="14" spans="1:16" ht="75.75" customHeight="1">
      <c r="A14" s="426" t="s">
        <v>23</v>
      </c>
      <c r="B14" s="427">
        <v>0.05</v>
      </c>
      <c r="C14" s="427">
        <v>0.05</v>
      </c>
      <c r="D14" s="424">
        <v>4.9344300000000001E-2</v>
      </c>
      <c r="E14" s="424">
        <v>4.9344300000000001E-2</v>
      </c>
      <c r="F14" s="424">
        <v>4.9344300000000001E-2</v>
      </c>
      <c r="G14" s="424">
        <v>4.9344300000000001E-2</v>
      </c>
      <c r="H14" s="424">
        <v>4.9344300000000001E-2</v>
      </c>
      <c r="I14" s="424">
        <v>4.9344300000000001E-2</v>
      </c>
      <c r="J14" s="424">
        <v>4.9344300000000001E-2</v>
      </c>
      <c r="K14" s="424">
        <v>4.9344300000000001E-2</v>
      </c>
      <c r="L14" s="424">
        <v>4.9344300000000001E-2</v>
      </c>
      <c r="M14" s="424">
        <v>4.9344300000000001E-2</v>
      </c>
      <c r="N14" s="429">
        <f>'Ex ante LI &amp; Eligibility Stats'!N14</f>
        <v>133226</v>
      </c>
      <c r="O14" s="273"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v>
      </c>
    </row>
    <row r="15" spans="1:16" ht="75.75" customHeight="1">
      <c r="A15" s="525" t="s">
        <v>24</v>
      </c>
      <c r="B15" s="527">
        <v>18</v>
      </c>
      <c r="C15" s="527">
        <v>18</v>
      </c>
      <c r="D15" s="424">
        <v>17.953320000000001</v>
      </c>
      <c r="E15" s="424">
        <v>17.953320000000001</v>
      </c>
      <c r="F15" s="424">
        <v>17.953320000000001</v>
      </c>
      <c r="G15" s="424">
        <v>17.953320000000001</v>
      </c>
      <c r="H15" s="424">
        <v>17.953320000000001</v>
      </c>
      <c r="I15" s="424">
        <v>17.953320000000001</v>
      </c>
      <c r="J15" s="424">
        <v>17.953320000000001</v>
      </c>
      <c r="K15" s="424">
        <v>17.953320000000001</v>
      </c>
      <c r="L15" s="424">
        <v>17.953320000000001</v>
      </c>
      <c r="M15" s="424">
        <v>17.953320000000001</v>
      </c>
      <c r="N15" s="429">
        <f>'Ex ante LI &amp; Eligibility Stats'!N15</f>
        <v>78368</v>
      </c>
      <c r="O15" s="273"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525" t="s">
        <v>25</v>
      </c>
      <c r="B16" s="527">
        <v>13.8</v>
      </c>
      <c r="C16" s="527">
        <v>13.8</v>
      </c>
      <c r="D16" s="424">
        <v>13.800850000000001</v>
      </c>
      <c r="E16" s="424">
        <v>13.800850000000001</v>
      </c>
      <c r="F16" s="424">
        <v>13.800850000000001</v>
      </c>
      <c r="G16" s="424">
        <v>13.800850000000001</v>
      </c>
      <c r="H16" s="424">
        <v>13.800850000000001</v>
      </c>
      <c r="I16" s="424">
        <v>13.800850000000001</v>
      </c>
      <c r="J16" s="424">
        <v>13.800850000000001</v>
      </c>
      <c r="K16" s="424">
        <v>13.800850000000001</v>
      </c>
      <c r="L16" s="424">
        <v>13.800850000000001</v>
      </c>
      <c r="M16" s="424">
        <v>13.800850000000001</v>
      </c>
      <c r="N16" s="429">
        <f>'Ex ante LI &amp; Eligibility Stats'!N16</f>
        <v>78368</v>
      </c>
      <c r="O16" s="273"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426" t="s">
        <v>27</v>
      </c>
      <c r="B17" s="424">
        <v>0.17</v>
      </c>
      <c r="C17" s="424">
        <v>0.17</v>
      </c>
      <c r="D17" s="424">
        <v>0.16711041871077983</v>
      </c>
      <c r="E17" s="424">
        <v>0.16711041871077983</v>
      </c>
      <c r="F17" s="424">
        <v>0.16711041871077983</v>
      </c>
      <c r="G17" s="424">
        <v>0.16711041871077983</v>
      </c>
      <c r="H17" s="424">
        <v>0.16711041871077983</v>
      </c>
      <c r="I17" s="424">
        <v>0.16711041871077983</v>
      </c>
      <c r="J17" s="424">
        <v>0.16711041871077983</v>
      </c>
      <c r="K17" s="424">
        <v>0.16711041871077983</v>
      </c>
      <c r="L17" s="424">
        <v>0.16711041871077983</v>
      </c>
      <c r="M17" s="424">
        <v>0.16711041871077983</v>
      </c>
      <c r="N17" s="429">
        <f>'Ex ante LI &amp; Eligibility Stats'!N17</f>
        <v>1292629</v>
      </c>
      <c r="O17" s="273"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513" t="s">
        <v>26</v>
      </c>
      <c r="B18" s="432">
        <v>0.05</v>
      </c>
      <c r="C18" s="432">
        <v>0.05</v>
      </c>
      <c r="D18" s="514">
        <v>4.9964198690539703E-2</v>
      </c>
      <c r="E18" s="514">
        <v>4.9964198690539703E-2</v>
      </c>
      <c r="F18" s="514">
        <v>4.9964198690539703E-2</v>
      </c>
      <c r="G18" s="514">
        <v>4.9964198690539703E-2</v>
      </c>
      <c r="H18" s="514">
        <v>4.9964198690539703E-2</v>
      </c>
      <c r="I18" s="514">
        <v>4.9964198690539703E-2</v>
      </c>
      <c r="J18" s="514">
        <v>4.9964198690539703E-2</v>
      </c>
      <c r="K18" s="514">
        <v>4.9964198690539703E-2</v>
      </c>
      <c r="L18" s="514">
        <v>4.9964198690539703E-2</v>
      </c>
      <c r="M18" s="514">
        <v>4.9964198690539703E-2</v>
      </c>
      <c r="N18" s="521">
        <f>'Ex ante LI &amp; Eligibility Stats'!N18</f>
        <v>120672</v>
      </c>
      <c r="O18" s="522" t="str">
        <f>'Ex ante LI &amp; Eligibility Stats'!O18</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9" spans="1:26" ht="66.75" customHeight="1">
      <c r="A19" s="423" t="s">
        <v>55</v>
      </c>
      <c r="B19" s="517">
        <v>0</v>
      </c>
      <c r="C19" s="517">
        <v>0</v>
      </c>
      <c r="D19" s="517">
        <v>0.47450989484786987</v>
      </c>
      <c r="E19" s="517">
        <v>0.47450989484786987</v>
      </c>
      <c r="F19" s="517">
        <v>0.47450989484786987</v>
      </c>
      <c r="G19" s="517">
        <v>0.47450989484786987</v>
      </c>
      <c r="H19" s="517">
        <v>0.47450989484786987</v>
      </c>
      <c r="I19" s="517">
        <v>0.47450989484786987</v>
      </c>
      <c r="J19" s="517">
        <v>0.47450989484786987</v>
      </c>
      <c r="K19" s="517">
        <v>0.47450989484786987</v>
      </c>
      <c r="L19" s="517">
        <v>0.47450989484786987</v>
      </c>
      <c r="M19" s="517">
        <v>0.47450989484786987</v>
      </c>
      <c r="N19" s="523">
        <f>'Ex ante LI &amp; Eligibility Stats'!N19</f>
        <v>2822</v>
      </c>
      <c r="O19" s="273"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23.25" customHeight="1">
      <c r="A20" s="445"/>
      <c r="B20" s="446"/>
      <c r="C20" s="446"/>
      <c r="D20" s="446"/>
      <c r="E20" s="446"/>
      <c r="F20" s="446"/>
      <c r="G20" s="446"/>
      <c r="H20" s="446"/>
      <c r="I20" s="446"/>
      <c r="J20" s="446"/>
      <c r="K20" s="446"/>
      <c r="L20" s="446"/>
      <c r="M20" s="446"/>
      <c r="N20" s="447"/>
      <c r="O20" s="419"/>
    </row>
    <row r="21" spans="1:26" ht="14">
      <c r="A21" s="681" t="s">
        <v>81</v>
      </c>
      <c r="B21" s="681"/>
      <c r="C21" s="681"/>
      <c r="D21" s="681"/>
      <c r="E21" s="681"/>
      <c r="F21" s="681"/>
      <c r="G21" s="681"/>
      <c r="H21" s="681"/>
      <c r="I21" s="681"/>
      <c r="J21" s="681"/>
      <c r="K21" s="681"/>
      <c r="L21" s="681"/>
      <c r="M21" s="681"/>
      <c r="N21" s="681"/>
      <c r="O21" s="681"/>
    </row>
    <row r="22" spans="1:26" s="10" customFormat="1" ht="48.75" customHeight="1">
      <c r="A22" s="677" t="s">
        <v>296</v>
      </c>
      <c r="B22" s="688"/>
      <c r="C22" s="688"/>
      <c r="D22" s="688"/>
      <c r="E22" s="688"/>
      <c r="F22" s="688"/>
      <c r="G22" s="688"/>
      <c r="H22" s="688"/>
      <c r="I22" s="688"/>
      <c r="J22" s="688"/>
      <c r="K22" s="688"/>
      <c r="L22" s="688"/>
      <c r="M22" s="575"/>
      <c r="N22" s="575"/>
      <c r="O22" s="575"/>
      <c r="P22" s="13"/>
      <c r="Q22" s="13"/>
      <c r="R22" s="13"/>
      <c r="S22" s="13"/>
      <c r="T22" s="146"/>
      <c r="U22" s="146"/>
      <c r="V22" s="146"/>
      <c r="W22" s="146"/>
      <c r="X22" s="146"/>
      <c r="Y22" s="146"/>
      <c r="Z22" s="146"/>
    </row>
    <row r="23" spans="1:26" s="10" customFormat="1" ht="24" customHeight="1">
      <c r="A23" s="651"/>
      <c r="B23" s="658"/>
      <c r="C23" s="658"/>
      <c r="D23" s="658"/>
      <c r="E23" s="658"/>
      <c r="F23" s="658"/>
      <c r="G23" s="658"/>
      <c r="H23" s="658"/>
      <c r="I23" s="658"/>
      <c r="J23" s="658"/>
      <c r="K23" s="658"/>
      <c r="L23" s="658"/>
      <c r="M23" s="653"/>
      <c r="N23" s="653"/>
      <c r="O23" s="653"/>
      <c r="P23" s="13"/>
      <c r="Q23" s="13"/>
      <c r="R23" s="13"/>
      <c r="S23" s="13"/>
      <c r="T23" s="146"/>
      <c r="U23" s="146"/>
      <c r="V23" s="146"/>
      <c r="W23" s="146"/>
      <c r="X23" s="146"/>
      <c r="Y23" s="146"/>
      <c r="Z23" s="146"/>
    </row>
    <row r="24" spans="1:26" ht="12.75" customHeight="1">
      <c r="A24" s="682" t="s">
        <v>82</v>
      </c>
      <c r="B24" s="683"/>
      <c r="C24" s="683"/>
      <c r="D24" s="683"/>
      <c r="E24" s="683"/>
      <c r="F24" s="683"/>
      <c r="G24" s="683"/>
      <c r="H24" s="683"/>
      <c r="I24" s="683"/>
      <c r="J24" s="683"/>
      <c r="K24" s="683"/>
      <c r="L24" s="683"/>
      <c r="M24" s="683"/>
      <c r="N24" s="683"/>
      <c r="O24" s="683"/>
    </row>
    <row r="25" spans="1:26" ht="12.75" customHeight="1">
      <c r="A25" s="652"/>
      <c r="B25" s="653"/>
      <c r="C25" s="653"/>
      <c r="D25" s="653"/>
      <c r="E25" s="653"/>
      <c r="F25" s="653"/>
      <c r="G25" s="653"/>
      <c r="H25" s="653"/>
      <c r="I25" s="653"/>
      <c r="J25" s="653"/>
      <c r="K25" s="653"/>
      <c r="L25" s="653"/>
      <c r="M25" s="653"/>
      <c r="N25" s="653"/>
      <c r="O25" s="653"/>
    </row>
    <row r="26" spans="1:26" ht="12.75" customHeight="1">
      <c r="A26" s="686" t="s">
        <v>78</v>
      </c>
      <c r="B26" s="687"/>
      <c r="C26" s="687"/>
      <c r="D26" s="687"/>
      <c r="E26" s="687"/>
      <c r="F26" s="687"/>
      <c r="G26" s="687"/>
      <c r="H26" s="687"/>
      <c r="I26" s="687"/>
      <c r="J26" s="687"/>
      <c r="K26" s="687"/>
      <c r="L26" s="687"/>
      <c r="M26" s="687"/>
      <c r="N26" s="687"/>
    </row>
    <row r="27" spans="1:26" ht="12.75" customHeight="1">
      <c r="A27" s="656"/>
      <c r="B27" s="657"/>
      <c r="C27" s="657"/>
      <c r="D27" s="657"/>
      <c r="E27" s="657"/>
      <c r="F27" s="657"/>
      <c r="G27" s="657"/>
      <c r="H27" s="657"/>
      <c r="I27" s="657"/>
      <c r="J27" s="657"/>
      <c r="K27" s="657"/>
      <c r="L27" s="657"/>
      <c r="M27" s="657"/>
      <c r="N27" s="657"/>
    </row>
    <row r="28" spans="1:26" s="10" customFormat="1" ht="27.65" customHeight="1">
      <c r="A28" s="684" t="s">
        <v>343</v>
      </c>
      <c r="B28" s="685"/>
      <c r="C28" s="685"/>
      <c r="D28" s="685"/>
      <c r="E28" s="685"/>
      <c r="F28" s="685"/>
      <c r="G28" s="685"/>
      <c r="H28" s="685"/>
      <c r="I28" s="685"/>
      <c r="J28" s="685"/>
      <c r="K28" s="685"/>
      <c r="L28" s="685"/>
      <c r="M28" s="685"/>
      <c r="N28" s="685"/>
      <c r="O28"/>
      <c r="P28" s="13"/>
      <c r="Q28" s="13"/>
      <c r="R28" s="13"/>
      <c r="S28" s="13"/>
      <c r="T28" s="146"/>
      <c r="U28" s="146"/>
      <c r="V28" s="146"/>
      <c r="W28" s="146"/>
      <c r="X28" s="146"/>
      <c r="Y28" s="146"/>
      <c r="Z28" s="146"/>
    </row>
    <row r="29" spans="1:26" s="10" customFormat="1" ht="15.75" customHeight="1">
      <c r="A29" s="654"/>
      <c r="B29" s="655"/>
      <c r="C29" s="655"/>
      <c r="D29" s="655"/>
      <c r="E29" s="655"/>
      <c r="F29" s="655"/>
      <c r="G29" s="655"/>
      <c r="H29" s="655"/>
      <c r="I29" s="655"/>
      <c r="J29" s="655"/>
      <c r="K29" s="655"/>
      <c r="L29" s="655"/>
      <c r="M29" s="655"/>
      <c r="N29" s="655"/>
      <c r="O29"/>
      <c r="P29" s="13"/>
      <c r="Q29" s="13"/>
      <c r="R29" s="13"/>
      <c r="S29" s="13"/>
      <c r="T29" s="146"/>
      <c r="U29" s="146"/>
      <c r="V29" s="146"/>
      <c r="W29" s="146"/>
      <c r="X29" s="146"/>
      <c r="Y29" s="146"/>
      <c r="Z29" s="146"/>
    </row>
    <row r="30" spans="1:26" s="10" customFormat="1" ht="14">
      <c r="A30" s="246" t="s">
        <v>64</v>
      </c>
      <c r="B30"/>
      <c r="C30"/>
      <c r="D30"/>
      <c r="E30"/>
      <c r="F30"/>
      <c r="G30"/>
      <c r="H30"/>
      <c r="I30"/>
      <c r="J30"/>
      <c r="K30"/>
      <c r="L30"/>
      <c r="M30"/>
      <c r="N30" s="352"/>
      <c r="O30"/>
      <c r="P30" s="13"/>
      <c r="Q30" s="13"/>
      <c r="R30" s="13"/>
      <c r="S30" s="13"/>
      <c r="T30" s="146"/>
      <c r="U30" s="146"/>
      <c r="V30" s="146"/>
      <c r="W30" s="146"/>
      <c r="X30" s="146"/>
      <c r="Y30" s="146"/>
      <c r="Z30" s="146"/>
    </row>
    <row r="31" spans="1:26" ht="40.5" customHeight="1">
      <c r="N31" s="352"/>
    </row>
    <row r="58" spans="1:1" ht="40.5" customHeight="1">
      <c r="A58" s="204"/>
    </row>
  </sheetData>
  <mergeCells count="6">
    <mergeCell ref="A7:N7"/>
    <mergeCell ref="A21:O21"/>
    <mergeCell ref="A24:O24"/>
    <mergeCell ref="A28:N28"/>
    <mergeCell ref="A26:N26"/>
    <mergeCell ref="A22:L22"/>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6953125" defaultRowHeight="12.5"/>
  <cols>
    <col min="1" max="1" width="45.7265625" style="44" customWidth="1"/>
    <col min="2" max="4" width="10.7265625" style="44" customWidth="1"/>
    <col min="5" max="5" width="12.7265625" style="44" customWidth="1"/>
    <col min="6" max="8" width="10.54296875" style="44" customWidth="1"/>
    <col min="9" max="9" width="12.7265625" style="44" customWidth="1"/>
    <col min="10" max="12" width="10.7265625" style="44" customWidth="1"/>
    <col min="13" max="13" width="12.7265625" style="44" customWidth="1"/>
    <col min="14" max="16" width="10.7265625" style="44" customWidth="1"/>
    <col min="17" max="17" width="12.7265625" style="44" customWidth="1"/>
    <col min="18" max="20" width="10.7265625" style="44" customWidth="1"/>
    <col min="21" max="21" width="12.7265625" style="44" customWidth="1"/>
    <col min="22" max="24" width="10.7265625" style="44" customWidth="1"/>
    <col min="25" max="25" width="12.7265625" style="44" customWidth="1"/>
    <col min="26" max="16384" width="9.26953125" style="44"/>
  </cols>
  <sheetData>
    <row r="1" spans="1:25" ht="13">
      <c r="A1" s="43" t="s">
        <v>83</v>
      </c>
    </row>
    <row r="3" spans="1:25" ht="21.75" customHeight="1">
      <c r="A3" s="94">
        <v>2016</v>
      </c>
      <c r="B3" s="689" t="s">
        <v>41</v>
      </c>
      <c r="C3" s="689"/>
      <c r="D3" s="689"/>
      <c r="E3" s="689"/>
      <c r="F3" s="690" t="s">
        <v>42</v>
      </c>
      <c r="G3" s="690"/>
      <c r="H3" s="690"/>
      <c r="I3" s="690"/>
      <c r="J3" s="690" t="s">
        <v>43</v>
      </c>
      <c r="K3" s="690"/>
      <c r="L3" s="690"/>
      <c r="M3" s="690"/>
      <c r="N3" s="690" t="s">
        <v>44</v>
      </c>
      <c r="O3" s="690"/>
      <c r="P3" s="690"/>
      <c r="Q3" s="690"/>
      <c r="R3" s="690" t="s">
        <v>31</v>
      </c>
      <c r="S3" s="690"/>
      <c r="T3" s="690"/>
      <c r="U3" s="690"/>
      <c r="V3" s="690" t="s">
        <v>45</v>
      </c>
      <c r="W3" s="690"/>
      <c r="X3" s="690"/>
      <c r="Y3" s="690"/>
    </row>
    <row r="4" spans="1:25" ht="79.5" customHeight="1">
      <c r="A4" s="456" t="s">
        <v>84</v>
      </c>
      <c r="B4" s="54" t="s">
        <v>85</v>
      </c>
      <c r="C4" s="54" t="s">
        <v>86</v>
      </c>
      <c r="D4" s="54" t="s">
        <v>87</v>
      </c>
      <c r="E4" s="54" t="s">
        <v>88</v>
      </c>
      <c r="F4" s="54" t="s">
        <v>85</v>
      </c>
      <c r="G4" s="54" t="s">
        <v>86</v>
      </c>
      <c r="H4" s="54" t="s">
        <v>87</v>
      </c>
      <c r="I4" s="54" t="s">
        <v>88</v>
      </c>
      <c r="J4" s="54" t="s">
        <v>85</v>
      </c>
      <c r="K4" s="54" t="s">
        <v>86</v>
      </c>
      <c r="L4" s="54" t="s">
        <v>87</v>
      </c>
      <c r="M4" s="54" t="s">
        <v>88</v>
      </c>
      <c r="N4" s="54" t="s">
        <v>85</v>
      </c>
      <c r="O4" s="54" t="s">
        <v>86</v>
      </c>
      <c r="P4" s="54" t="s">
        <v>87</v>
      </c>
      <c r="Q4" s="54" t="s">
        <v>88</v>
      </c>
      <c r="R4" s="54" t="s">
        <v>85</v>
      </c>
      <c r="S4" s="54" t="s">
        <v>86</v>
      </c>
      <c r="T4" s="54" t="s">
        <v>87</v>
      </c>
      <c r="U4" s="54" t="s">
        <v>88</v>
      </c>
      <c r="V4" s="54" t="s">
        <v>85</v>
      </c>
      <c r="W4" s="54" t="s">
        <v>86</v>
      </c>
      <c r="X4" s="54" t="s">
        <v>87</v>
      </c>
      <c r="Y4" s="54" t="s">
        <v>88</v>
      </c>
    </row>
    <row r="5" spans="1:25" ht="13">
      <c r="A5" s="95" t="s">
        <v>89</v>
      </c>
      <c r="B5" s="56"/>
      <c r="C5" s="57">
        <v>5.8977000000000004</v>
      </c>
      <c r="D5" s="58">
        <v>2.3029999999999999</v>
      </c>
      <c r="E5" s="59">
        <f>SUM(B5:D5)</f>
        <v>8.2007000000000012</v>
      </c>
      <c r="F5" s="55"/>
      <c r="G5" s="58">
        <v>5.8977000000000004</v>
      </c>
      <c r="H5" s="58">
        <v>2.3029999999999999</v>
      </c>
      <c r="I5" s="60">
        <f>SUM(G5:H5)</f>
        <v>8.2007000000000012</v>
      </c>
      <c r="J5" s="55"/>
      <c r="K5" s="58"/>
      <c r="L5" s="58"/>
      <c r="M5" s="60">
        <f>SUM(K5:L5)</f>
        <v>0</v>
      </c>
      <c r="N5" s="55"/>
      <c r="O5" s="58"/>
      <c r="P5" s="58"/>
      <c r="Q5" s="60">
        <f>SUM(O5:P5)</f>
        <v>0</v>
      </c>
      <c r="R5" s="55"/>
      <c r="S5" s="58"/>
      <c r="T5" s="58"/>
      <c r="U5" s="60">
        <f>SUM(S5:T5)</f>
        <v>0</v>
      </c>
      <c r="V5" s="55"/>
      <c r="W5" s="58"/>
      <c r="X5" s="58"/>
      <c r="Y5" s="60">
        <f>SUM(W5:X5)</f>
        <v>0</v>
      </c>
    </row>
    <row r="6" spans="1:25" ht="13">
      <c r="A6" s="95" t="s">
        <v>90</v>
      </c>
      <c r="B6" s="103"/>
      <c r="C6" s="104">
        <v>12.8962</v>
      </c>
      <c r="D6" s="57">
        <v>1.4750000000000001</v>
      </c>
      <c r="E6" s="59">
        <f>SUM(B6:D6)</f>
        <v>14.3712</v>
      </c>
      <c r="F6" s="55"/>
      <c r="G6" s="58">
        <v>12.911899999999999</v>
      </c>
      <c r="H6" s="61">
        <v>1.4750000000000001</v>
      </c>
      <c r="I6" s="60">
        <f>SUM(G6:H6)</f>
        <v>14.386899999999999</v>
      </c>
      <c r="J6" s="62"/>
      <c r="K6" s="58"/>
      <c r="L6" s="61"/>
      <c r="M6" s="60">
        <f>SUM(K6:L6)</f>
        <v>0</v>
      </c>
      <c r="N6" s="62"/>
      <c r="O6" s="58"/>
      <c r="P6" s="61"/>
      <c r="Q6" s="60">
        <f>SUM(O6:P6)</f>
        <v>0</v>
      </c>
      <c r="R6" s="62"/>
      <c r="S6" s="58"/>
      <c r="T6" s="61"/>
      <c r="U6" s="60">
        <f>SUM(S6:T6)</f>
        <v>0</v>
      </c>
      <c r="V6" s="62"/>
      <c r="W6" s="58"/>
      <c r="X6" s="61"/>
      <c r="Y6" s="60">
        <f>SUM(W6:X6)</f>
        <v>0</v>
      </c>
    </row>
    <row r="7" spans="1:25" s="43" customFormat="1" ht="13">
      <c r="A7" s="96" t="s">
        <v>91</v>
      </c>
      <c r="B7" s="105"/>
      <c r="C7" s="106">
        <f>SUM(C5:C6)</f>
        <v>18.793900000000001</v>
      </c>
      <c r="D7" s="106">
        <f>SUM(D5:D6)</f>
        <v>3.778</v>
      </c>
      <c r="E7" s="106">
        <f>SUM(E5:E6)</f>
        <v>22.571899999999999</v>
      </c>
      <c r="F7" s="63"/>
      <c r="G7" s="60">
        <f t="shared" ref="G7:Y7" si="0">SUM(G5:G6)</f>
        <v>18.8096</v>
      </c>
      <c r="H7" s="60">
        <f t="shared" si="0"/>
        <v>3.778</v>
      </c>
      <c r="I7" s="60">
        <f t="shared" si="0"/>
        <v>22.587600000000002</v>
      </c>
      <c r="J7" s="60"/>
      <c r="K7" s="60">
        <f t="shared" si="0"/>
        <v>0</v>
      </c>
      <c r="L7" s="60">
        <f t="shared" si="0"/>
        <v>0</v>
      </c>
      <c r="M7" s="60">
        <f t="shared" si="0"/>
        <v>0</v>
      </c>
      <c r="N7" s="60"/>
      <c r="O7" s="60">
        <f t="shared" si="0"/>
        <v>0</v>
      </c>
      <c r="P7" s="60">
        <f t="shared" si="0"/>
        <v>0</v>
      </c>
      <c r="Q7" s="60">
        <f t="shared" si="0"/>
        <v>0</v>
      </c>
      <c r="R7" s="60"/>
      <c r="S7" s="60">
        <f t="shared" si="0"/>
        <v>0</v>
      </c>
      <c r="T7" s="60">
        <f t="shared" si="0"/>
        <v>0</v>
      </c>
      <c r="U7" s="60">
        <f t="shared" si="0"/>
        <v>0</v>
      </c>
      <c r="V7" s="60"/>
      <c r="W7" s="60">
        <f t="shared" si="0"/>
        <v>0</v>
      </c>
      <c r="X7" s="60">
        <f t="shared" si="0"/>
        <v>0</v>
      </c>
      <c r="Y7" s="60">
        <f t="shared" si="0"/>
        <v>0</v>
      </c>
    </row>
    <row r="8" spans="1:25" ht="4.5" customHeight="1">
      <c r="A8" s="96"/>
      <c r="B8" s="63"/>
      <c r="C8" s="107"/>
      <c r="D8" s="107"/>
      <c r="E8" s="108"/>
      <c r="F8" s="63"/>
      <c r="G8" s="62"/>
      <c r="H8" s="62"/>
      <c r="I8" s="60"/>
      <c r="J8" s="64"/>
      <c r="K8" s="62"/>
      <c r="L8" s="62"/>
      <c r="M8" s="60"/>
      <c r="N8" s="64"/>
      <c r="O8" s="62"/>
      <c r="P8" s="62"/>
      <c r="Q8" s="60"/>
      <c r="R8" s="64"/>
      <c r="S8" s="62"/>
      <c r="T8" s="62"/>
      <c r="U8" s="60"/>
      <c r="V8" s="64"/>
      <c r="W8" s="62"/>
      <c r="X8" s="62"/>
      <c r="Y8" s="60"/>
    </row>
    <row r="9" spans="1:25" ht="13">
      <c r="A9" s="97" t="s">
        <v>51</v>
      </c>
      <c r="B9" s="65"/>
      <c r="C9" s="54"/>
      <c r="D9" s="54"/>
      <c r="E9" s="457"/>
      <c r="F9" s="65"/>
      <c r="G9" s="66"/>
      <c r="H9" s="67"/>
      <c r="I9" s="67"/>
      <c r="J9" s="68"/>
      <c r="K9" s="66"/>
      <c r="L9" s="67"/>
      <c r="M9" s="60"/>
      <c r="N9" s="68"/>
      <c r="O9" s="66"/>
      <c r="P9" s="67"/>
      <c r="Q9" s="60"/>
      <c r="R9" s="68"/>
      <c r="S9" s="66"/>
      <c r="T9" s="67"/>
      <c r="U9" s="60"/>
      <c r="V9" s="68"/>
      <c r="W9" s="66"/>
      <c r="X9" s="67"/>
      <c r="Y9" s="60">
        <f>SUM(W9:X9)</f>
        <v>0</v>
      </c>
    </row>
    <row r="10" spans="1:25" ht="13">
      <c r="A10" s="95" t="s">
        <v>92</v>
      </c>
      <c r="B10" s="103"/>
      <c r="C10" s="103"/>
      <c r="D10" s="57"/>
      <c r="E10" s="59"/>
      <c r="F10" s="55"/>
      <c r="G10" s="58"/>
      <c r="H10" s="57"/>
      <c r="I10" s="59"/>
      <c r="J10" s="62"/>
      <c r="K10" s="57" t="s">
        <v>56</v>
      </c>
      <c r="L10" s="57"/>
      <c r="M10" s="60"/>
      <c r="N10" s="62"/>
      <c r="O10" s="57" t="s">
        <v>56</v>
      </c>
      <c r="P10" s="57"/>
      <c r="Q10" s="60"/>
      <c r="R10" s="62"/>
      <c r="S10" s="57" t="s">
        <v>56</v>
      </c>
      <c r="T10" s="57"/>
      <c r="U10" s="60"/>
      <c r="V10" s="62"/>
      <c r="W10" s="57" t="s">
        <v>56</v>
      </c>
      <c r="X10" s="57"/>
      <c r="Y10" s="60">
        <f>SUM(W10:X10)</f>
        <v>0</v>
      </c>
    </row>
    <row r="11" spans="1:25" ht="13">
      <c r="A11" s="95" t="s">
        <v>93</v>
      </c>
      <c r="B11" s="103"/>
      <c r="C11" s="103"/>
      <c r="D11" s="57"/>
      <c r="E11" s="59"/>
      <c r="F11" s="55"/>
      <c r="G11" s="58"/>
      <c r="H11" s="58"/>
      <c r="I11" s="62"/>
      <c r="J11" s="62"/>
      <c r="K11" s="58"/>
      <c r="L11" s="58"/>
      <c r="M11" s="60"/>
      <c r="N11" s="62"/>
      <c r="O11" s="58"/>
      <c r="P11" s="58"/>
      <c r="Q11" s="60"/>
      <c r="R11" s="62"/>
      <c r="S11" s="58"/>
      <c r="T11" s="58"/>
      <c r="U11" s="60"/>
      <c r="V11" s="62"/>
      <c r="W11" s="58"/>
      <c r="X11" s="58"/>
      <c r="Y11" s="60">
        <f>SUM(W11:X11)</f>
        <v>0</v>
      </c>
    </row>
    <row r="12" spans="1:25" ht="13">
      <c r="A12" s="95"/>
      <c r="B12" s="56"/>
      <c r="C12" s="57"/>
      <c r="D12" s="57"/>
      <c r="E12" s="109"/>
      <c r="F12" s="55"/>
      <c r="G12" s="58"/>
      <c r="H12" s="58"/>
      <c r="I12" s="62"/>
      <c r="J12" s="62"/>
      <c r="K12" s="58"/>
      <c r="L12" s="58"/>
      <c r="M12" s="60" t="s">
        <v>56</v>
      </c>
      <c r="N12" s="62"/>
      <c r="O12" s="58"/>
      <c r="P12" s="58"/>
      <c r="Q12" s="60" t="s">
        <v>56</v>
      </c>
      <c r="R12" s="62"/>
      <c r="S12" s="58"/>
      <c r="T12" s="58"/>
      <c r="U12" s="60" t="s">
        <v>56</v>
      </c>
      <c r="V12" s="62"/>
      <c r="W12" s="58"/>
      <c r="X12" s="58"/>
      <c r="Y12" s="60" t="s">
        <v>56</v>
      </c>
    </row>
    <row r="13" spans="1:25" s="43" customFormat="1" ht="13">
      <c r="A13" s="96" t="s">
        <v>91</v>
      </c>
      <c r="B13" s="105"/>
      <c r="C13" s="106">
        <v>0</v>
      </c>
      <c r="D13" s="106">
        <f>SUM(D10:D12)</f>
        <v>0</v>
      </c>
      <c r="E13" s="106">
        <f>SUM(E10:E12)</f>
        <v>0</v>
      </c>
      <c r="F13" s="63"/>
      <c r="G13" s="60">
        <f>SUM(G9:G12)</f>
        <v>0</v>
      </c>
      <c r="H13" s="60">
        <f>SUM(H9:H12)</f>
        <v>0</v>
      </c>
      <c r="I13" s="60">
        <f>SUM(I9:I12)</f>
        <v>0</v>
      </c>
      <c r="J13" s="64"/>
      <c r="K13" s="60">
        <f>SUM(K9:K12)</f>
        <v>0</v>
      </c>
      <c r="L13" s="60">
        <f>SUM(L9:L12)</f>
        <v>0</v>
      </c>
      <c r="M13" s="60">
        <f>SUM(M9:M12)</f>
        <v>0</v>
      </c>
      <c r="N13" s="64"/>
      <c r="O13" s="60">
        <f>SUM(O9:O12)</f>
        <v>0</v>
      </c>
      <c r="P13" s="60">
        <f>SUM(P9:P12)</f>
        <v>0</v>
      </c>
      <c r="Q13" s="60">
        <f>SUM(Q9:Q12)</f>
        <v>0</v>
      </c>
      <c r="R13" s="64"/>
      <c r="S13" s="60">
        <f>SUM(S9:S12)</f>
        <v>0</v>
      </c>
      <c r="T13" s="60">
        <f>SUM(T9:T12)</f>
        <v>0</v>
      </c>
      <c r="U13" s="60">
        <f>SUM(U9:U12)</f>
        <v>0</v>
      </c>
      <c r="V13" s="64"/>
      <c r="W13" s="60">
        <f>SUM(W9:W12)</f>
        <v>0</v>
      </c>
      <c r="X13" s="60">
        <f>SUM(X9:X12)</f>
        <v>0</v>
      </c>
      <c r="Y13" s="60">
        <f>SUM(Y9:Y12)</f>
        <v>0</v>
      </c>
    </row>
    <row r="14" spans="1:25" ht="4.5" customHeight="1">
      <c r="A14" s="96"/>
      <c r="B14" s="63"/>
      <c r="C14" s="107"/>
      <c r="D14" s="107"/>
      <c r="E14" s="108"/>
      <c r="F14" s="63"/>
      <c r="G14" s="62"/>
      <c r="H14" s="62"/>
      <c r="I14" s="60"/>
      <c r="J14" s="64"/>
      <c r="K14" s="62"/>
      <c r="L14" s="62"/>
      <c r="M14" s="60">
        <f>SUM(M9:M12)</f>
        <v>0</v>
      </c>
      <c r="N14" s="64"/>
      <c r="O14" s="62"/>
      <c r="P14" s="62"/>
      <c r="Q14" s="60">
        <f>SUM(Q9:Q12)</f>
        <v>0</v>
      </c>
      <c r="R14" s="64"/>
      <c r="S14" s="62"/>
      <c r="T14" s="62"/>
      <c r="U14" s="60">
        <f>SUM(U9:U12)</f>
        <v>0</v>
      </c>
      <c r="V14" s="64"/>
      <c r="W14" s="62"/>
      <c r="X14" s="62"/>
      <c r="Y14" s="60"/>
    </row>
    <row r="15" spans="1:25" s="43" customFormat="1" ht="17.25" customHeight="1">
      <c r="A15" s="96" t="s">
        <v>88</v>
      </c>
      <c r="B15" s="63"/>
      <c r="C15" s="106">
        <f>C7+C13</f>
        <v>18.793900000000001</v>
      </c>
      <c r="D15" s="106">
        <f>D7+D13</f>
        <v>3.778</v>
      </c>
      <c r="E15" s="106">
        <f>E7+E13</f>
        <v>22.571899999999999</v>
      </c>
      <c r="F15" s="63"/>
      <c r="G15" s="60">
        <f>G7+G13</f>
        <v>18.8096</v>
      </c>
      <c r="H15" s="60">
        <f>H7+H13</f>
        <v>3.778</v>
      </c>
      <c r="I15" s="60">
        <f>I7+I13</f>
        <v>22.587600000000002</v>
      </c>
      <c r="J15" s="64"/>
      <c r="K15" s="60">
        <f>K7+K13</f>
        <v>0</v>
      </c>
      <c r="L15" s="60">
        <f>L7+L13</f>
        <v>0</v>
      </c>
      <c r="M15" s="60">
        <f>M7+M13</f>
        <v>0</v>
      </c>
      <c r="N15" s="64"/>
      <c r="O15" s="60">
        <f>O7+O13</f>
        <v>0</v>
      </c>
      <c r="P15" s="60">
        <f>P7+P13</f>
        <v>0</v>
      </c>
      <c r="Q15" s="60">
        <f>Q7+Q13</f>
        <v>0</v>
      </c>
      <c r="R15" s="64"/>
      <c r="S15" s="60">
        <f>S7+S13</f>
        <v>0</v>
      </c>
      <c r="T15" s="60">
        <f>T7+T13</f>
        <v>0</v>
      </c>
      <c r="U15" s="60">
        <f>U7+U13</f>
        <v>0</v>
      </c>
      <c r="V15" s="64"/>
      <c r="W15" s="60">
        <f>W7+W13</f>
        <v>0</v>
      </c>
      <c r="X15" s="60">
        <f>X7+X13</f>
        <v>0</v>
      </c>
      <c r="Y15" s="60">
        <f>Y7+Y13</f>
        <v>0</v>
      </c>
    </row>
    <row r="16" spans="1:25" ht="17.25" customHeight="1">
      <c r="A16" s="98"/>
      <c r="B16" s="81"/>
      <c r="C16" s="110"/>
      <c r="D16" s="110"/>
      <c r="E16" s="111"/>
      <c r="F16" s="81"/>
      <c r="G16" s="69"/>
      <c r="H16" s="69"/>
      <c r="I16" s="70"/>
      <c r="J16" s="70"/>
      <c r="K16" s="69"/>
      <c r="L16" s="69"/>
      <c r="M16" s="70"/>
      <c r="N16" s="70"/>
      <c r="O16" s="69"/>
      <c r="P16" s="69"/>
      <c r="Q16" s="70"/>
      <c r="R16" s="70"/>
      <c r="S16" s="69"/>
      <c r="T16" s="69"/>
      <c r="U16" s="70"/>
      <c r="V16" s="70"/>
      <c r="W16" s="69"/>
      <c r="X16" s="69"/>
      <c r="Y16" s="70"/>
    </row>
    <row r="17" spans="1:25" ht="13">
      <c r="A17" s="456" t="s">
        <v>94</v>
      </c>
      <c r="B17" s="112"/>
      <c r="C17" s="113"/>
      <c r="D17" s="113"/>
      <c r="E17" s="114"/>
      <c r="F17" s="122"/>
      <c r="G17" s="71"/>
      <c r="H17" s="71"/>
      <c r="I17" s="72"/>
      <c r="J17" s="72"/>
      <c r="K17" s="71"/>
      <c r="L17" s="71"/>
      <c r="M17" s="72"/>
      <c r="N17" s="72"/>
      <c r="O17" s="71"/>
      <c r="P17" s="71"/>
      <c r="Q17" s="72"/>
      <c r="R17" s="72"/>
      <c r="S17" s="71"/>
      <c r="T17" s="71"/>
      <c r="U17" s="72"/>
      <c r="V17" s="72"/>
      <c r="W17" s="71"/>
      <c r="X17" s="71"/>
      <c r="Y17" s="73"/>
    </row>
    <row r="18" spans="1:25" ht="13">
      <c r="A18" s="99" t="s">
        <v>95</v>
      </c>
      <c r="B18" s="56"/>
      <c r="C18" s="103"/>
      <c r="D18" s="103"/>
      <c r="E18" s="109"/>
      <c r="F18" s="56"/>
      <c r="G18" s="58"/>
      <c r="H18" s="58"/>
      <c r="I18" s="62"/>
      <c r="J18" s="56"/>
      <c r="K18" s="58"/>
      <c r="L18" s="58"/>
      <c r="M18" s="62"/>
      <c r="N18" s="56"/>
      <c r="O18" s="58"/>
      <c r="P18" s="58"/>
      <c r="Q18" s="62"/>
      <c r="R18" s="56"/>
      <c r="S18" s="58"/>
      <c r="T18" s="58"/>
      <c r="U18" s="62"/>
      <c r="V18" s="56"/>
      <c r="W18" s="58"/>
      <c r="X18" s="58"/>
      <c r="Y18" s="62"/>
    </row>
    <row r="19" spans="1:25" ht="13">
      <c r="A19" s="95"/>
      <c r="B19" s="55"/>
      <c r="C19" s="115"/>
      <c r="D19" s="115"/>
      <c r="E19" s="116">
        <v>59.3</v>
      </c>
      <c r="F19" s="55"/>
      <c r="G19" s="58"/>
      <c r="H19" s="58"/>
      <c r="I19" s="116">
        <v>59.3</v>
      </c>
      <c r="J19" s="62"/>
      <c r="K19" s="58"/>
      <c r="L19" s="58"/>
      <c r="M19" s="62"/>
      <c r="N19" s="62"/>
      <c r="O19" s="58"/>
      <c r="P19" s="58"/>
      <c r="Q19" s="62"/>
      <c r="R19" s="62"/>
      <c r="S19" s="58"/>
      <c r="T19" s="58"/>
      <c r="U19" s="62"/>
      <c r="V19" s="62"/>
      <c r="W19" s="58"/>
      <c r="X19" s="58"/>
      <c r="Y19" s="62"/>
    </row>
    <row r="20" spans="1:25" s="43" customFormat="1" ht="13">
      <c r="A20" s="100" t="s">
        <v>91</v>
      </c>
      <c r="B20" s="106">
        <f>SUM(B18:B19)</f>
        <v>0</v>
      </c>
      <c r="C20" s="106"/>
      <c r="D20" s="106"/>
      <c r="E20" s="106">
        <v>59.3</v>
      </c>
      <c r="F20" s="74">
        <f>SUM(F18:F19)</f>
        <v>0</v>
      </c>
      <c r="G20" s="75"/>
      <c r="H20" s="75"/>
      <c r="I20" s="106">
        <v>59.3</v>
      </c>
      <c r="J20" s="60">
        <f>SUM(J18:J19)</f>
        <v>0</v>
      </c>
      <c r="K20" s="75"/>
      <c r="L20" s="75"/>
      <c r="M20" s="60"/>
      <c r="N20" s="60">
        <f>SUM(N18:N19)</f>
        <v>0</v>
      </c>
      <c r="O20" s="75"/>
      <c r="P20" s="75"/>
      <c r="Q20" s="60"/>
      <c r="R20" s="60">
        <f>SUM(R18:R19)</f>
        <v>0</v>
      </c>
      <c r="S20" s="75"/>
      <c r="T20" s="75"/>
      <c r="U20" s="60"/>
      <c r="V20" s="60">
        <f>SUM(V18:V19)</f>
        <v>0</v>
      </c>
      <c r="W20" s="75"/>
      <c r="X20" s="75"/>
      <c r="Y20" s="60"/>
    </row>
    <row r="21" spans="1:25" ht="4.5" customHeight="1">
      <c r="A21" s="96"/>
      <c r="B21" s="107"/>
      <c r="C21" s="107"/>
      <c r="D21" s="107"/>
      <c r="E21" s="108"/>
      <c r="F21" s="63"/>
      <c r="G21" s="62"/>
      <c r="H21" s="62"/>
      <c r="I21" s="108"/>
      <c r="J21" s="64"/>
      <c r="K21" s="62"/>
      <c r="L21" s="62"/>
      <c r="M21" s="60"/>
      <c r="N21" s="64"/>
      <c r="O21" s="62"/>
      <c r="P21" s="62"/>
      <c r="Q21" s="60"/>
      <c r="R21" s="64"/>
      <c r="S21" s="62"/>
      <c r="T21" s="62"/>
      <c r="U21" s="60"/>
      <c r="V21" s="64"/>
      <c r="W21" s="62"/>
      <c r="X21" s="62"/>
      <c r="Y21" s="60"/>
    </row>
    <row r="22" spans="1:25" s="43" customFormat="1" ht="13">
      <c r="A22" s="96" t="s">
        <v>96</v>
      </c>
      <c r="B22" s="76">
        <f>B20</f>
        <v>0</v>
      </c>
      <c r="C22" s="76"/>
      <c r="D22" s="76"/>
      <c r="E22" s="77">
        <v>59.3</v>
      </c>
      <c r="F22" s="74">
        <f>F20</f>
        <v>0</v>
      </c>
      <c r="G22" s="76"/>
      <c r="H22" s="76"/>
      <c r="I22" s="77">
        <v>59.3</v>
      </c>
      <c r="J22" s="64">
        <f>J20</f>
        <v>0</v>
      </c>
      <c r="K22" s="76"/>
      <c r="L22" s="76"/>
      <c r="M22" s="77"/>
      <c r="N22" s="64">
        <f>N20</f>
        <v>0</v>
      </c>
      <c r="O22" s="76"/>
      <c r="P22" s="76"/>
      <c r="Q22" s="77"/>
      <c r="R22" s="64">
        <f>R20</f>
        <v>0</v>
      </c>
      <c r="S22" s="76"/>
      <c r="T22" s="76"/>
      <c r="U22" s="77"/>
      <c r="V22" s="64">
        <f>V20</f>
        <v>0</v>
      </c>
      <c r="W22" s="76"/>
      <c r="X22" s="76"/>
      <c r="Y22" s="77"/>
    </row>
    <row r="23" spans="1:25" ht="13">
      <c r="A23" s="43"/>
      <c r="B23" s="82"/>
      <c r="C23" s="83"/>
      <c r="D23" s="83"/>
      <c r="E23" s="84"/>
      <c r="F23" s="82"/>
      <c r="G23" s="83"/>
      <c r="H23" s="84"/>
      <c r="I23" s="82"/>
      <c r="J23" s="82"/>
      <c r="K23" s="83"/>
      <c r="L23" s="84"/>
      <c r="M23" s="82"/>
      <c r="N23" s="82"/>
      <c r="O23" s="83"/>
      <c r="P23" s="84"/>
      <c r="Q23" s="82"/>
      <c r="R23" s="82"/>
      <c r="S23" s="83"/>
      <c r="T23" s="84"/>
      <c r="U23" s="82"/>
      <c r="V23" s="82"/>
      <c r="W23" s="83"/>
      <c r="X23" s="84"/>
      <c r="Y23" s="82"/>
    </row>
    <row r="24" spans="1:25">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ht="13">
      <c r="A25" s="101"/>
      <c r="B25" s="690" t="s">
        <v>59</v>
      </c>
      <c r="C25" s="690"/>
      <c r="D25" s="690"/>
      <c r="E25" s="690"/>
      <c r="F25" s="690" t="s">
        <v>66</v>
      </c>
      <c r="G25" s="690"/>
      <c r="H25" s="690"/>
      <c r="I25" s="690" t="s">
        <v>59</v>
      </c>
      <c r="J25" s="690" t="s">
        <v>67</v>
      </c>
      <c r="K25" s="690"/>
      <c r="L25" s="690"/>
      <c r="M25" s="690" t="s">
        <v>59</v>
      </c>
      <c r="N25" s="690" t="s">
        <v>61</v>
      </c>
      <c r="O25" s="690"/>
      <c r="P25" s="690"/>
      <c r="Q25" s="690" t="s">
        <v>59</v>
      </c>
      <c r="R25" s="690" t="s">
        <v>68</v>
      </c>
      <c r="S25" s="690"/>
      <c r="T25" s="690"/>
      <c r="U25" s="690" t="s">
        <v>59</v>
      </c>
      <c r="V25" s="690" t="s">
        <v>62</v>
      </c>
      <c r="W25" s="690"/>
      <c r="X25" s="690"/>
      <c r="Y25" s="690" t="s">
        <v>59</v>
      </c>
    </row>
    <row r="26" spans="1:25" ht="39">
      <c r="A26" s="456" t="s">
        <v>84</v>
      </c>
      <c r="B26" s="54" t="s">
        <v>85</v>
      </c>
      <c r="C26" s="54" t="s">
        <v>86</v>
      </c>
      <c r="D26" s="54" t="s">
        <v>87</v>
      </c>
      <c r="E26" s="54" t="s">
        <v>88</v>
      </c>
      <c r="F26" s="54" t="s">
        <v>85</v>
      </c>
      <c r="G26" s="54" t="s">
        <v>86</v>
      </c>
      <c r="H26" s="54" t="s">
        <v>87</v>
      </c>
      <c r="I26" s="54" t="s">
        <v>88</v>
      </c>
      <c r="J26" s="54" t="s">
        <v>85</v>
      </c>
      <c r="K26" s="54" t="s">
        <v>86</v>
      </c>
      <c r="L26" s="54" t="s">
        <v>87</v>
      </c>
      <c r="M26" s="54" t="s">
        <v>88</v>
      </c>
      <c r="N26" s="54" t="s">
        <v>85</v>
      </c>
      <c r="O26" s="54" t="s">
        <v>86</v>
      </c>
      <c r="P26" s="54" t="s">
        <v>87</v>
      </c>
      <c r="Q26" s="54" t="s">
        <v>88</v>
      </c>
      <c r="R26" s="54" t="s">
        <v>85</v>
      </c>
      <c r="S26" s="54" t="s">
        <v>86</v>
      </c>
      <c r="T26" s="54" t="s">
        <v>87</v>
      </c>
      <c r="U26" s="54" t="s">
        <v>88</v>
      </c>
      <c r="V26" s="54" t="s">
        <v>85</v>
      </c>
      <c r="W26" s="54" t="s">
        <v>86</v>
      </c>
      <c r="X26" s="54" t="s">
        <v>87</v>
      </c>
      <c r="Y26" s="54" t="s">
        <v>88</v>
      </c>
    </row>
    <row r="27" spans="1:25" ht="13">
      <c r="A27" s="95" t="s">
        <v>97</v>
      </c>
      <c r="B27" s="78"/>
      <c r="C27" s="78"/>
      <c r="D27" s="58"/>
      <c r="E27" s="117"/>
      <c r="F27" s="62"/>
      <c r="G27" s="58"/>
      <c r="H27" s="61"/>
      <c r="I27" s="60"/>
      <c r="J27" s="62"/>
      <c r="K27" s="58"/>
      <c r="L27" s="61"/>
      <c r="M27" s="60"/>
      <c r="N27" s="62"/>
      <c r="O27" s="58"/>
      <c r="P27" s="61"/>
      <c r="Q27" s="60"/>
      <c r="R27" s="62"/>
      <c r="S27" s="58"/>
      <c r="T27" s="61"/>
      <c r="U27" s="60"/>
      <c r="V27" s="62"/>
      <c r="W27" s="58"/>
      <c r="X27" s="61"/>
      <c r="Y27" s="60"/>
    </row>
    <row r="28" spans="1:25" ht="13">
      <c r="A28" s="95" t="s">
        <v>90</v>
      </c>
      <c r="B28" s="78"/>
      <c r="C28" s="118"/>
      <c r="D28" s="58"/>
      <c r="E28" s="117">
        <f>SUM(B28:D28)</f>
        <v>0</v>
      </c>
      <c r="F28" s="62"/>
      <c r="G28" s="58"/>
      <c r="H28" s="61"/>
      <c r="I28" s="60">
        <f>SUM(G28:H28)</f>
        <v>0</v>
      </c>
      <c r="J28" s="62"/>
      <c r="K28" s="58"/>
      <c r="L28" s="61"/>
      <c r="M28" s="60">
        <f>SUM(K28:L28)</f>
        <v>0</v>
      </c>
      <c r="N28" s="62"/>
      <c r="O28" s="58"/>
      <c r="P28" s="61"/>
      <c r="Q28" s="60">
        <f t="shared" ref="Q28:Q33" si="1">SUM(O28:P28)</f>
        <v>0</v>
      </c>
      <c r="R28" s="62"/>
      <c r="S28" s="58"/>
      <c r="T28" s="61"/>
      <c r="U28" s="60">
        <f>SUM(S28:T28)</f>
        <v>0</v>
      </c>
      <c r="V28" s="62"/>
      <c r="W28" s="58"/>
      <c r="X28" s="61"/>
      <c r="Y28" s="60">
        <f>SUM(W28:X28)</f>
        <v>0</v>
      </c>
    </row>
    <row r="29" spans="1:25" ht="13">
      <c r="A29" s="95" t="s">
        <v>98</v>
      </c>
      <c r="B29" s="78"/>
      <c r="C29" s="58"/>
      <c r="D29" s="58"/>
      <c r="E29" s="117"/>
      <c r="F29" s="62"/>
      <c r="G29" s="58"/>
      <c r="H29" s="61"/>
      <c r="I29" s="60">
        <f>SUM(G29:H29)</f>
        <v>0</v>
      </c>
      <c r="J29" s="62"/>
      <c r="K29" s="58"/>
      <c r="L29" s="61"/>
      <c r="M29" s="60">
        <f t="shared" ref="M29:M40" si="2">SUM(K29:L29)</f>
        <v>0</v>
      </c>
      <c r="N29" s="62"/>
      <c r="O29" s="58"/>
      <c r="P29" s="61"/>
      <c r="Q29" s="60">
        <f t="shared" si="1"/>
        <v>0</v>
      </c>
      <c r="R29" s="62"/>
      <c r="S29" s="58"/>
      <c r="T29" s="61"/>
      <c r="U29" s="60"/>
      <c r="V29" s="62"/>
      <c r="W29" s="58"/>
      <c r="X29" s="61"/>
      <c r="Y29" s="60"/>
    </row>
    <row r="30" spans="1:25" ht="13">
      <c r="A30" s="95" t="s">
        <v>99</v>
      </c>
      <c r="B30" s="78"/>
      <c r="C30" s="58"/>
      <c r="D30" s="58"/>
      <c r="E30" s="117"/>
      <c r="F30" s="62"/>
      <c r="G30" s="79"/>
      <c r="H30" s="79"/>
      <c r="I30" s="60">
        <f>SUM(G30:H30)</f>
        <v>0</v>
      </c>
      <c r="J30" s="62"/>
      <c r="K30" s="79"/>
      <c r="L30" s="79"/>
      <c r="M30" s="60">
        <f t="shared" si="2"/>
        <v>0</v>
      </c>
      <c r="N30" s="62"/>
      <c r="O30" s="79"/>
      <c r="P30" s="79"/>
      <c r="Q30" s="60">
        <f t="shared" si="1"/>
        <v>0</v>
      </c>
      <c r="R30" s="62"/>
      <c r="S30" s="79"/>
      <c r="T30" s="79"/>
      <c r="U30" s="60"/>
      <c r="V30" s="62"/>
      <c r="W30" s="79"/>
      <c r="X30" s="79"/>
      <c r="Y30" s="60"/>
    </row>
    <row r="31" spans="1:25" ht="13">
      <c r="A31" s="95" t="s">
        <v>100</v>
      </c>
      <c r="B31" s="78"/>
      <c r="C31" s="58"/>
      <c r="D31" s="58"/>
      <c r="E31" s="117"/>
      <c r="F31" s="62"/>
      <c r="G31" s="79"/>
      <c r="H31" s="79"/>
      <c r="I31" s="60">
        <f>SUM(G31:H31)</f>
        <v>0</v>
      </c>
      <c r="J31" s="62"/>
      <c r="K31" s="79"/>
      <c r="L31" s="79"/>
      <c r="M31" s="60">
        <f t="shared" si="2"/>
        <v>0</v>
      </c>
      <c r="N31" s="62"/>
      <c r="O31" s="79"/>
      <c r="P31" s="79"/>
      <c r="Q31" s="60">
        <f t="shared" si="1"/>
        <v>0</v>
      </c>
      <c r="R31" s="62"/>
      <c r="S31" s="79"/>
      <c r="T31" s="79"/>
      <c r="U31" s="60"/>
      <c r="V31" s="62"/>
      <c r="W31" s="79"/>
      <c r="X31" s="79"/>
      <c r="Y31" s="60"/>
    </row>
    <row r="32" spans="1:25" ht="13">
      <c r="A32" s="95" t="s">
        <v>101</v>
      </c>
      <c r="B32" s="62"/>
      <c r="C32" s="58"/>
      <c r="D32" s="58"/>
      <c r="E32" s="117">
        <f>SUM(B32:D32)</f>
        <v>0</v>
      </c>
      <c r="F32" s="62"/>
      <c r="G32" s="58"/>
      <c r="H32" s="58"/>
      <c r="I32" s="60">
        <f>SUM(G32:H32)</f>
        <v>0</v>
      </c>
      <c r="J32" s="62"/>
      <c r="K32" s="58"/>
      <c r="L32" s="58"/>
      <c r="M32" s="60">
        <f t="shared" si="2"/>
        <v>0</v>
      </c>
      <c r="N32" s="62"/>
      <c r="O32" s="58"/>
      <c r="P32" s="58"/>
      <c r="Q32" s="60">
        <f t="shared" si="1"/>
        <v>0</v>
      </c>
      <c r="R32" s="62"/>
      <c r="S32" s="58"/>
      <c r="T32" s="58"/>
      <c r="U32" s="60">
        <f>SUM(S32:T32)</f>
        <v>0</v>
      </c>
      <c r="V32" s="62"/>
      <c r="W32" s="58"/>
      <c r="X32" s="58"/>
      <c r="Y32" s="60">
        <f>SUM(W32:X32)</f>
        <v>0</v>
      </c>
    </row>
    <row r="33" spans="1:25" s="43" customFormat="1" ht="13">
      <c r="A33" s="96" t="s">
        <v>91</v>
      </c>
      <c r="B33" s="119"/>
      <c r="C33" s="64">
        <f>SUM(C27:C32)</f>
        <v>0</v>
      </c>
      <c r="D33" s="64">
        <f>SUM(D27:D32)</f>
        <v>0</v>
      </c>
      <c r="E33" s="64">
        <f>SUM(E27:E32)</f>
        <v>0</v>
      </c>
      <c r="F33" s="64"/>
      <c r="G33" s="60">
        <f>SUM(G27:G32)</f>
        <v>0</v>
      </c>
      <c r="H33" s="60">
        <f>SUM(H27:H32)</f>
        <v>0</v>
      </c>
      <c r="I33" s="60">
        <f>SUM(I27:I32)</f>
        <v>0</v>
      </c>
      <c r="J33" s="64"/>
      <c r="K33" s="60">
        <f>SUM(K28:K32)</f>
        <v>0</v>
      </c>
      <c r="L33" s="60">
        <f>SUM(L28:L32)</f>
        <v>0</v>
      </c>
      <c r="M33" s="60">
        <f t="shared" si="2"/>
        <v>0</v>
      </c>
      <c r="N33" s="64"/>
      <c r="O33" s="60">
        <f>SUM(O28:O32)</f>
        <v>0</v>
      </c>
      <c r="P33" s="60">
        <f>SUM(P28:P32)</f>
        <v>0</v>
      </c>
      <c r="Q33" s="60">
        <f t="shared" si="1"/>
        <v>0</v>
      </c>
      <c r="R33" s="64"/>
      <c r="S33" s="60">
        <f>SUM(S28:S32)</f>
        <v>0</v>
      </c>
      <c r="T33" s="60">
        <f>SUM(T28:T32)</f>
        <v>0</v>
      </c>
      <c r="U33" s="60">
        <f>SUM(S33:T33)</f>
        <v>0</v>
      </c>
      <c r="V33" s="64"/>
      <c r="W33" s="60">
        <f>SUM(W28:W32)</f>
        <v>0</v>
      </c>
      <c r="X33" s="60">
        <f>SUM(X28:X32)</f>
        <v>0</v>
      </c>
      <c r="Y33" s="60">
        <f>SUM(W33:X33)</f>
        <v>0</v>
      </c>
    </row>
    <row r="34" spans="1:25" ht="4.5" customHeight="1">
      <c r="A34" s="96"/>
      <c r="B34" s="64"/>
      <c r="C34" s="62"/>
      <c r="D34" s="62"/>
      <c r="E34" s="60"/>
      <c r="F34" s="64"/>
      <c r="G34" s="62"/>
      <c r="H34" s="62"/>
      <c r="I34" s="60"/>
      <c r="J34" s="64"/>
      <c r="K34" s="62"/>
      <c r="L34" s="62"/>
      <c r="M34" s="60"/>
      <c r="N34" s="64"/>
      <c r="O34" s="62"/>
      <c r="P34" s="62"/>
      <c r="Q34" s="60"/>
      <c r="R34" s="64"/>
      <c r="S34" s="62"/>
      <c r="T34" s="62"/>
      <c r="U34" s="60"/>
      <c r="V34" s="64"/>
      <c r="W34" s="62"/>
      <c r="X34" s="62"/>
      <c r="Y34" s="60"/>
    </row>
    <row r="35" spans="1:25" ht="13">
      <c r="A35" s="97" t="s">
        <v>51</v>
      </c>
      <c r="B35" s="68"/>
      <c r="C35" s="66"/>
      <c r="D35" s="66"/>
      <c r="E35" s="67"/>
      <c r="F35" s="68"/>
      <c r="G35" s="66"/>
      <c r="H35" s="67"/>
      <c r="I35" s="60">
        <f>SUM(G35:H35)</f>
        <v>0</v>
      </c>
      <c r="J35" s="68"/>
      <c r="K35" s="66"/>
      <c r="L35" s="67"/>
      <c r="M35" s="60">
        <f t="shared" si="2"/>
        <v>0</v>
      </c>
      <c r="N35" s="68"/>
      <c r="O35" s="60"/>
      <c r="P35" s="67"/>
      <c r="Q35" s="60">
        <f t="shared" ref="Q35:Q40" si="3">SUM(O35:P35)</f>
        <v>0</v>
      </c>
      <c r="R35" s="68"/>
      <c r="S35" s="66"/>
      <c r="T35" s="67"/>
      <c r="U35" s="60">
        <f t="shared" ref="U35:U40" si="4">SUM(S35:T35)</f>
        <v>0</v>
      </c>
      <c r="V35" s="68"/>
      <c r="W35" s="66"/>
      <c r="X35" s="67"/>
      <c r="Y35" s="60">
        <f t="shared" ref="Y35:Y40" si="5">SUM(W35:X35)</f>
        <v>0</v>
      </c>
    </row>
    <row r="36" spans="1:25" ht="13">
      <c r="A36" s="95" t="s">
        <v>92</v>
      </c>
      <c r="B36" s="78"/>
      <c r="C36" s="78"/>
      <c r="D36" s="58"/>
      <c r="E36" s="117"/>
      <c r="F36" s="62"/>
      <c r="G36" s="58"/>
      <c r="H36" s="58"/>
      <c r="I36" s="60">
        <f>SUM(G36:H36)</f>
        <v>0</v>
      </c>
      <c r="J36" s="62"/>
      <c r="K36" s="58"/>
      <c r="L36" s="58"/>
      <c r="M36" s="60">
        <f t="shared" si="2"/>
        <v>0</v>
      </c>
      <c r="N36" s="62"/>
      <c r="O36" s="60"/>
      <c r="P36" s="58"/>
      <c r="Q36" s="60">
        <f t="shared" si="3"/>
        <v>0</v>
      </c>
      <c r="R36" s="62"/>
      <c r="S36" s="58"/>
      <c r="T36" s="58"/>
      <c r="U36" s="60">
        <f t="shared" si="4"/>
        <v>0</v>
      </c>
      <c r="V36" s="62"/>
      <c r="W36" s="58"/>
      <c r="X36" s="58"/>
      <c r="Y36" s="60">
        <f t="shared" si="5"/>
        <v>0</v>
      </c>
    </row>
    <row r="37" spans="1:25" ht="13">
      <c r="A37" s="95" t="s">
        <v>102</v>
      </c>
      <c r="B37" s="78"/>
      <c r="C37" s="78"/>
      <c r="D37" s="58"/>
      <c r="E37" s="117"/>
      <c r="F37" s="62"/>
      <c r="G37" s="58"/>
      <c r="H37" s="58"/>
      <c r="I37" s="60">
        <f>SUM(G37:H37)</f>
        <v>0</v>
      </c>
      <c r="J37" s="62"/>
      <c r="K37" s="58"/>
      <c r="L37" s="58"/>
      <c r="M37" s="60">
        <f t="shared" si="2"/>
        <v>0</v>
      </c>
      <c r="N37" s="62"/>
      <c r="O37" s="60"/>
      <c r="P37" s="58"/>
      <c r="Q37" s="60">
        <f t="shared" si="3"/>
        <v>0</v>
      </c>
      <c r="R37" s="62"/>
      <c r="S37" s="58"/>
      <c r="T37" s="58"/>
      <c r="U37" s="60">
        <f t="shared" si="4"/>
        <v>0</v>
      </c>
      <c r="V37" s="62"/>
      <c r="W37" s="58"/>
      <c r="X37" s="58"/>
      <c r="Y37" s="60">
        <f t="shared" si="5"/>
        <v>0</v>
      </c>
    </row>
    <row r="38" spans="1:25" ht="13">
      <c r="A38" s="95" t="s">
        <v>93</v>
      </c>
      <c r="B38" s="78"/>
      <c r="C38" s="78"/>
      <c r="D38" s="58"/>
      <c r="E38" s="117"/>
      <c r="F38" s="62"/>
      <c r="G38" s="58"/>
      <c r="H38" s="58"/>
      <c r="I38" s="60">
        <f>SUM(G38:H38)</f>
        <v>0</v>
      </c>
      <c r="J38" s="62"/>
      <c r="K38" s="58"/>
      <c r="L38" s="58"/>
      <c r="M38" s="60">
        <f t="shared" si="2"/>
        <v>0</v>
      </c>
      <c r="N38" s="62"/>
      <c r="O38" s="60"/>
      <c r="P38" s="58"/>
      <c r="Q38" s="60">
        <f t="shared" si="3"/>
        <v>0</v>
      </c>
      <c r="R38" s="62"/>
      <c r="S38" s="58"/>
      <c r="T38" s="58"/>
      <c r="U38" s="60">
        <f t="shared" si="4"/>
        <v>0</v>
      </c>
      <c r="V38" s="62"/>
      <c r="W38" s="58"/>
      <c r="X38" s="58"/>
      <c r="Y38" s="60">
        <f t="shared" si="5"/>
        <v>0</v>
      </c>
    </row>
    <row r="39" spans="1:25" ht="13">
      <c r="A39" s="95"/>
      <c r="B39" s="62"/>
      <c r="C39" s="58"/>
      <c r="D39" s="58"/>
      <c r="E39" s="75"/>
      <c r="F39" s="62"/>
      <c r="G39" s="58"/>
      <c r="H39" s="58"/>
      <c r="I39" s="60">
        <f>SUM(G39:H39)</f>
        <v>0</v>
      </c>
      <c r="J39" s="62"/>
      <c r="K39" s="58"/>
      <c r="L39" s="58"/>
      <c r="M39" s="60">
        <f t="shared" si="2"/>
        <v>0</v>
      </c>
      <c r="N39" s="62"/>
      <c r="O39" s="60"/>
      <c r="P39" s="58"/>
      <c r="Q39" s="60">
        <f t="shared" si="3"/>
        <v>0</v>
      </c>
      <c r="R39" s="62"/>
      <c r="S39" s="58"/>
      <c r="T39" s="58"/>
      <c r="U39" s="60">
        <f t="shared" si="4"/>
        <v>0</v>
      </c>
      <c r="V39" s="62"/>
      <c r="W39" s="58"/>
      <c r="X39" s="58"/>
      <c r="Y39" s="60">
        <f t="shared" si="5"/>
        <v>0</v>
      </c>
    </row>
    <row r="40" spans="1:25" s="43" customFormat="1" ht="13">
      <c r="A40" s="96" t="s">
        <v>91</v>
      </c>
      <c r="B40" s="119"/>
      <c r="C40" s="64">
        <f>SUM(C35:C39)</f>
        <v>0</v>
      </c>
      <c r="D40" s="64">
        <f>SUM(D36:D39)</f>
        <v>0</v>
      </c>
      <c r="E40" s="64">
        <f>SUM(E36:E39)</f>
        <v>0</v>
      </c>
      <c r="F40" s="64"/>
      <c r="G40" s="60">
        <f>SUM(G35:G39)</f>
        <v>0</v>
      </c>
      <c r="H40" s="60">
        <f>SUM(H35:H39)</f>
        <v>0</v>
      </c>
      <c r="I40" s="60">
        <f>SUM(I35:I39)</f>
        <v>0</v>
      </c>
      <c r="J40" s="64"/>
      <c r="K40" s="60">
        <f>(K35+K39)</f>
        <v>0</v>
      </c>
      <c r="L40" s="60">
        <f>(L35+L39)</f>
        <v>0</v>
      </c>
      <c r="M40" s="60">
        <f t="shared" si="2"/>
        <v>0</v>
      </c>
      <c r="N40" s="64"/>
      <c r="O40" s="60"/>
      <c r="P40" s="60"/>
      <c r="Q40" s="60">
        <f t="shared" si="3"/>
        <v>0</v>
      </c>
      <c r="R40" s="64"/>
      <c r="S40" s="60"/>
      <c r="T40" s="60"/>
      <c r="U40" s="60">
        <f t="shared" si="4"/>
        <v>0</v>
      </c>
      <c r="V40" s="64"/>
      <c r="W40" s="60"/>
      <c r="X40" s="60"/>
      <c r="Y40" s="60">
        <f t="shared" si="5"/>
        <v>0</v>
      </c>
    </row>
    <row r="41" spans="1:25" ht="4.5" customHeight="1">
      <c r="A41" s="96"/>
      <c r="B41" s="64"/>
      <c r="C41" s="62"/>
      <c r="D41" s="62"/>
      <c r="E41" s="60"/>
      <c r="F41" s="64"/>
      <c r="G41" s="62"/>
      <c r="H41" s="62"/>
      <c r="I41" s="60"/>
      <c r="J41" s="64"/>
      <c r="K41" s="62"/>
      <c r="L41" s="62"/>
      <c r="M41" s="60"/>
      <c r="N41" s="64"/>
      <c r="O41" s="62"/>
      <c r="P41" s="62"/>
      <c r="Q41" s="60"/>
      <c r="R41" s="64"/>
      <c r="S41" s="62"/>
      <c r="T41" s="62"/>
      <c r="U41" s="60"/>
      <c r="V41" s="64"/>
      <c r="W41" s="62"/>
      <c r="X41" s="62"/>
      <c r="Y41" s="60"/>
    </row>
    <row r="42" spans="1:25" ht="17.25" customHeight="1">
      <c r="A42" s="96" t="s">
        <v>88</v>
      </c>
      <c r="B42" s="64"/>
      <c r="C42" s="64">
        <f>C33+C40</f>
        <v>0</v>
      </c>
      <c r="D42" s="64">
        <f>D33+D40</f>
        <v>0</v>
      </c>
      <c r="E42" s="64">
        <f>E33+E40</f>
        <v>0</v>
      </c>
      <c r="F42" s="64"/>
      <c r="G42" s="60">
        <f>G33+G40</f>
        <v>0</v>
      </c>
      <c r="H42" s="60">
        <f>H33+H40</f>
        <v>0</v>
      </c>
      <c r="I42" s="60">
        <f>I33+I40</f>
        <v>0</v>
      </c>
      <c r="J42" s="64"/>
      <c r="K42" s="60">
        <f>(K33+K40)</f>
        <v>0</v>
      </c>
      <c r="L42" s="60">
        <f>(L33+L40)</f>
        <v>0</v>
      </c>
      <c r="M42" s="60">
        <f>(M33+M40)</f>
        <v>0</v>
      </c>
      <c r="N42" s="60">
        <f>N33+N40</f>
        <v>0</v>
      </c>
      <c r="O42" s="60">
        <f>O33+O40</f>
        <v>0</v>
      </c>
      <c r="P42" s="60">
        <f>(P33+P40)</f>
        <v>0</v>
      </c>
      <c r="Q42" s="60">
        <f>(Q33+Q40)</f>
        <v>0</v>
      </c>
      <c r="R42" s="60">
        <f t="shared" ref="R42:Y42" si="6">SUM(R33:R40)</f>
        <v>0</v>
      </c>
      <c r="S42" s="60">
        <f t="shared" si="6"/>
        <v>0</v>
      </c>
      <c r="T42" s="60">
        <f t="shared" si="6"/>
        <v>0</v>
      </c>
      <c r="U42" s="60">
        <f t="shared" si="6"/>
        <v>0</v>
      </c>
      <c r="V42" s="60">
        <f t="shared" si="6"/>
        <v>0</v>
      </c>
      <c r="W42" s="60">
        <f t="shared" si="6"/>
        <v>0</v>
      </c>
      <c r="X42" s="60">
        <f t="shared" si="6"/>
        <v>0</v>
      </c>
      <c r="Y42" s="60">
        <f t="shared" si="6"/>
        <v>0</v>
      </c>
    </row>
    <row r="43" spans="1:25" ht="17.25" customHeight="1">
      <c r="A43" s="98"/>
      <c r="B43" s="70"/>
      <c r="C43" s="69"/>
      <c r="D43" s="69"/>
      <c r="E43" s="70"/>
      <c r="F43" s="70"/>
      <c r="G43" s="69"/>
      <c r="H43" s="69"/>
      <c r="I43" s="70"/>
      <c r="J43" s="70"/>
      <c r="K43" s="69"/>
      <c r="L43" s="69"/>
      <c r="M43" s="70"/>
      <c r="N43" s="70"/>
      <c r="O43" s="69"/>
      <c r="P43" s="69"/>
      <c r="Q43" s="70"/>
      <c r="R43" s="70"/>
      <c r="S43" s="69"/>
      <c r="T43" s="69"/>
      <c r="U43" s="70"/>
      <c r="V43" s="70"/>
      <c r="W43" s="69"/>
      <c r="X43" s="69"/>
      <c r="Y43" s="70"/>
    </row>
    <row r="44" spans="1:25" ht="13">
      <c r="A44" s="456" t="s">
        <v>94</v>
      </c>
      <c r="B44" s="120"/>
      <c r="C44" s="71"/>
      <c r="D44" s="71"/>
      <c r="E44" s="121"/>
      <c r="F44" s="72"/>
      <c r="G44" s="71"/>
      <c r="H44" s="71"/>
      <c r="I44" s="72"/>
      <c r="J44" s="72"/>
      <c r="K44" s="71"/>
      <c r="L44" s="71"/>
      <c r="M44" s="72"/>
      <c r="N44" s="72"/>
      <c r="O44" s="71"/>
      <c r="P44" s="71"/>
      <c r="Q44" s="72"/>
      <c r="R44" s="72"/>
      <c r="S44" s="71"/>
      <c r="T44" s="71"/>
      <c r="U44" s="72"/>
      <c r="V44" s="72"/>
      <c r="W44" s="71"/>
      <c r="X44" s="71"/>
      <c r="Y44" s="73"/>
    </row>
    <row r="45" spans="1:25" ht="13">
      <c r="A45" s="99" t="s">
        <v>95</v>
      </c>
      <c r="B45" s="62"/>
      <c r="C45" s="78"/>
      <c r="D45" s="78"/>
      <c r="E45" s="75"/>
      <c r="F45" s="56"/>
      <c r="G45" s="78"/>
      <c r="H45" s="78"/>
      <c r="I45" s="75"/>
      <c r="J45" s="56"/>
      <c r="K45" s="78"/>
      <c r="L45" s="78"/>
      <c r="M45" s="75"/>
      <c r="N45" s="56"/>
      <c r="O45" s="78"/>
      <c r="P45" s="78"/>
      <c r="Q45" s="75"/>
      <c r="R45" s="56"/>
      <c r="S45" s="78"/>
      <c r="T45" s="78"/>
      <c r="U45" s="75"/>
      <c r="V45" s="56"/>
      <c r="W45" s="78"/>
      <c r="X45" s="78"/>
      <c r="Y45" s="75"/>
    </row>
    <row r="46" spans="1:25" ht="13">
      <c r="A46" s="95"/>
      <c r="B46" s="62"/>
      <c r="C46" s="58"/>
      <c r="D46" s="58"/>
      <c r="E46" s="75"/>
      <c r="F46" s="62"/>
      <c r="G46" s="58"/>
      <c r="H46" s="58"/>
      <c r="I46" s="75"/>
      <c r="J46" s="62"/>
      <c r="K46" s="58"/>
      <c r="L46" s="58"/>
      <c r="M46" s="75"/>
      <c r="N46" s="62"/>
      <c r="O46" s="58"/>
      <c r="P46" s="58"/>
      <c r="Q46" s="75"/>
      <c r="R46" s="62"/>
      <c r="S46" s="58"/>
      <c r="T46" s="58"/>
      <c r="U46" s="75"/>
      <c r="V46" s="62"/>
      <c r="W46" s="58"/>
      <c r="X46" s="58"/>
      <c r="Y46" s="75"/>
    </row>
    <row r="47" spans="1:25" s="43" customFormat="1" ht="13">
      <c r="A47" s="100" t="s">
        <v>91</v>
      </c>
      <c r="B47" s="64">
        <f>SUM(B45:B46)</f>
        <v>0</v>
      </c>
      <c r="C47" s="64"/>
      <c r="D47" s="64"/>
      <c r="E47" s="64"/>
      <c r="F47" s="64">
        <f>SUM(F45:F46)</f>
        <v>0</v>
      </c>
      <c r="G47" s="64"/>
      <c r="H47" s="64"/>
      <c r="I47" s="64">
        <f>SUM(I45:I46)</f>
        <v>0</v>
      </c>
      <c r="J47" s="64"/>
      <c r="K47" s="64"/>
      <c r="L47" s="64"/>
      <c r="M47" s="64">
        <f>SUM(M45:M46)</f>
        <v>0</v>
      </c>
      <c r="N47" s="64"/>
      <c r="O47" s="64"/>
      <c r="P47" s="64"/>
      <c r="Q47" s="64">
        <f>SUM(Q45:Q46)</f>
        <v>0</v>
      </c>
      <c r="R47" s="64"/>
      <c r="S47" s="64"/>
      <c r="T47" s="64"/>
      <c r="U47" s="64">
        <f>SUM(U45:U46)</f>
        <v>0</v>
      </c>
      <c r="V47" s="64"/>
      <c r="W47" s="64"/>
      <c r="X47" s="64"/>
      <c r="Y47" s="64"/>
    </row>
    <row r="48" spans="1:25" ht="4.5" customHeight="1">
      <c r="A48" s="96"/>
      <c r="B48" s="62"/>
      <c r="C48" s="62"/>
      <c r="D48" s="62"/>
      <c r="E48" s="60"/>
      <c r="F48" s="62"/>
      <c r="G48" s="62"/>
      <c r="H48" s="62"/>
      <c r="I48" s="60"/>
      <c r="J48" s="62"/>
      <c r="K48" s="62"/>
      <c r="L48" s="62"/>
      <c r="M48" s="60"/>
      <c r="N48" s="62"/>
      <c r="O48" s="62"/>
      <c r="P48" s="62"/>
      <c r="Q48" s="60"/>
      <c r="R48" s="62"/>
      <c r="S48" s="62"/>
      <c r="T48" s="62"/>
      <c r="U48" s="60"/>
      <c r="V48" s="62"/>
      <c r="W48" s="62"/>
      <c r="X48" s="62"/>
      <c r="Y48" s="60"/>
    </row>
    <row r="49" spans="1:25" s="46" customFormat="1" ht="13">
      <c r="A49" s="96" t="s">
        <v>96</v>
      </c>
      <c r="B49" s="80">
        <f>B47</f>
        <v>0</v>
      </c>
      <c r="C49" s="80"/>
      <c r="D49" s="80"/>
      <c r="E49" s="80"/>
      <c r="F49" s="80">
        <f>F47</f>
        <v>0</v>
      </c>
      <c r="G49" s="80"/>
      <c r="H49" s="80"/>
      <c r="I49" s="80">
        <f>I47</f>
        <v>0</v>
      </c>
      <c r="J49" s="80"/>
      <c r="K49" s="80"/>
      <c r="L49" s="80"/>
      <c r="M49" s="80">
        <f>M47</f>
        <v>0</v>
      </c>
      <c r="N49" s="80"/>
      <c r="O49" s="80"/>
      <c r="P49" s="80"/>
      <c r="Q49" s="80">
        <f>Q47</f>
        <v>0</v>
      </c>
      <c r="R49" s="80"/>
      <c r="S49" s="80"/>
      <c r="T49" s="80"/>
      <c r="U49" s="80">
        <f>U47</f>
        <v>0</v>
      </c>
      <c r="V49" s="80"/>
      <c r="W49" s="80"/>
      <c r="X49" s="80"/>
      <c r="Y49" s="80"/>
    </row>
    <row r="50" spans="1:25" s="51" customFormat="1" ht="13">
      <c r="A50" s="43"/>
      <c r="B50" s="47"/>
      <c r="C50" s="47"/>
      <c r="D50" s="47"/>
      <c r="E50" s="48"/>
      <c r="F50" s="46"/>
      <c r="G50" s="49"/>
      <c r="H50" s="50"/>
      <c r="I50" s="46"/>
      <c r="J50" s="46"/>
      <c r="K50" s="49"/>
      <c r="L50" s="50"/>
      <c r="M50" s="46"/>
      <c r="N50" s="46"/>
      <c r="O50" s="49"/>
      <c r="P50" s="50"/>
      <c r="Q50" s="46"/>
      <c r="R50" s="46"/>
      <c r="S50" s="49"/>
      <c r="T50" s="50"/>
      <c r="U50" s="46"/>
      <c r="V50" s="46"/>
      <c r="W50" s="49"/>
      <c r="X50" s="50"/>
      <c r="Y50" s="46"/>
    </row>
    <row r="51" spans="1:25" ht="13">
      <c r="A51" s="43" t="s">
        <v>63</v>
      </c>
      <c r="B51" s="43"/>
      <c r="C51" s="45" t="s">
        <v>103</v>
      </c>
      <c r="D51" s="45"/>
      <c r="E51" s="45"/>
      <c r="F51" s="43"/>
      <c r="G51" s="45"/>
      <c r="H51" s="45"/>
      <c r="I51" s="43"/>
      <c r="J51" s="43"/>
      <c r="K51" s="45"/>
      <c r="L51" s="45"/>
      <c r="M51" s="43"/>
      <c r="N51" s="43"/>
      <c r="O51" s="45"/>
      <c r="P51" s="45"/>
      <c r="Q51" s="43"/>
      <c r="R51" s="43"/>
      <c r="S51" s="45"/>
      <c r="T51" s="45"/>
      <c r="V51" s="43"/>
      <c r="W51" s="45"/>
      <c r="X51" s="45"/>
      <c r="Y51" s="43"/>
    </row>
    <row r="52" spans="1:25">
      <c r="W52" s="45"/>
      <c r="X52" s="45"/>
    </row>
    <row r="53" spans="1:25" ht="13">
      <c r="A53" s="43" t="s">
        <v>104</v>
      </c>
      <c r="B53" s="43" t="s">
        <v>105</v>
      </c>
      <c r="D53" s="45"/>
      <c r="G53" s="45"/>
      <c r="I53" s="43"/>
      <c r="K53" s="45"/>
      <c r="M53" s="43"/>
      <c r="O53" s="45"/>
      <c r="P53" s="45"/>
      <c r="S53" s="45"/>
      <c r="T53" s="45"/>
      <c r="W53" s="45"/>
      <c r="X53" s="45"/>
    </row>
    <row r="54" spans="1:25" ht="13">
      <c r="A54" s="43" t="s">
        <v>106</v>
      </c>
      <c r="B54" s="43" t="s">
        <v>107</v>
      </c>
      <c r="D54" s="45"/>
      <c r="G54" s="45"/>
      <c r="I54" s="43"/>
      <c r="K54" s="45"/>
      <c r="M54" s="43"/>
      <c r="O54" s="45"/>
      <c r="P54" s="45"/>
      <c r="S54" s="45"/>
      <c r="T54" s="45"/>
    </row>
    <row r="55" spans="1:25" ht="13">
      <c r="A55" s="43" t="s">
        <v>108</v>
      </c>
      <c r="B55" s="43" t="s">
        <v>109</v>
      </c>
      <c r="D55" s="45"/>
      <c r="G55" s="45"/>
      <c r="I55" s="43"/>
      <c r="K55" s="45"/>
      <c r="M55" s="43"/>
      <c r="U55" s="52"/>
      <c r="V55" s="52"/>
      <c r="Y55" s="52"/>
    </row>
    <row r="56" spans="1:25" ht="13">
      <c r="A56" s="43" t="s">
        <v>110</v>
      </c>
      <c r="B56" s="43" t="s">
        <v>111</v>
      </c>
      <c r="D56" s="45"/>
      <c r="F56" s="52"/>
      <c r="I56" s="52"/>
      <c r="J56" s="52"/>
      <c r="M56" s="52"/>
      <c r="N56" s="52"/>
      <c r="Q56" s="52"/>
      <c r="R56" s="52"/>
      <c r="W56" s="45"/>
      <c r="X56" s="45"/>
    </row>
    <row r="57" spans="1:25" ht="13">
      <c r="A57" s="43"/>
      <c r="B57" s="43"/>
      <c r="D57" s="45"/>
      <c r="G57" s="45"/>
      <c r="I57" s="43"/>
      <c r="K57" s="45"/>
      <c r="M57" s="43"/>
      <c r="O57" s="45"/>
      <c r="P57" s="45"/>
      <c r="S57" s="45"/>
      <c r="T57" s="45"/>
      <c r="U57" s="52"/>
      <c r="V57" s="52"/>
      <c r="Y57" s="52"/>
    </row>
    <row r="58" spans="1:25">
      <c r="A58" s="52"/>
      <c r="B58" s="52"/>
      <c r="F58" s="52"/>
      <c r="I58" s="52"/>
      <c r="J58" s="52"/>
      <c r="M58" s="52"/>
      <c r="N58" s="52"/>
      <c r="Q58" s="52"/>
      <c r="R58" s="52"/>
      <c r="U58" s="52"/>
      <c r="V58" s="52"/>
      <c r="Y58" s="52"/>
    </row>
    <row r="59" spans="1:25">
      <c r="A59" s="52"/>
      <c r="B59" s="52"/>
      <c r="F59" s="52"/>
      <c r="I59" s="52"/>
      <c r="J59" s="52"/>
      <c r="M59" s="52"/>
      <c r="N59" s="52"/>
      <c r="Q59" s="52"/>
      <c r="R59" s="52"/>
      <c r="U59" s="52"/>
      <c r="V59" s="52"/>
      <c r="Y59" s="52"/>
    </row>
    <row r="60" spans="1:25">
      <c r="A60" s="52"/>
      <c r="B60" s="52"/>
      <c r="F60" s="52"/>
      <c r="I60" s="52"/>
      <c r="J60" s="52"/>
      <c r="M60" s="52"/>
      <c r="N60" s="52"/>
      <c r="Q60" s="52"/>
      <c r="R60" s="52"/>
      <c r="U60" s="52"/>
      <c r="V60" s="52"/>
      <c r="Y60" s="52"/>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43"/>
  <sheetViews>
    <sheetView topLeftCell="A4" zoomScaleNormal="100" zoomScaleSheetLayoutView="90" workbookViewId="0">
      <selection activeCell="B55" sqref="B55"/>
    </sheetView>
  </sheetViews>
  <sheetFormatPr defaultColWidth="9.26953125" defaultRowHeight="14.25" customHeight="1"/>
  <cols>
    <col min="1" max="1" width="56.7265625" style="354" customWidth="1"/>
    <col min="2" max="2" width="30" style="242" customWidth="1"/>
    <col min="3" max="3" width="15.7265625" style="356" customWidth="1"/>
    <col min="4" max="4" width="27" style="354" bestFit="1" customWidth="1"/>
    <col min="5" max="5" width="15.7265625" style="354" customWidth="1"/>
    <col min="6" max="6" width="22" style="354" customWidth="1"/>
    <col min="7" max="7" width="37" style="354" customWidth="1"/>
    <col min="8" max="16384" width="9.26953125" style="355"/>
  </cols>
  <sheetData>
    <row r="2" spans="1:14" ht="13">
      <c r="A2" s="487"/>
      <c r="C2" s="243" t="s">
        <v>39</v>
      </c>
      <c r="D2" s="487"/>
      <c r="E2" s="487"/>
      <c r="F2" s="487"/>
      <c r="G2" s="487"/>
      <c r="H2" s="488"/>
      <c r="I2" s="488"/>
      <c r="J2" s="488"/>
      <c r="K2" s="488"/>
      <c r="L2" s="488"/>
      <c r="M2" s="488"/>
      <c r="N2" s="488"/>
    </row>
    <row r="3" spans="1:14" ht="13">
      <c r="A3" s="487"/>
      <c r="C3" s="243" t="s">
        <v>182</v>
      </c>
      <c r="D3" s="487"/>
      <c r="E3" s="487"/>
      <c r="F3" s="487"/>
      <c r="G3" s="487"/>
      <c r="H3" s="488"/>
      <c r="I3" s="488"/>
      <c r="J3" s="488"/>
      <c r="K3" s="488"/>
      <c r="L3" s="488"/>
      <c r="M3" s="488"/>
      <c r="N3" s="488"/>
    </row>
    <row r="4" spans="1:14" ht="13">
      <c r="A4" s="487"/>
      <c r="C4" s="243" t="str">
        <f>'Program MW '!H3</f>
        <v>June 2021</v>
      </c>
      <c r="D4" s="487"/>
      <c r="E4" s="487"/>
      <c r="F4" s="487"/>
      <c r="G4" s="487"/>
      <c r="H4" s="488"/>
      <c r="I4" s="488"/>
      <c r="J4" s="488"/>
      <c r="K4" s="488"/>
      <c r="L4" s="488"/>
      <c r="M4" s="488"/>
      <c r="N4" s="488"/>
    </row>
    <row r="5" spans="1:14" ht="13">
      <c r="A5" s="487"/>
      <c r="C5" s="243"/>
      <c r="D5" s="487"/>
      <c r="E5" s="487"/>
      <c r="F5" s="487"/>
      <c r="G5" s="487"/>
      <c r="H5" s="488"/>
      <c r="I5" s="488"/>
      <c r="J5" s="488"/>
      <c r="K5" s="488"/>
      <c r="L5" s="488"/>
      <c r="M5" s="488"/>
      <c r="N5" s="488"/>
    </row>
    <row r="7" spans="1:14" ht="15.5">
      <c r="A7" s="691" t="s">
        <v>183</v>
      </c>
      <c r="B7" s="692"/>
      <c r="C7" s="692"/>
      <c r="D7" s="692"/>
      <c r="E7" s="692"/>
      <c r="F7" s="692"/>
      <c r="G7" s="693"/>
      <c r="H7" s="488"/>
      <c r="I7" s="488"/>
      <c r="J7" s="488"/>
      <c r="K7" s="488"/>
      <c r="L7" s="488"/>
      <c r="M7" s="488"/>
      <c r="N7" s="488"/>
    </row>
    <row r="8" spans="1:14" ht="28">
      <c r="A8" s="489" t="s">
        <v>176</v>
      </c>
      <c r="B8" s="489" t="s">
        <v>184</v>
      </c>
      <c r="C8" s="490" t="s">
        <v>179</v>
      </c>
      <c r="D8" s="489" t="s">
        <v>185</v>
      </c>
      <c r="E8" s="491" t="s">
        <v>186</v>
      </c>
      <c r="F8" s="491" t="s">
        <v>187</v>
      </c>
      <c r="G8" s="491" t="s">
        <v>188</v>
      </c>
      <c r="H8" s="488"/>
      <c r="I8" s="488"/>
      <c r="J8" s="488"/>
      <c r="K8" s="488"/>
      <c r="L8" s="488"/>
      <c r="M8" s="488"/>
      <c r="N8" s="488"/>
    </row>
    <row r="9" spans="1:14" s="488" customFormat="1" ht="14.25" customHeight="1">
      <c r="A9" s="492" t="s">
        <v>322</v>
      </c>
      <c r="B9" s="493">
        <v>1</v>
      </c>
      <c r="C9" s="494">
        <v>44362</v>
      </c>
      <c r="D9" s="495" t="s">
        <v>323</v>
      </c>
      <c r="E9" s="496">
        <v>0.22219420000000001</v>
      </c>
      <c r="F9" s="497" t="s">
        <v>324</v>
      </c>
      <c r="G9" s="493">
        <v>2</v>
      </c>
    </row>
    <row r="10" spans="1:14" s="488" customFormat="1" ht="14.25" customHeight="1">
      <c r="A10" s="492" t="s">
        <v>325</v>
      </c>
      <c r="B10" s="493">
        <v>2</v>
      </c>
      <c r="C10" s="494">
        <v>44362</v>
      </c>
      <c r="D10" s="495" t="s">
        <v>323</v>
      </c>
      <c r="E10" s="496">
        <v>0.26726295</v>
      </c>
      <c r="F10" s="497" t="s">
        <v>324</v>
      </c>
      <c r="G10" s="493">
        <v>2</v>
      </c>
    </row>
    <row r="11" spans="1:14" s="488" customFormat="1" ht="14.25" customHeight="1">
      <c r="A11" s="492" t="s">
        <v>326</v>
      </c>
      <c r="B11" s="493">
        <v>3</v>
      </c>
      <c r="C11" s="494">
        <v>44362</v>
      </c>
      <c r="D11" s="495" t="s">
        <v>327</v>
      </c>
      <c r="E11" s="496">
        <v>0.73683419999999999</v>
      </c>
      <c r="F11" s="497" t="s">
        <v>328</v>
      </c>
      <c r="G11" s="493">
        <v>3</v>
      </c>
    </row>
    <row r="12" spans="1:14" s="488" customFormat="1" ht="14.25" customHeight="1">
      <c r="A12" s="492" t="s">
        <v>329</v>
      </c>
      <c r="B12" s="493">
        <v>4</v>
      </c>
      <c r="C12" s="494">
        <v>44362</v>
      </c>
      <c r="D12" s="495" t="s">
        <v>327</v>
      </c>
      <c r="E12" s="496">
        <v>0.42191335000000002</v>
      </c>
      <c r="F12" s="497" t="s">
        <v>324</v>
      </c>
      <c r="G12" s="493">
        <v>2</v>
      </c>
    </row>
    <row r="13" spans="1:14" s="488" customFormat="1" ht="14.25" customHeight="1">
      <c r="A13" s="492" t="s">
        <v>330</v>
      </c>
      <c r="B13" s="493">
        <v>5</v>
      </c>
      <c r="C13" s="494">
        <v>44362</v>
      </c>
      <c r="D13" s="495" t="s">
        <v>331</v>
      </c>
      <c r="E13" s="496">
        <v>2.2826174999999997</v>
      </c>
      <c r="F13" s="497" t="s">
        <v>324</v>
      </c>
      <c r="G13" s="493">
        <v>2</v>
      </c>
    </row>
    <row r="14" spans="1:14" s="488" customFormat="1" ht="14.25" customHeight="1">
      <c r="A14" s="492" t="s">
        <v>322</v>
      </c>
      <c r="B14" s="493">
        <v>6</v>
      </c>
      <c r="C14" s="494">
        <v>44363</v>
      </c>
      <c r="D14" s="495" t="s">
        <v>323</v>
      </c>
      <c r="E14" s="496">
        <v>-3.7548100000000001E-2</v>
      </c>
      <c r="F14" s="497" t="s">
        <v>324</v>
      </c>
      <c r="G14" s="493">
        <v>4</v>
      </c>
    </row>
    <row r="15" spans="1:14" s="488" customFormat="1" ht="14.25" customHeight="1">
      <c r="A15" s="492" t="s">
        <v>325</v>
      </c>
      <c r="B15" s="493">
        <v>7</v>
      </c>
      <c r="C15" s="494">
        <v>44363</v>
      </c>
      <c r="D15" s="495" t="s">
        <v>323</v>
      </c>
      <c r="E15" s="496">
        <v>0.38487499999999919</v>
      </c>
      <c r="F15" s="497" t="s">
        <v>324</v>
      </c>
      <c r="G15" s="493">
        <v>4</v>
      </c>
    </row>
    <row r="16" spans="1:14" s="488" customFormat="1" ht="14.25" customHeight="1">
      <c r="A16" s="492" t="s">
        <v>326</v>
      </c>
      <c r="B16" s="493">
        <v>8</v>
      </c>
      <c r="C16" s="494">
        <v>44363</v>
      </c>
      <c r="D16" s="495" t="s">
        <v>327</v>
      </c>
      <c r="E16" s="496">
        <v>0.978545</v>
      </c>
      <c r="F16" s="497" t="s">
        <v>332</v>
      </c>
      <c r="G16" s="493">
        <v>5</v>
      </c>
    </row>
    <row r="17" spans="1:7" s="488" customFormat="1" ht="14.25" customHeight="1">
      <c r="A17" s="492" t="s">
        <v>329</v>
      </c>
      <c r="B17" s="493">
        <v>9</v>
      </c>
      <c r="C17" s="494">
        <v>44363</v>
      </c>
      <c r="D17" s="495" t="s">
        <v>327</v>
      </c>
      <c r="E17" s="496">
        <v>0.34415954999999998</v>
      </c>
      <c r="F17" s="497" t="s">
        <v>324</v>
      </c>
      <c r="G17" s="493">
        <v>4</v>
      </c>
    </row>
    <row r="18" spans="1:7" s="488" customFormat="1" ht="14.25" customHeight="1">
      <c r="A18" s="492" t="s">
        <v>330</v>
      </c>
      <c r="B18" s="493">
        <v>10</v>
      </c>
      <c r="C18" s="494">
        <v>44363</v>
      </c>
      <c r="D18" s="495" t="s">
        <v>331</v>
      </c>
      <c r="E18" s="496">
        <v>1.8676109999999999</v>
      </c>
      <c r="F18" s="497" t="s">
        <v>324</v>
      </c>
      <c r="G18" s="493">
        <v>4</v>
      </c>
    </row>
    <row r="19" spans="1:7" s="488" customFormat="1" ht="14.25" customHeight="1">
      <c r="A19" s="492" t="s">
        <v>333</v>
      </c>
      <c r="B19" s="493">
        <v>11</v>
      </c>
      <c r="C19" s="494">
        <v>44364</v>
      </c>
      <c r="D19" s="495" t="s">
        <v>323</v>
      </c>
      <c r="E19" s="496">
        <v>1.3</v>
      </c>
      <c r="F19" s="497" t="s">
        <v>334</v>
      </c>
      <c r="G19" s="493">
        <v>3</v>
      </c>
    </row>
    <row r="20" spans="1:7" s="488" customFormat="1" ht="14.25" customHeight="1">
      <c r="A20" s="492" t="s">
        <v>322</v>
      </c>
      <c r="B20" s="493">
        <v>12</v>
      </c>
      <c r="C20" s="494">
        <v>44364</v>
      </c>
      <c r="D20" s="495" t="s">
        <v>323</v>
      </c>
      <c r="E20" s="496">
        <v>1.1176638999999999</v>
      </c>
      <c r="F20" s="497" t="s">
        <v>334</v>
      </c>
      <c r="G20" s="493">
        <v>7</v>
      </c>
    </row>
    <row r="21" spans="1:7" s="488" customFormat="1" ht="14.25" customHeight="1">
      <c r="A21" s="492" t="s">
        <v>325</v>
      </c>
      <c r="B21" s="493">
        <v>13</v>
      </c>
      <c r="C21" s="494">
        <v>44364</v>
      </c>
      <c r="D21" s="495" t="s">
        <v>323</v>
      </c>
      <c r="E21" s="496">
        <v>1.1325072999999999</v>
      </c>
      <c r="F21" s="497" t="s">
        <v>334</v>
      </c>
      <c r="G21" s="493">
        <v>7</v>
      </c>
    </row>
    <row r="22" spans="1:7" s="488" customFormat="1" ht="14.25" customHeight="1">
      <c r="A22" s="492" t="s">
        <v>92</v>
      </c>
      <c r="B22" s="493">
        <v>14</v>
      </c>
      <c r="C22" s="494">
        <v>44364</v>
      </c>
      <c r="D22" s="495" t="s">
        <v>335</v>
      </c>
      <c r="E22" s="496">
        <v>-7.977352193977566E-2</v>
      </c>
      <c r="F22" s="497" t="s">
        <v>324</v>
      </c>
      <c r="G22" s="493">
        <v>2</v>
      </c>
    </row>
    <row r="23" spans="1:7" s="488" customFormat="1" ht="14.25" customHeight="1">
      <c r="A23" s="492" t="s">
        <v>326</v>
      </c>
      <c r="B23" s="493">
        <v>15</v>
      </c>
      <c r="C23" s="494">
        <v>44364</v>
      </c>
      <c r="D23" s="495" t="s">
        <v>327</v>
      </c>
      <c r="E23" s="496">
        <v>1.0452001499999999</v>
      </c>
      <c r="F23" s="497" t="s">
        <v>332</v>
      </c>
      <c r="G23" s="493">
        <v>7</v>
      </c>
    </row>
    <row r="24" spans="1:7" s="488" customFormat="1" ht="14.25" customHeight="1">
      <c r="A24" s="492" t="s">
        <v>329</v>
      </c>
      <c r="B24" s="493">
        <v>16</v>
      </c>
      <c r="C24" s="494">
        <v>44364</v>
      </c>
      <c r="D24" s="495" t="s">
        <v>327</v>
      </c>
      <c r="E24" s="496">
        <v>0.31367296666666661</v>
      </c>
      <c r="F24" s="497" t="s">
        <v>334</v>
      </c>
      <c r="G24" s="493">
        <v>7</v>
      </c>
    </row>
    <row r="25" spans="1:7" s="488" customFormat="1" ht="14.25" customHeight="1">
      <c r="A25" s="492" t="s">
        <v>330</v>
      </c>
      <c r="B25" s="493">
        <v>17</v>
      </c>
      <c r="C25" s="494">
        <v>44364</v>
      </c>
      <c r="D25" s="495" t="s">
        <v>331</v>
      </c>
      <c r="E25" s="496">
        <v>2.0778230666666668</v>
      </c>
      <c r="F25" s="497" t="s">
        <v>334</v>
      </c>
      <c r="G25" s="493">
        <v>7</v>
      </c>
    </row>
    <row r="26" spans="1:7" s="488" customFormat="1" ht="14.25" customHeight="1">
      <c r="A26" s="492" t="s">
        <v>326</v>
      </c>
      <c r="B26" s="493">
        <v>18</v>
      </c>
      <c r="C26" s="494">
        <v>44375</v>
      </c>
      <c r="D26" s="495" t="s">
        <v>327</v>
      </c>
      <c r="E26" s="496">
        <v>0.64549484999999995</v>
      </c>
      <c r="F26" s="497" t="s">
        <v>336</v>
      </c>
      <c r="G26" s="493">
        <v>11</v>
      </c>
    </row>
    <row r="27" spans="1:7" s="488" customFormat="1" ht="14.25" customHeight="1">
      <c r="A27" s="492" t="s">
        <v>329</v>
      </c>
      <c r="B27" s="493">
        <v>19</v>
      </c>
      <c r="C27" s="494">
        <v>44375</v>
      </c>
      <c r="D27" s="495" t="s">
        <v>327</v>
      </c>
      <c r="E27" s="496">
        <v>0.18</v>
      </c>
      <c r="F27" s="497" t="s">
        <v>337</v>
      </c>
      <c r="G27" s="493">
        <v>11</v>
      </c>
    </row>
    <row r="28" spans="1:7" s="488" customFormat="1" ht="14.25" customHeight="1">
      <c r="A28" s="492" t="s">
        <v>330</v>
      </c>
      <c r="B28" s="493">
        <v>20</v>
      </c>
      <c r="C28" s="494">
        <v>44375</v>
      </c>
      <c r="D28" s="495" t="s">
        <v>331</v>
      </c>
      <c r="E28" s="496">
        <v>2.1</v>
      </c>
      <c r="F28" s="497" t="s">
        <v>334</v>
      </c>
      <c r="G28" s="493">
        <v>10</v>
      </c>
    </row>
    <row r="29" spans="1:7" s="488" customFormat="1" ht="14.25" customHeight="1">
      <c r="A29" s="492" t="s">
        <v>326</v>
      </c>
      <c r="B29" s="493">
        <v>21</v>
      </c>
      <c r="C29" s="494">
        <v>44376</v>
      </c>
      <c r="D29" s="495" t="s">
        <v>327</v>
      </c>
      <c r="E29" s="496">
        <v>0.14000000000000001</v>
      </c>
      <c r="F29" s="497" t="s">
        <v>336</v>
      </c>
      <c r="G29" s="493">
        <v>15</v>
      </c>
    </row>
    <row r="30" spans="1:7" s="488" customFormat="1" ht="14.25" customHeight="1">
      <c r="A30" s="492" t="s">
        <v>329</v>
      </c>
      <c r="B30" s="493">
        <v>22</v>
      </c>
      <c r="C30" s="494">
        <v>44376</v>
      </c>
      <c r="D30" s="495" t="s">
        <v>327</v>
      </c>
      <c r="E30" s="496">
        <v>0.3</v>
      </c>
      <c r="F30" s="497" t="s">
        <v>337</v>
      </c>
      <c r="G30" s="493">
        <v>15</v>
      </c>
    </row>
    <row r="31" spans="1:7" s="488" customFormat="1" ht="14.25" customHeight="1">
      <c r="A31" s="492" t="s">
        <v>330</v>
      </c>
      <c r="B31" s="493">
        <v>23</v>
      </c>
      <c r="C31" s="494">
        <v>44376</v>
      </c>
      <c r="D31" s="495" t="s">
        <v>331</v>
      </c>
      <c r="E31" s="496">
        <v>2.0699999999999998</v>
      </c>
      <c r="F31" s="497" t="s">
        <v>334</v>
      </c>
      <c r="G31" s="493">
        <v>13</v>
      </c>
    </row>
    <row r="32" spans="1:7" s="488" customFormat="1" ht="14.25" customHeight="1">
      <c r="A32" s="492" t="s">
        <v>329</v>
      </c>
      <c r="B32" s="493">
        <v>24</v>
      </c>
      <c r="C32" s="494">
        <v>44377</v>
      </c>
      <c r="D32" s="495" t="s">
        <v>327</v>
      </c>
      <c r="E32" s="496">
        <v>0.33</v>
      </c>
      <c r="F32" s="497" t="s">
        <v>338</v>
      </c>
      <c r="G32" s="493">
        <v>17</v>
      </c>
    </row>
    <row r="33" spans="1:7" s="488" customFormat="1" ht="14.25" customHeight="1">
      <c r="A33"/>
      <c r="B33" s="498"/>
      <c r="C33" s="499"/>
      <c r="D33" s="487"/>
      <c r="E33" s="500"/>
      <c r="F33" s="501"/>
      <c r="G33" s="498"/>
    </row>
    <row r="34" spans="1:7" s="488" customFormat="1" ht="14.25" customHeight="1">
      <c r="A34"/>
      <c r="B34" s="498"/>
      <c r="C34" s="499"/>
      <c r="D34" s="487"/>
      <c r="E34" s="500"/>
      <c r="F34" s="501"/>
      <c r="G34" s="498"/>
    </row>
    <row r="35" spans="1:7" s="488" customFormat="1" ht="14.25" customHeight="1">
      <c r="A35"/>
      <c r="B35" s="498"/>
      <c r="C35" s="499"/>
      <c r="D35" s="487"/>
      <c r="E35" s="500"/>
      <c r="F35" s="501"/>
      <c r="G35" s="498"/>
    </row>
    <row r="36" spans="1:7" s="488" customFormat="1" ht="14.25" customHeight="1">
      <c r="A36" s="502"/>
      <c r="B36" s="242"/>
      <c r="C36" s="503"/>
      <c r="D36" s="487"/>
      <c r="E36" s="487"/>
      <c r="F36" s="487"/>
      <c r="G36" s="487"/>
    </row>
    <row r="37" spans="1:7" s="488" customFormat="1" ht="14.25" customHeight="1">
      <c r="A37" s="504"/>
      <c r="B37" s="242"/>
      <c r="C37" s="503"/>
      <c r="D37" s="487"/>
      <c r="E37" s="487"/>
      <c r="F37" s="487"/>
      <c r="G37" s="487"/>
    </row>
    <row r="38" spans="1:7" s="488" customFormat="1" ht="14.25" customHeight="1">
      <c r="A38" s="504"/>
      <c r="B38" s="242"/>
      <c r="C38" s="503"/>
      <c r="D38" s="487"/>
      <c r="E38" s="487"/>
      <c r="F38" s="487"/>
      <c r="G38" s="487"/>
    </row>
    <row r="39" spans="1:7" s="488" customFormat="1" ht="14.25" customHeight="1">
      <c r="A39" s="505" t="s">
        <v>63</v>
      </c>
      <c r="B39" s="242"/>
      <c r="C39" s="503"/>
      <c r="D39" s="487"/>
      <c r="E39" s="487"/>
      <c r="F39" s="487"/>
      <c r="G39" s="487"/>
    </row>
    <row r="40" spans="1:7" s="488" customFormat="1" ht="14.25" customHeight="1">
      <c r="A40" s="649" t="s">
        <v>339</v>
      </c>
      <c r="B40" s="242"/>
      <c r="C40" s="503"/>
      <c r="D40" s="487"/>
      <c r="E40" s="487"/>
      <c r="F40" s="487"/>
      <c r="G40" s="487"/>
    </row>
    <row r="41" spans="1:7" s="488" customFormat="1" ht="14.25" customHeight="1">
      <c r="A41" s="649" t="s">
        <v>340</v>
      </c>
      <c r="B41" s="242"/>
      <c r="C41" s="503"/>
      <c r="D41" s="487"/>
      <c r="E41" s="487"/>
      <c r="F41" s="487"/>
      <c r="G41" s="487"/>
    </row>
    <row r="42" spans="1:7" s="488" customFormat="1" ht="14.25" customHeight="1">
      <c r="A42" s="506"/>
      <c r="B42" s="242"/>
      <c r="C42" s="503"/>
      <c r="D42" s="487"/>
      <c r="E42" s="487"/>
      <c r="F42" s="487"/>
      <c r="G42" s="487"/>
    </row>
    <row r="43" spans="1:7" s="488" customFormat="1" ht="14.25" customHeight="1">
      <c r="A43" s="438" t="s">
        <v>64</v>
      </c>
      <c r="B43" s="242"/>
      <c r="C43" s="503"/>
      <c r="D43" s="487"/>
      <c r="E43" s="487"/>
      <c r="F43" s="487"/>
      <c r="G43" s="487"/>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8"/>
  <sheetViews>
    <sheetView showRuler="0" showWhiteSpace="0" topLeftCell="A4" zoomScale="80" zoomScaleNormal="80" workbookViewId="0">
      <selection activeCell="B55" sqref="B55"/>
    </sheetView>
  </sheetViews>
  <sheetFormatPr defaultColWidth="9.26953125" defaultRowHeight="12.5"/>
  <cols>
    <col min="1" max="1" width="48" style="44" customWidth="1"/>
    <col min="2" max="3" width="13" style="44" customWidth="1"/>
    <col min="4" max="13" width="13.453125" style="44" customWidth="1"/>
    <col min="14" max="14" width="23.26953125" style="44" bestFit="1" customWidth="1"/>
    <col min="15" max="16384" width="9.26953125" style="44"/>
  </cols>
  <sheetData>
    <row r="2" spans="1:13" ht="20">
      <c r="B2" s="333" t="s">
        <v>39</v>
      </c>
      <c r="C2" s="43"/>
      <c r="D2" s="43"/>
      <c r="E2" s="334"/>
      <c r="F2" s="334"/>
      <c r="G2" s="334"/>
      <c r="H2" s="334"/>
      <c r="I2" s="334"/>
      <c r="J2" s="334"/>
      <c r="K2" s="334"/>
      <c r="L2" s="334"/>
      <c r="M2" s="334"/>
    </row>
    <row r="3" spans="1:13" ht="18">
      <c r="B3" s="694" t="s">
        <v>112</v>
      </c>
      <c r="C3" s="694"/>
      <c r="D3" s="694"/>
      <c r="E3" s="694"/>
      <c r="F3" s="694"/>
      <c r="G3" s="694"/>
      <c r="H3" s="694"/>
      <c r="I3" s="694"/>
      <c r="J3" s="694"/>
      <c r="K3" s="694"/>
      <c r="L3" s="694"/>
      <c r="M3" s="694"/>
    </row>
    <row r="4" spans="1:13" ht="18">
      <c r="A4" s="163"/>
      <c r="B4" s="43"/>
      <c r="C4" s="43"/>
      <c r="D4" s="43"/>
      <c r="E4" s="43"/>
      <c r="F4" s="335"/>
      <c r="G4" s="695" t="str">
        <f>'Program MW '!H3</f>
        <v>June 2021</v>
      </c>
      <c r="H4" s="695"/>
      <c r="I4" s="335"/>
      <c r="J4" s="43"/>
      <c r="K4" s="43"/>
      <c r="L4" s="43"/>
      <c r="M4" s="43"/>
    </row>
    <row r="5" spans="1:13">
      <c r="B5" s="199"/>
      <c r="C5" s="199"/>
      <c r="D5" s="199"/>
    </row>
    <row r="7" spans="1:13" ht="21.75" customHeight="1">
      <c r="A7" s="94"/>
      <c r="B7" s="164" t="s">
        <v>10</v>
      </c>
      <c r="C7" s="164" t="s">
        <v>28</v>
      </c>
      <c r="D7" s="164" t="s">
        <v>43</v>
      </c>
      <c r="E7" s="164" t="s">
        <v>44</v>
      </c>
      <c r="F7" s="164" t="s">
        <v>113</v>
      </c>
      <c r="G7" s="164" t="s">
        <v>45</v>
      </c>
      <c r="H7" s="164" t="s">
        <v>59</v>
      </c>
      <c r="I7" s="164" t="s">
        <v>66</v>
      </c>
      <c r="J7" s="164" t="s">
        <v>67</v>
      </c>
      <c r="K7" s="164" t="s">
        <v>61</v>
      </c>
      <c r="L7" s="164" t="s">
        <v>68</v>
      </c>
      <c r="M7" s="165" t="s">
        <v>62</v>
      </c>
    </row>
    <row r="8" spans="1:13" ht="26">
      <c r="A8" s="275" t="s">
        <v>114</v>
      </c>
      <c r="B8" s="294" t="s">
        <v>86</v>
      </c>
      <c r="C8" s="128" t="s">
        <v>86</v>
      </c>
      <c r="D8" s="128" t="s">
        <v>86</v>
      </c>
      <c r="E8" s="128" t="s">
        <v>86</v>
      </c>
      <c r="F8" s="128" t="s">
        <v>86</v>
      </c>
      <c r="G8" s="128" t="s">
        <v>86</v>
      </c>
      <c r="H8" s="128" t="s">
        <v>86</v>
      </c>
      <c r="I8" s="128" t="s">
        <v>86</v>
      </c>
      <c r="J8" s="128" t="s">
        <v>86</v>
      </c>
      <c r="K8" s="128" t="s">
        <v>86</v>
      </c>
      <c r="L8" s="128" t="s">
        <v>115</v>
      </c>
      <c r="M8" s="128" t="s">
        <v>115</v>
      </c>
    </row>
    <row r="9" spans="1:13">
      <c r="A9" s="293" t="s">
        <v>89</v>
      </c>
      <c r="B9" s="295">
        <v>1.23E-2</v>
      </c>
      <c r="C9" s="295">
        <v>1.23E-2</v>
      </c>
      <c r="D9" s="295">
        <v>9.0899999999999995E-2</v>
      </c>
      <c r="E9" s="295">
        <v>9.0899999999999995E-2</v>
      </c>
      <c r="F9" s="295">
        <v>9.0899999999999995E-2</v>
      </c>
      <c r="G9" s="295">
        <v>9.0899999999999995E-2</v>
      </c>
      <c r="H9" s="295">
        <v>0</v>
      </c>
      <c r="I9" s="295">
        <v>0</v>
      </c>
      <c r="J9" s="295">
        <v>0</v>
      </c>
      <c r="K9" s="295">
        <v>0</v>
      </c>
      <c r="L9" s="295">
        <v>0</v>
      </c>
      <c r="M9" s="295">
        <v>0</v>
      </c>
    </row>
    <row r="10" spans="1:13">
      <c r="A10" s="293" t="s">
        <v>90</v>
      </c>
      <c r="B10" s="295">
        <v>0</v>
      </c>
      <c r="C10" s="295">
        <v>0</v>
      </c>
      <c r="D10" s="295">
        <v>0</v>
      </c>
      <c r="E10" s="295">
        <v>0</v>
      </c>
      <c r="F10" s="295">
        <v>0</v>
      </c>
      <c r="G10" s="295">
        <v>0</v>
      </c>
      <c r="H10" s="295">
        <v>0</v>
      </c>
      <c r="I10" s="295">
        <v>0</v>
      </c>
      <c r="J10" s="295">
        <v>0</v>
      </c>
      <c r="K10" s="295">
        <v>0</v>
      </c>
      <c r="L10" s="295">
        <v>0</v>
      </c>
      <c r="M10" s="295">
        <v>0</v>
      </c>
    </row>
    <row r="11" spans="1:13">
      <c r="A11" s="167" t="s">
        <v>116</v>
      </c>
      <c r="B11" s="295">
        <v>0</v>
      </c>
      <c r="C11" s="295">
        <v>0</v>
      </c>
      <c r="D11" s="295">
        <v>0</v>
      </c>
      <c r="E11" s="295">
        <v>0</v>
      </c>
      <c r="F11" s="295">
        <v>0</v>
      </c>
      <c r="G11" s="295">
        <v>0</v>
      </c>
      <c r="H11" s="295">
        <v>0</v>
      </c>
      <c r="I11" s="295">
        <v>0</v>
      </c>
      <c r="J11" s="295">
        <v>0</v>
      </c>
      <c r="K11" s="295">
        <v>0</v>
      </c>
      <c r="L11" s="295">
        <v>0</v>
      </c>
      <c r="M11" s="295">
        <v>0</v>
      </c>
    </row>
    <row r="12" spans="1:13">
      <c r="A12" s="167" t="s">
        <v>117</v>
      </c>
      <c r="B12" s="295">
        <v>0</v>
      </c>
      <c r="C12" s="295">
        <v>0</v>
      </c>
      <c r="D12" s="295">
        <v>0</v>
      </c>
      <c r="E12" s="295">
        <v>0</v>
      </c>
      <c r="F12" s="295">
        <v>0</v>
      </c>
      <c r="G12" s="295">
        <v>0</v>
      </c>
      <c r="H12" s="295">
        <v>0</v>
      </c>
      <c r="I12" s="295">
        <v>0</v>
      </c>
      <c r="J12" s="295">
        <v>0</v>
      </c>
      <c r="K12" s="295">
        <v>0</v>
      </c>
      <c r="L12" s="295">
        <v>0</v>
      </c>
      <c r="M12" s="295">
        <v>0</v>
      </c>
    </row>
    <row r="13" spans="1:13" s="43" customFormat="1" ht="13">
      <c r="A13" s="166" t="s">
        <v>91</v>
      </c>
      <c r="B13" s="106">
        <f t="shared" ref="B13:G13" si="0">SUM(B9:B12)</f>
        <v>1.23E-2</v>
      </c>
      <c r="C13" s="106">
        <f t="shared" si="0"/>
        <v>1.23E-2</v>
      </c>
      <c r="D13" s="106">
        <f t="shared" si="0"/>
        <v>9.0899999999999995E-2</v>
      </c>
      <c r="E13" s="106">
        <f t="shared" si="0"/>
        <v>9.0899999999999995E-2</v>
      </c>
      <c r="F13" s="106">
        <f t="shared" ref="F13" si="1">SUM(F9:F12)</f>
        <v>9.0899999999999995E-2</v>
      </c>
      <c r="G13" s="106">
        <f t="shared" si="0"/>
        <v>9.0899999999999995E-2</v>
      </c>
      <c r="H13" s="60">
        <f t="shared" ref="H13" si="2">SUM(H9:H12)</f>
        <v>0</v>
      </c>
      <c r="I13" s="60">
        <f t="shared" ref="I13:M13" si="3">SUM(I9:I12)</f>
        <v>0</v>
      </c>
      <c r="J13" s="60">
        <f t="shared" si="3"/>
        <v>0</v>
      </c>
      <c r="K13" s="60">
        <f>SUM(K9:K12)</f>
        <v>0</v>
      </c>
      <c r="L13" s="60">
        <f>SUM(L9:L12)</f>
        <v>0</v>
      </c>
      <c r="M13" s="60">
        <f t="shared" si="3"/>
        <v>0</v>
      </c>
    </row>
    <row r="14" spans="1:13" s="51" customFormat="1" ht="13">
      <c r="A14" s="43"/>
      <c r="B14" s="47"/>
      <c r="C14" s="49"/>
      <c r="D14" s="49"/>
      <c r="E14" s="49"/>
      <c r="F14" s="49"/>
      <c r="G14" s="49"/>
    </row>
    <row r="15" spans="1:13" ht="14">
      <c r="A15" s="247" t="s">
        <v>63</v>
      </c>
      <c r="G15" s="45"/>
    </row>
    <row r="16" spans="1:13" ht="15.5">
      <c r="A16" s="368" t="s">
        <v>118</v>
      </c>
      <c r="B16" s="199"/>
      <c r="C16" s="199"/>
      <c r="D16" s="285"/>
      <c r="E16" s="285"/>
      <c r="F16" s="285"/>
      <c r="G16" s="199"/>
      <c r="H16" s="199"/>
      <c r="I16" s="199"/>
      <c r="J16" s="199"/>
      <c r="K16" s="199"/>
    </row>
    <row r="17" spans="1:14" ht="15.5">
      <c r="A17" s="367"/>
    </row>
    <row r="20" spans="1:14" ht="21.75" customHeight="1">
      <c r="A20" s="94"/>
      <c r="B20" s="164" t="s">
        <v>10</v>
      </c>
      <c r="C20" s="164" t="s">
        <v>28</v>
      </c>
      <c r="D20" s="164" t="s">
        <v>43</v>
      </c>
      <c r="E20" s="164" t="s">
        <v>44</v>
      </c>
      <c r="F20" s="164" t="s">
        <v>113</v>
      </c>
      <c r="G20" s="164" t="s">
        <v>45</v>
      </c>
      <c r="H20" s="164" t="s">
        <v>59</v>
      </c>
      <c r="I20" s="164" t="s">
        <v>66</v>
      </c>
      <c r="J20" s="164" t="s">
        <v>67</v>
      </c>
      <c r="K20" s="164" t="s">
        <v>61</v>
      </c>
      <c r="L20" s="164" t="s">
        <v>68</v>
      </c>
      <c r="M20" s="165" t="s">
        <v>62</v>
      </c>
      <c r="N20" s="337"/>
    </row>
    <row r="21" spans="1:14" ht="52">
      <c r="A21" s="274" t="s">
        <v>114</v>
      </c>
      <c r="B21" s="128" t="s">
        <v>119</v>
      </c>
      <c r="C21" s="128" t="str">
        <f>B21</f>
        <v>Technology Deployment- Residential MWs</v>
      </c>
      <c r="D21" s="128" t="str">
        <f>B21</f>
        <v>Technology Deployment- Residential MWs</v>
      </c>
      <c r="E21" s="128" t="str">
        <f t="shared" ref="E21:M21" si="4">C21</f>
        <v>Technology Deployment- Residential MWs</v>
      </c>
      <c r="F21" s="128" t="str">
        <f t="shared" si="4"/>
        <v>Technology Deployment- Residential MWs</v>
      </c>
      <c r="G21" s="128" t="str">
        <f t="shared" si="4"/>
        <v>Technology Deployment- Residential MWs</v>
      </c>
      <c r="H21" s="128" t="str">
        <f t="shared" si="4"/>
        <v>Technology Deployment- Residential MWs</v>
      </c>
      <c r="I21" s="128" t="str">
        <f t="shared" si="4"/>
        <v>Technology Deployment- Residential MWs</v>
      </c>
      <c r="J21" s="128" t="str">
        <f t="shared" si="4"/>
        <v>Technology Deployment- Residential MWs</v>
      </c>
      <c r="K21" s="128" t="str">
        <f t="shared" si="4"/>
        <v>Technology Deployment- Residential MWs</v>
      </c>
      <c r="L21" s="128" t="str">
        <f t="shared" si="4"/>
        <v>Technology Deployment- Residential MWs</v>
      </c>
      <c r="M21" s="128" t="str">
        <f t="shared" si="4"/>
        <v>Technology Deployment- Residential MWs</v>
      </c>
      <c r="N21" s="337"/>
    </row>
    <row r="22" spans="1:14">
      <c r="A22" s="167" t="s">
        <v>17</v>
      </c>
      <c r="B22" s="57">
        <f>'Program MW '!D14</f>
        <v>5.5603200000000008</v>
      </c>
      <c r="C22" s="57">
        <f>'Program MW '!G14</f>
        <v>5.5289600000000005</v>
      </c>
      <c r="D22" s="57">
        <f>'Program MW '!J14</f>
        <v>5.1198614791035659</v>
      </c>
      <c r="E22" s="57">
        <f>'Program MW '!M14</f>
        <v>5.1898279145658019</v>
      </c>
      <c r="F22" s="57">
        <f>'Program MW '!P14</f>
        <v>5.1438842895627026</v>
      </c>
      <c r="G22" s="57">
        <f>'Program MW '!S14</f>
        <v>4.3910694667994976</v>
      </c>
      <c r="H22" s="57">
        <v>0</v>
      </c>
      <c r="I22" s="57">
        <v>0</v>
      </c>
      <c r="J22" s="57">
        <v>0</v>
      </c>
      <c r="K22" s="57">
        <v>0</v>
      </c>
      <c r="L22" s="57">
        <v>0</v>
      </c>
      <c r="M22" s="57">
        <v>0</v>
      </c>
      <c r="N22" s="337"/>
    </row>
    <row r="23" spans="1:14">
      <c r="A23" s="167" t="s">
        <v>27</v>
      </c>
      <c r="B23" s="57">
        <f>'Ex post LI &amp; Eligibility Stats'!B11*1203/1000</f>
        <v>0.38496000000000002</v>
      </c>
      <c r="C23" s="57">
        <f>'Ex post LI &amp; Eligibility Stats'!C11*1269/1000</f>
        <v>0.40608</v>
      </c>
      <c r="D23" s="57">
        <f>'Ex post LI &amp; Eligibility Stats'!D11*1142/1000</f>
        <v>0.34292561930418014</v>
      </c>
      <c r="E23" s="57">
        <f>'Ex post LI &amp; Eligibility Stats'!E11*1150/1000</f>
        <v>0.34532790035009386</v>
      </c>
      <c r="F23" s="57">
        <f>'Ex post LI &amp; Eligibility Stats'!F11*1131/1000</f>
        <v>0.33962248286604879</v>
      </c>
      <c r="G23" s="57">
        <f>'Ex post LI &amp; Eligibility Stats'!G11*1000/1000</f>
        <v>0.30028513073921204</v>
      </c>
      <c r="H23" s="57">
        <v>0</v>
      </c>
      <c r="I23" s="57">
        <v>0</v>
      </c>
      <c r="J23" s="57">
        <v>0</v>
      </c>
      <c r="K23" s="57">
        <v>0</v>
      </c>
      <c r="L23" s="57">
        <v>0</v>
      </c>
      <c r="M23" s="57">
        <v>0</v>
      </c>
    </row>
    <row r="24" spans="1:14">
      <c r="A24" s="167" t="s">
        <v>117</v>
      </c>
      <c r="B24" s="57">
        <f>'Ex post LI &amp; Eligibility Stats'!B11*1929/1000</f>
        <v>0.61727999999999994</v>
      </c>
      <c r="C24" s="57">
        <f>'Ex post LI &amp; Eligibility Stats'!C11*1911/1000</f>
        <v>0.61151999999999995</v>
      </c>
      <c r="D24" s="57">
        <f>'Ex post LI &amp; Eligibility Stats'!D11*1490/1000</f>
        <v>0.44742484480142591</v>
      </c>
      <c r="E24" s="57">
        <f>'Ex post LI &amp; Eligibility Stats'!E11*1490/1000</f>
        <v>0.44742484480142591</v>
      </c>
      <c r="F24" s="57">
        <f>'Ex post LI &amp; Eligibility Stats'!F11*1490/1000</f>
        <v>0.44742484480142591</v>
      </c>
      <c r="G24" s="57">
        <f>'Ex post LI &amp; Eligibility Stats'!G11*1490/1000</f>
        <v>0.44742484480142591</v>
      </c>
      <c r="H24" s="57">
        <v>0</v>
      </c>
      <c r="I24" s="57">
        <v>0</v>
      </c>
      <c r="J24" s="57">
        <v>0</v>
      </c>
      <c r="K24" s="57">
        <v>0</v>
      </c>
      <c r="L24" s="57">
        <v>0</v>
      </c>
      <c r="M24" s="57">
        <v>0</v>
      </c>
    </row>
    <row r="25" spans="1:14" s="43" customFormat="1" ht="13">
      <c r="A25" s="166" t="s">
        <v>91</v>
      </c>
      <c r="B25" s="106">
        <f t="shared" ref="B25:H25" si="5">SUM(B22:B24)</f>
        <v>6.5625600000000013</v>
      </c>
      <c r="C25" s="60">
        <f t="shared" si="5"/>
        <v>6.5465600000000004</v>
      </c>
      <c r="D25" s="60">
        <f t="shared" si="5"/>
        <v>5.9102119432091724</v>
      </c>
      <c r="E25" s="60">
        <f t="shared" ref="E25" si="6">SUM(E22:E24)</f>
        <v>5.9825806597173221</v>
      </c>
      <c r="F25" s="60">
        <f t="shared" ref="F25" si="7">SUM(F22:F24)</f>
        <v>5.9309316172301774</v>
      </c>
      <c r="G25" s="60">
        <f t="shared" si="5"/>
        <v>5.1387794423401356</v>
      </c>
      <c r="H25" s="60">
        <f t="shared" si="5"/>
        <v>0</v>
      </c>
      <c r="I25" s="60">
        <f t="shared" ref="I25:J25" si="8">SUM(I22:I24)</f>
        <v>0</v>
      </c>
      <c r="J25" s="60">
        <f t="shared" si="8"/>
        <v>0</v>
      </c>
      <c r="K25" s="60">
        <f>SUM(K22:K24)</f>
        <v>0</v>
      </c>
      <c r="L25" s="60">
        <f>SUM(L22:L24)</f>
        <v>0</v>
      </c>
      <c r="M25" s="60">
        <f t="shared" ref="M25" si="9">SUM(M22:M24)</f>
        <v>0</v>
      </c>
    </row>
    <row r="26" spans="1:14" s="51" customFormat="1" ht="13">
      <c r="A26" s="43"/>
      <c r="B26" s="47"/>
      <c r="C26" s="49"/>
      <c r="D26" s="49"/>
      <c r="E26" s="49"/>
      <c r="F26" s="49"/>
      <c r="G26" s="49"/>
    </row>
    <row r="27" spans="1:14" ht="14">
      <c r="A27" s="247" t="s">
        <v>63</v>
      </c>
      <c r="G27" s="45"/>
    </row>
    <row r="28" spans="1:14" ht="15.5">
      <c r="A28" s="366" t="s">
        <v>120</v>
      </c>
      <c r="G28" s="45"/>
    </row>
    <row r="29" spans="1:14" ht="15.5">
      <c r="A29" s="367"/>
      <c r="C29" s="45"/>
      <c r="D29" s="45"/>
      <c r="E29" s="45"/>
      <c r="F29" s="45"/>
      <c r="G29" s="45"/>
    </row>
    <row r="30" spans="1:14">
      <c r="C30" s="45"/>
      <c r="D30" s="45"/>
      <c r="E30" s="45"/>
      <c r="F30" s="45"/>
      <c r="G30" s="45"/>
    </row>
    <row r="31" spans="1:14" ht="21.75" customHeight="1">
      <c r="A31" s="94"/>
      <c r="B31" s="164" t="s">
        <v>10</v>
      </c>
      <c r="C31" s="164" t="s">
        <v>28</v>
      </c>
      <c r="D31" s="164" t="s">
        <v>43</v>
      </c>
      <c r="E31" s="164" t="s">
        <v>44</v>
      </c>
      <c r="F31" s="164" t="s">
        <v>113</v>
      </c>
      <c r="G31" s="164" t="s">
        <v>45</v>
      </c>
      <c r="H31" s="164" t="s">
        <v>59</v>
      </c>
      <c r="I31" s="164" t="s">
        <v>66</v>
      </c>
      <c r="J31" s="164" t="s">
        <v>67</v>
      </c>
      <c r="K31" s="164" t="s">
        <v>61</v>
      </c>
      <c r="L31" s="164" t="s">
        <v>68</v>
      </c>
      <c r="M31" s="165" t="s">
        <v>62</v>
      </c>
    </row>
    <row r="32" spans="1:14" ht="52">
      <c r="A32" s="274" t="s">
        <v>114</v>
      </c>
      <c r="B32" s="128" t="s">
        <v>121</v>
      </c>
      <c r="C32" s="128" t="str">
        <f>B32</f>
        <v>Technology Deployment- Commercial MWs</v>
      </c>
      <c r="D32" s="128" t="str">
        <f>B32</f>
        <v>Technology Deployment- Commercial MWs</v>
      </c>
      <c r="E32" s="128" t="str">
        <f t="shared" ref="E32" si="10">C32</f>
        <v>Technology Deployment- Commercial MWs</v>
      </c>
      <c r="F32" s="128" t="str">
        <f t="shared" ref="F32" si="11">D32</f>
        <v>Technology Deployment- Commercial MWs</v>
      </c>
      <c r="G32" s="128" t="str">
        <f t="shared" ref="G32" si="12">E32</f>
        <v>Technology Deployment- Commercial MWs</v>
      </c>
      <c r="H32" s="128" t="str">
        <f t="shared" ref="H32" si="13">F32</f>
        <v>Technology Deployment- Commercial MWs</v>
      </c>
      <c r="I32" s="128" t="s">
        <v>122</v>
      </c>
      <c r="J32" s="128" t="str">
        <f t="shared" ref="J32" si="14">H32</f>
        <v>Technology Deployment- Commercial MWs</v>
      </c>
      <c r="K32" s="128" t="str">
        <f>B32</f>
        <v>Technology Deployment- Commercial MWs</v>
      </c>
      <c r="L32" s="128" t="s">
        <v>122</v>
      </c>
      <c r="M32" s="128" t="str">
        <f t="shared" ref="M32" si="15">K32</f>
        <v>Technology Deployment- Commercial MWs</v>
      </c>
    </row>
    <row r="33" spans="1:13">
      <c r="A33" s="167" t="s">
        <v>20</v>
      </c>
      <c r="B33" s="57">
        <f>'Program MW '!D15</f>
        <v>0.32384000000000002</v>
      </c>
      <c r="C33" s="57">
        <f>'Program MW '!G15</f>
        <v>0.32384000000000002</v>
      </c>
      <c r="D33" s="57">
        <f>'Program MW '!J15</f>
        <v>0.12431036806106567</v>
      </c>
      <c r="E33" s="57">
        <f>'Program MW '!M15</f>
        <v>0.12431036806106567</v>
      </c>
      <c r="F33" s="57">
        <f>'Program MW '!P15</f>
        <v>0.11874423217773437</v>
      </c>
      <c r="G33" s="57">
        <f>'Program MW '!R15</f>
        <v>0.20210570478439333</v>
      </c>
      <c r="H33" s="57">
        <v>0</v>
      </c>
      <c r="I33" s="57">
        <v>0</v>
      </c>
      <c r="J33" s="57">
        <v>0</v>
      </c>
      <c r="K33" s="57">
        <v>0</v>
      </c>
      <c r="L33" s="57">
        <v>0</v>
      </c>
      <c r="M33" s="57">
        <v>0</v>
      </c>
    </row>
    <row r="34" spans="1:13">
      <c r="A34" s="167" t="s">
        <v>26</v>
      </c>
      <c r="B34" s="57">
        <f>'Ex post LI &amp; Eligibility Stats'!B12*741/1000</f>
        <v>0.34086</v>
      </c>
      <c r="C34" s="57">
        <f>'Ex post LI &amp; Eligibility Stats'!C12*738/1000</f>
        <v>0.33948</v>
      </c>
      <c r="D34" s="57">
        <f>'Ex post LI &amp; Eligibility Stats'!D12*483/1000</f>
        <v>0.22403696930408479</v>
      </c>
      <c r="E34" s="57">
        <f>'Ex post LI &amp; Eligibility Stats'!E12*483/1000</f>
        <v>0.22403696930408479</v>
      </c>
      <c r="F34" s="57">
        <f>'Ex post LI &amp; Eligibility Stats'!F12*472/1000</f>
        <v>0.21893467807769776</v>
      </c>
      <c r="G34" s="57">
        <f>'Ex post LI &amp; Eligibility Stats'!G12*396/1000</f>
        <v>0.18368248414993285</v>
      </c>
      <c r="H34" s="57">
        <v>0</v>
      </c>
      <c r="I34" s="57">
        <v>0</v>
      </c>
      <c r="J34" s="57">
        <v>0</v>
      </c>
      <c r="K34" s="57">
        <v>0</v>
      </c>
      <c r="L34" s="57">
        <v>0</v>
      </c>
      <c r="M34" s="57">
        <v>0</v>
      </c>
    </row>
    <row r="35" spans="1:13">
      <c r="A35" s="434" t="s">
        <v>55</v>
      </c>
      <c r="B35" s="413">
        <v>0</v>
      </c>
      <c r="C35" s="413">
        <v>0</v>
      </c>
      <c r="D35" s="413">
        <v>0</v>
      </c>
      <c r="E35" s="413">
        <v>0</v>
      </c>
      <c r="F35" s="413">
        <v>0</v>
      </c>
      <c r="G35" s="413">
        <v>0</v>
      </c>
      <c r="H35" s="57">
        <v>0</v>
      </c>
      <c r="I35" s="57">
        <v>0</v>
      </c>
      <c r="J35" s="57">
        <v>0</v>
      </c>
      <c r="K35" s="57">
        <v>0</v>
      </c>
      <c r="L35" s="57">
        <v>0</v>
      </c>
      <c r="M35" s="57">
        <v>0</v>
      </c>
    </row>
    <row r="36" spans="1:13">
      <c r="A36" s="167" t="s">
        <v>89</v>
      </c>
      <c r="B36" s="57">
        <f>'Ex post LI &amp; Eligibility Stats'!B12*364/1000</f>
        <v>0.16744000000000001</v>
      </c>
      <c r="C36" s="57">
        <f>'Ex post LI &amp; Eligibility Stats'!C12*360/1000</f>
        <v>0.1656</v>
      </c>
      <c r="D36" s="57">
        <f>'Ex post LI &amp; Eligibility Stats'!D12*297/1000</f>
        <v>0.13776186311244965</v>
      </c>
      <c r="E36" s="57">
        <f>'Ex post LI &amp; Eligibility Stats'!E12*294/1000</f>
        <v>0.13637032914161681</v>
      </c>
      <c r="F36" s="57">
        <f>'Ex post LI &amp; Eligibility Stats'!F12*280/1000</f>
        <v>0.12987650394439698</v>
      </c>
      <c r="G36" s="57">
        <f>'Ex post LI &amp; Eligibility Stats'!G12*235/1000</f>
        <v>0.1090034943819046</v>
      </c>
      <c r="H36" s="57">
        <v>0</v>
      </c>
      <c r="I36" s="57">
        <v>0</v>
      </c>
      <c r="J36" s="57">
        <v>0</v>
      </c>
      <c r="K36" s="57">
        <v>0</v>
      </c>
      <c r="L36" s="57">
        <v>0</v>
      </c>
      <c r="M36" s="57">
        <v>0</v>
      </c>
    </row>
    <row r="37" spans="1:13">
      <c r="A37" s="167" t="s">
        <v>90</v>
      </c>
      <c r="B37" s="57">
        <v>0</v>
      </c>
      <c r="C37" s="57">
        <v>0</v>
      </c>
      <c r="D37" s="57">
        <f>'Program MW '!F18</f>
        <v>0</v>
      </c>
      <c r="E37" s="57">
        <f>'Program MW '!G18</f>
        <v>0</v>
      </c>
      <c r="F37" s="57">
        <v>0</v>
      </c>
      <c r="G37" s="57">
        <v>0</v>
      </c>
      <c r="H37" s="57">
        <v>0</v>
      </c>
      <c r="I37" s="57">
        <v>0</v>
      </c>
      <c r="J37" s="57">
        <v>0</v>
      </c>
      <c r="K37" s="57">
        <v>0</v>
      </c>
      <c r="L37" s="57">
        <v>0</v>
      </c>
      <c r="M37" s="57">
        <v>0</v>
      </c>
    </row>
    <row r="38" spans="1:13">
      <c r="A38" s="167" t="s">
        <v>116</v>
      </c>
      <c r="B38" s="57">
        <f>'Ex post LI &amp; Eligibility Stats'!B14*570/1000</f>
        <v>2.8500000000000001E-2</v>
      </c>
      <c r="C38" s="57">
        <f>'Ex post LI &amp; Eligibility Stats'!C14*570/1000</f>
        <v>2.8500000000000001E-2</v>
      </c>
      <c r="D38" s="57">
        <f>'Program MW '!F19</f>
        <v>0</v>
      </c>
      <c r="E38" s="57">
        <f>'Program MW '!G19</f>
        <v>0</v>
      </c>
      <c r="F38" s="57">
        <v>0</v>
      </c>
      <c r="G38" s="57">
        <v>0</v>
      </c>
      <c r="H38" s="57">
        <v>0</v>
      </c>
      <c r="I38" s="57">
        <v>0</v>
      </c>
      <c r="J38" s="57">
        <v>0</v>
      </c>
      <c r="K38" s="57">
        <v>0</v>
      </c>
      <c r="L38" s="57">
        <v>0</v>
      </c>
      <c r="M38" s="57">
        <v>0</v>
      </c>
    </row>
    <row r="39" spans="1:13">
      <c r="A39" s="167" t="s">
        <v>117</v>
      </c>
      <c r="B39" s="57">
        <f>'Ex post LI &amp; Eligibility Stats'!B15*2/1000</f>
        <v>3.5999999999999997E-2</v>
      </c>
      <c r="C39" s="57">
        <f>'Ex post LI &amp; Eligibility Stats'!C15*2/1000</f>
        <v>3.5999999999999997E-2</v>
      </c>
      <c r="D39" s="57">
        <f>'Ex post LI &amp; Eligibility Stats'!D15*1/1000</f>
        <v>1.7953320000000002E-2</v>
      </c>
      <c r="E39" s="57">
        <f>'Ex post LI &amp; Eligibility Stats'!E15*1/1000</f>
        <v>1.7953320000000002E-2</v>
      </c>
      <c r="F39" s="57">
        <v>0</v>
      </c>
      <c r="G39" s="57">
        <v>0</v>
      </c>
      <c r="H39" s="57">
        <v>0</v>
      </c>
      <c r="I39" s="57">
        <v>0</v>
      </c>
      <c r="J39" s="57">
        <v>0</v>
      </c>
      <c r="K39" s="57">
        <v>0</v>
      </c>
      <c r="L39" s="57">
        <v>0</v>
      </c>
      <c r="M39" s="57">
        <v>0</v>
      </c>
    </row>
    <row r="40" spans="1:13" s="43" customFormat="1" ht="13">
      <c r="A40" s="166" t="s">
        <v>91</v>
      </c>
      <c r="B40" s="106">
        <f t="shared" ref="B40:C40" si="16">SUM(B33:B39)</f>
        <v>0.8966400000000001</v>
      </c>
      <c r="C40" s="106">
        <f t="shared" si="16"/>
        <v>0.89341999999999999</v>
      </c>
      <c r="D40" s="106">
        <f t="shared" ref="D40:M40" si="17">SUM(D33:D39)</f>
        <v>0.50406252047760014</v>
      </c>
      <c r="E40" s="106">
        <f t="shared" ref="E40" si="18">SUM(E33:E39)</f>
        <v>0.50267098650676734</v>
      </c>
      <c r="F40" s="106">
        <f t="shared" ref="F40" si="19">SUM(F33:F39)</f>
        <v>0.4675554141998291</v>
      </c>
      <c r="G40" s="106">
        <f t="shared" si="17"/>
        <v>0.4947916833162308</v>
      </c>
      <c r="H40" s="106">
        <f t="shared" si="17"/>
        <v>0</v>
      </c>
      <c r="I40" s="106">
        <f t="shared" si="17"/>
        <v>0</v>
      </c>
      <c r="J40" s="106">
        <f t="shared" ref="J40" si="20">SUM(J33:J39)</f>
        <v>0</v>
      </c>
      <c r="K40" s="106">
        <f>SUM(K33:K39)</f>
        <v>0</v>
      </c>
      <c r="L40" s="106">
        <f>SUM(L33:L39)</f>
        <v>0</v>
      </c>
      <c r="M40" s="106">
        <f t="shared" si="17"/>
        <v>0</v>
      </c>
    </row>
    <row r="41" spans="1:13">
      <c r="C41" s="45"/>
      <c r="D41" s="45"/>
      <c r="E41" s="45"/>
      <c r="F41" s="45"/>
      <c r="G41" s="45"/>
    </row>
    <row r="42" spans="1:13" ht="14">
      <c r="A42" s="247" t="s">
        <v>63</v>
      </c>
      <c r="G42" s="45"/>
    </row>
    <row r="43" spans="1:13" ht="14">
      <c r="A43" s="440"/>
      <c r="B43" s="199"/>
      <c r="C43" s="199"/>
      <c r="D43" s="285"/>
      <c r="E43" s="285"/>
      <c r="F43" s="285"/>
      <c r="G43" s="199"/>
      <c r="H43" s="199"/>
      <c r="I43" s="199"/>
      <c r="J43" s="199"/>
      <c r="K43" s="199"/>
    </row>
    <row r="44" spans="1:13" ht="14">
      <c r="A44" s="248" t="s">
        <v>64</v>
      </c>
    </row>
    <row r="46" spans="1:13" ht="14.5">
      <c r="A46" s="147" t="s">
        <v>56</v>
      </c>
    </row>
    <row r="48" spans="1:13">
      <c r="A48" s="208"/>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90" zoomScaleNormal="90" workbookViewId="0">
      <pane xSplit="1" ySplit="10" topLeftCell="B11" activePane="bottomRight" state="frozen"/>
      <selection activeCell="B55" sqref="B55"/>
      <selection pane="topRight" activeCell="B55" sqref="B55"/>
      <selection pane="bottomLeft" activeCell="B55" sqref="B55"/>
      <selection pane="bottomRight" activeCell="B55" sqref="B55"/>
    </sheetView>
  </sheetViews>
  <sheetFormatPr defaultRowHeight="12"/>
  <cols>
    <col min="1" max="1" width="84.26953125" style="263" customWidth="1"/>
    <col min="2" max="3" width="12.7265625" style="263" customWidth="1"/>
    <col min="4" max="4" width="9.453125" style="263" bestFit="1" customWidth="1"/>
    <col min="5" max="10" width="12.7265625" style="263" customWidth="1"/>
    <col min="11" max="11" width="10.7265625" style="263" customWidth="1"/>
    <col min="12" max="13" width="12.7265625" style="263" customWidth="1"/>
    <col min="14" max="15" width="16.54296875" style="263" customWidth="1"/>
    <col min="16" max="16" width="16.54296875" style="263" hidden="1" customWidth="1"/>
    <col min="17" max="17" width="16.54296875" style="263" customWidth="1"/>
    <col min="18" max="256" width="9.26953125" style="263"/>
    <col min="257" max="257" width="70" style="263" customWidth="1"/>
    <col min="258" max="269" width="12.7265625" style="263" customWidth="1"/>
    <col min="270" max="270" width="11" style="263" customWidth="1"/>
    <col min="271" max="271" width="0" style="263" hidden="1" customWidth="1"/>
    <col min="272" max="273" width="11.7265625" style="263" customWidth="1"/>
    <col min="274" max="512" width="9.26953125" style="263"/>
    <col min="513" max="513" width="70" style="263" customWidth="1"/>
    <col min="514" max="525" width="12.7265625" style="263" customWidth="1"/>
    <col min="526" max="526" width="11" style="263" customWidth="1"/>
    <col min="527" max="527" width="0" style="263" hidden="1" customWidth="1"/>
    <col min="528" max="529" width="11.7265625" style="263" customWidth="1"/>
    <col min="530" max="768" width="9.26953125" style="263"/>
    <col min="769" max="769" width="70" style="263" customWidth="1"/>
    <col min="770" max="781" width="12.7265625" style="263" customWidth="1"/>
    <col min="782" max="782" width="11" style="263" customWidth="1"/>
    <col min="783" max="783" width="0" style="263" hidden="1" customWidth="1"/>
    <col min="784" max="785" width="11.7265625" style="263" customWidth="1"/>
    <col min="786" max="1024" width="9.26953125" style="263"/>
    <col min="1025" max="1025" width="70" style="263" customWidth="1"/>
    <col min="1026" max="1037" width="12.7265625" style="263" customWidth="1"/>
    <col min="1038" max="1038" width="11" style="263" customWidth="1"/>
    <col min="1039" max="1039" width="0" style="263" hidden="1" customWidth="1"/>
    <col min="1040" max="1041" width="11.7265625" style="263" customWidth="1"/>
    <col min="1042" max="1280" width="9.26953125" style="263"/>
    <col min="1281" max="1281" width="70" style="263" customWidth="1"/>
    <col min="1282" max="1293" width="12.7265625" style="263" customWidth="1"/>
    <col min="1294" max="1294" width="11" style="263" customWidth="1"/>
    <col min="1295" max="1295" width="0" style="263" hidden="1" customWidth="1"/>
    <col min="1296" max="1297" width="11.7265625" style="263" customWidth="1"/>
    <col min="1298" max="1536" width="9.26953125" style="263"/>
    <col min="1537" max="1537" width="70" style="263" customWidth="1"/>
    <col min="1538" max="1549" width="12.7265625" style="263" customWidth="1"/>
    <col min="1550" max="1550" width="11" style="263" customWidth="1"/>
    <col min="1551" max="1551" width="0" style="263" hidden="1" customWidth="1"/>
    <col min="1552" max="1553" width="11.7265625" style="263" customWidth="1"/>
    <col min="1554" max="1792" width="9.26953125" style="263"/>
    <col min="1793" max="1793" width="70" style="263" customWidth="1"/>
    <col min="1794" max="1805" width="12.7265625" style="263" customWidth="1"/>
    <col min="1806" max="1806" width="11" style="263" customWidth="1"/>
    <col min="1807" max="1807" width="0" style="263" hidden="1" customWidth="1"/>
    <col min="1808" max="1809" width="11.7265625" style="263" customWidth="1"/>
    <col min="1810" max="2048" width="9.26953125" style="263"/>
    <col min="2049" max="2049" width="70" style="263" customWidth="1"/>
    <col min="2050" max="2061" width="12.7265625" style="263" customWidth="1"/>
    <col min="2062" max="2062" width="11" style="263" customWidth="1"/>
    <col min="2063" max="2063" width="0" style="263" hidden="1" customWidth="1"/>
    <col min="2064" max="2065" width="11.7265625" style="263" customWidth="1"/>
    <col min="2066" max="2304" width="9.26953125" style="263"/>
    <col min="2305" max="2305" width="70" style="263" customWidth="1"/>
    <col min="2306" max="2317" width="12.7265625" style="263" customWidth="1"/>
    <col min="2318" max="2318" width="11" style="263" customWidth="1"/>
    <col min="2319" max="2319" width="0" style="263" hidden="1" customWidth="1"/>
    <col min="2320" max="2321" width="11.7265625" style="263" customWidth="1"/>
    <col min="2322" max="2560" width="9.26953125" style="263"/>
    <col min="2561" max="2561" width="70" style="263" customWidth="1"/>
    <col min="2562" max="2573" width="12.7265625" style="263" customWidth="1"/>
    <col min="2574" max="2574" width="11" style="263" customWidth="1"/>
    <col min="2575" max="2575" width="0" style="263" hidden="1" customWidth="1"/>
    <col min="2576" max="2577" width="11.7265625" style="263" customWidth="1"/>
    <col min="2578" max="2816" width="9.26953125" style="263"/>
    <col min="2817" max="2817" width="70" style="263" customWidth="1"/>
    <col min="2818" max="2829" width="12.7265625" style="263" customWidth="1"/>
    <col min="2830" max="2830" width="11" style="263" customWidth="1"/>
    <col min="2831" max="2831" width="0" style="263" hidden="1" customWidth="1"/>
    <col min="2832" max="2833" width="11.7265625" style="263" customWidth="1"/>
    <col min="2834" max="3072" width="9.26953125" style="263"/>
    <col min="3073" max="3073" width="70" style="263" customWidth="1"/>
    <col min="3074" max="3085" width="12.7265625" style="263" customWidth="1"/>
    <col min="3086" max="3086" width="11" style="263" customWidth="1"/>
    <col min="3087" max="3087" width="0" style="263" hidden="1" customWidth="1"/>
    <col min="3088" max="3089" width="11.7265625" style="263" customWidth="1"/>
    <col min="3090" max="3328" width="9.26953125" style="263"/>
    <col min="3329" max="3329" width="70" style="263" customWidth="1"/>
    <col min="3330" max="3341" width="12.7265625" style="263" customWidth="1"/>
    <col min="3342" max="3342" width="11" style="263" customWidth="1"/>
    <col min="3343" max="3343" width="0" style="263" hidden="1" customWidth="1"/>
    <col min="3344" max="3345" width="11.7265625" style="263" customWidth="1"/>
    <col min="3346" max="3584" width="9.26953125" style="263"/>
    <col min="3585" max="3585" width="70" style="263" customWidth="1"/>
    <col min="3586" max="3597" width="12.7265625" style="263" customWidth="1"/>
    <col min="3598" max="3598" width="11" style="263" customWidth="1"/>
    <col min="3599" max="3599" width="0" style="263" hidden="1" customWidth="1"/>
    <col min="3600" max="3601" width="11.7265625" style="263" customWidth="1"/>
    <col min="3602" max="3840" width="9.26953125" style="263"/>
    <col min="3841" max="3841" width="70" style="263" customWidth="1"/>
    <col min="3842" max="3853" width="12.7265625" style="263" customWidth="1"/>
    <col min="3854" max="3854" width="11" style="263" customWidth="1"/>
    <col min="3855" max="3855" width="0" style="263" hidden="1" customWidth="1"/>
    <col min="3856" max="3857" width="11.7265625" style="263" customWidth="1"/>
    <col min="3858" max="4096" width="9.26953125" style="263"/>
    <col min="4097" max="4097" width="70" style="263" customWidth="1"/>
    <col min="4098" max="4109" width="12.7265625" style="263" customWidth="1"/>
    <col min="4110" max="4110" width="11" style="263" customWidth="1"/>
    <col min="4111" max="4111" width="0" style="263" hidden="1" customWidth="1"/>
    <col min="4112" max="4113" width="11.7265625" style="263" customWidth="1"/>
    <col min="4114" max="4352" width="9.26953125" style="263"/>
    <col min="4353" max="4353" width="70" style="263" customWidth="1"/>
    <col min="4354" max="4365" width="12.7265625" style="263" customWidth="1"/>
    <col min="4366" max="4366" width="11" style="263" customWidth="1"/>
    <col min="4367" max="4367" width="0" style="263" hidden="1" customWidth="1"/>
    <col min="4368" max="4369" width="11.7265625" style="263" customWidth="1"/>
    <col min="4370" max="4608" width="9.26953125" style="263"/>
    <col min="4609" max="4609" width="70" style="263" customWidth="1"/>
    <col min="4610" max="4621" width="12.7265625" style="263" customWidth="1"/>
    <col min="4622" max="4622" width="11" style="263" customWidth="1"/>
    <col min="4623" max="4623" width="0" style="263" hidden="1" customWidth="1"/>
    <col min="4624" max="4625" width="11.7265625" style="263" customWidth="1"/>
    <col min="4626" max="4864" width="9.26953125" style="263"/>
    <col min="4865" max="4865" width="70" style="263" customWidth="1"/>
    <col min="4866" max="4877" width="12.7265625" style="263" customWidth="1"/>
    <col min="4878" max="4878" width="11" style="263" customWidth="1"/>
    <col min="4879" max="4879" width="0" style="263" hidden="1" customWidth="1"/>
    <col min="4880" max="4881" width="11.7265625" style="263" customWidth="1"/>
    <col min="4882" max="5120" width="9.26953125" style="263"/>
    <col min="5121" max="5121" width="70" style="263" customWidth="1"/>
    <col min="5122" max="5133" width="12.7265625" style="263" customWidth="1"/>
    <col min="5134" max="5134" width="11" style="263" customWidth="1"/>
    <col min="5135" max="5135" width="0" style="263" hidden="1" customWidth="1"/>
    <col min="5136" max="5137" width="11.7265625" style="263" customWidth="1"/>
    <col min="5138" max="5376" width="9.26953125" style="263"/>
    <col min="5377" max="5377" width="70" style="263" customWidth="1"/>
    <col min="5378" max="5389" width="12.7265625" style="263" customWidth="1"/>
    <col min="5390" max="5390" width="11" style="263" customWidth="1"/>
    <col min="5391" max="5391" width="0" style="263" hidden="1" customWidth="1"/>
    <col min="5392" max="5393" width="11.7265625" style="263" customWidth="1"/>
    <col min="5394" max="5632" width="9.26953125" style="263"/>
    <col min="5633" max="5633" width="70" style="263" customWidth="1"/>
    <col min="5634" max="5645" width="12.7265625" style="263" customWidth="1"/>
    <col min="5646" max="5646" width="11" style="263" customWidth="1"/>
    <col min="5647" max="5647" width="0" style="263" hidden="1" customWidth="1"/>
    <col min="5648" max="5649" width="11.7265625" style="263" customWidth="1"/>
    <col min="5650" max="5888" width="9.26953125" style="263"/>
    <col min="5889" max="5889" width="70" style="263" customWidth="1"/>
    <col min="5890" max="5901" width="12.7265625" style="263" customWidth="1"/>
    <col min="5902" max="5902" width="11" style="263" customWidth="1"/>
    <col min="5903" max="5903" width="0" style="263" hidden="1" customWidth="1"/>
    <col min="5904" max="5905" width="11.7265625" style="263" customWidth="1"/>
    <col min="5906" max="6144" width="9.26953125" style="263"/>
    <col min="6145" max="6145" width="70" style="263" customWidth="1"/>
    <col min="6146" max="6157" width="12.7265625" style="263" customWidth="1"/>
    <col min="6158" max="6158" width="11" style="263" customWidth="1"/>
    <col min="6159" max="6159" width="0" style="263" hidden="1" customWidth="1"/>
    <col min="6160" max="6161" width="11.7265625" style="263" customWidth="1"/>
    <col min="6162" max="6400" width="9.26953125" style="263"/>
    <col min="6401" max="6401" width="70" style="263" customWidth="1"/>
    <col min="6402" max="6413" width="12.7265625" style="263" customWidth="1"/>
    <col min="6414" max="6414" width="11" style="263" customWidth="1"/>
    <col min="6415" max="6415" width="0" style="263" hidden="1" customWidth="1"/>
    <col min="6416" max="6417" width="11.7265625" style="263" customWidth="1"/>
    <col min="6418" max="6656" width="9.26953125" style="263"/>
    <col min="6657" max="6657" width="70" style="263" customWidth="1"/>
    <col min="6658" max="6669" width="12.7265625" style="263" customWidth="1"/>
    <col min="6670" max="6670" width="11" style="263" customWidth="1"/>
    <col min="6671" max="6671" width="0" style="263" hidden="1" customWidth="1"/>
    <col min="6672" max="6673" width="11.7265625" style="263" customWidth="1"/>
    <col min="6674" max="6912" width="9.26953125" style="263"/>
    <col min="6913" max="6913" width="70" style="263" customWidth="1"/>
    <col min="6914" max="6925" width="12.7265625" style="263" customWidth="1"/>
    <col min="6926" max="6926" width="11" style="263" customWidth="1"/>
    <col min="6927" max="6927" width="0" style="263" hidden="1" customWidth="1"/>
    <col min="6928" max="6929" width="11.7265625" style="263" customWidth="1"/>
    <col min="6930" max="7168" width="9.26953125" style="263"/>
    <col min="7169" max="7169" width="70" style="263" customWidth="1"/>
    <col min="7170" max="7181" width="12.7265625" style="263" customWidth="1"/>
    <col min="7182" max="7182" width="11" style="263" customWidth="1"/>
    <col min="7183" max="7183" width="0" style="263" hidden="1" customWidth="1"/>
    <col min="7184" max="7185" width="11.7265625" style="263" customWidth="1"/>
    <col min="7186" max="7424" width="9.26953125" style="263"/>
    <col min="7425" max="7425" width="70" style="263" customWidth="1"/>
    <col min="7426" max="7437" width="12.7265625" style="263" customWidth="1"/>
    <col min="7438" max="7438" width="11" style="263" customWidth="1"/>
    <col min="7439" max="7439" width="0" style="263" hidden="1" customWidth="1"/>
    <col min="7440" max="7441" width="11.7265625" style="263" customWidth="1"/>
    <col min="7442" max="7680" width="9.26953125" style="263"/>
    <col min="7681" max="7681" width="70" style="263" customWidth="1"/>
    <col min="7682" max="7693" width="12.7265625" style="263" customWidth="1"/>
    <col min="7694" max="7694" width="11" style="263" customWidth="1"/>
    <col min="7695" max="7695" width="0" style="263" hidden="1" customWidth="1"/>
    <col min="7696" max="7697" width="11.7265625" style="263" customWidth="1"/>
    <col min="7698" max="7936" width="9.26953125" style="263"/>
    <col min="7937" max="7937" width="70" style="263" customWidth="1"/>
    <col min="7938" max="7949" width="12.7265625" style="263" customWidth="1"/>
    <col min="7950" max="7950" width="11" style="263" customWidth="1"/>
    <col min="7951" max="7951" width="0" style="263" hidden="1" customWidth="1"/>
    <col min="7952" max="7953" width="11.7265625" style="263" customWidth="1"/>
    <col min="7954" max="8192" width="9.26953125" style="263"/>
    <col min="8193" max="8193" width="70" style="263" customWidth="1"/>
    <col min="8194" max="8205" width="12.7265625" style="263" customWidth="1"/>
    <col min="8206" max="8206" width="11" style="263" customWidth="1"/>
    <col min="8207" max="8207" width="0" style="263" hidden="1" customWidth="1"/>
    <col min="8208" max="8209" width="11.7265625" style="263" customWidth="1"/>
    <col min="8210" max="8448" width="9.26953125" style="263"/>
    <col min="8449" max="8449" width="70" style="263" customWidth="1"/>
    <col min="8450" max="8461" width="12.7265625" style="263" customWidth="1"/>
    <col min="8462" max="8462" width="11" style="263" customWidth="1"/>
    <col min="8463" max="8463" width="0" style="263" hidden="1" customWidth="1"/>
    <col min="8464" max="8465" width="11.7265625" style="263" customWidth="1"/>
    <col min="8466" max="8704" width="9.26953125" style="263"/>
    <col min="8705" max="8705" width="70" style="263" customWidth="1"/>
    <col min="8706" max="8717" width="12.7265625" style="263" customWidth="1"/>
    <col min="8718" max="8718" width="11" style="263" customWidth="1"/>
    <col min="8719" max="8719" width="0" style="263" hidden="1" customWidth="1"/>
    <col min="8720" max="8721" width="11.7265625" style="263" customWidth="1"/>
    <col min="8722" max="8960" width="9.26953125" style="263"/>
    <col min="8961" max="8961" width="70" style="263" customWidth="1"/>
    <col min="8962" max="8973" width="12.7265625" style="263" customWidth="1"/>
    <col min="8974" max="8974" width="11" style="263" customWidth="1"/>
    <col min="8975" max="8975" width="0" style="263" hidden="1" customWidth="1"/>
    <col min="8976" max="8977" width="11.7265625" style="263" customWidth="1"/>
    <col min="8978" max="9216" width="9.26953125" style="263"/>
    <col min="9217" max="9217" width="70" style="263" customWidth="1"/>
    <col min="9218" max="9229" width="12.7265625" style="263" customWidth="1"/>
    <col min="9230" max="9230" width="11" style="263" customWidth="1"/>
    <col min="9231" max="9231" width="0" style="263" hidden="1" customWidth="1"/>
    <col min="9232" max="9233" width="11.7265625" style="263" customWidth="1"/>
    <col min="9234" max="9472" width="9.26953125" style="263"/>
    <col min="9473" max="9473" width="70" style="263" customWidth="1"/>
    <col min="9474" max="9485" width="12.7265625" style="263" customWidth="1"/>
    <col min="9486" max="9486" width="11" style="263" customWidth="1"/>
    <col min="9487" max="9487" width="0" style="263" hidden="1" customWidth="1"/>
    <col min="9488" max="9489" width="11.7265625" style="263" customWidth="1"/>
    <col min="9490" max="9728" width="9.26953125" style="263"/>
    <col min="9729" max="9729" width="70" style="263" customWidth="1"/>
    <col min="9730" max="9741" width="12.7265625" style="263" customWidth="1"/>
    <col min="9742" max="9742" width="11" style="263" customWidth="1"/>
    <col min="9743" max="9743" width="0" style="263" hidden="1" customWidth="1"/>
    <col min="9744" max="9745" width="11.7265625" style="263" customWidth="1"/>
    <col min="9746" max="9984" width="9.26953125" style="263"/>
    <col min="9985" max="9985" width="70" style="263" customWidth="1"/>
    <col min="9986" max="9997" width="12.7265625" style="263" customWidth="1"/>
    <col min="9998" max="9998" width="11" style="263" customWidth="1"/>
    <col min="9999" max="9999" width="0" style="263" hidden="1" customWidth="1"/>
    <col min="10000" max="10001" width="11.7265625" style="263" customWidth="1"/>
    <col min="10002" max="10240" width="9.26953125" style="263"/>
    <col min="10241" max="10241" width="70" style="263" customWidth="1"/>
    <col min="10242" max="10253" width="12.7265625" style="263" customWidth="1"/>
    <col min="10254" max="10254" width="11" style="263" customWidth="1"/>
    <col min="10255" max="10255" width="0" style="263" hidden="1" customWidth="1"/>
    <col min="10256" max="10257" width="11.7265625" style="263" customWidth="1"/>
    <col min="10258" max="10496" width="9.26953125" style="263"/>
    <col min="10497" max="10497" width="70" style="263" customWidth="1"/>
    <col min="10498" max="10509" width="12.7265625" style="263" customWidth="1"/>
    <col min="10510" max="10510" width="11" style="263" customWidth="1"/>
    <col min="10511" max="10511" width="0" style="263" hidden="1" customWidth="1"/>
    <col min="10512" max="10513" width="11.7265625" style="263" customWidth="1"/>
    <col min="10514" max="10752" width="9.26953125" style="263"/>
    <col min="10753" max="10753" width="70" style="263" customWidth="1"/>
    <col min="10754" max="10765" width="12.7265625" style="263" customWidth="1"/>
    <col min="10766" max="10766" width="11" style="263" customWidth="1"/>
    <col min="10767" max="10767" width="0" style="263" hidden="1" customWidth="1"/>
    <col min="10768" max="10769" width="11.7265625" style="263" customWidth="1"/>
    <col min="10770" max="11008" width="9.26953125" style="263"/>
    <col min="11009" max="11009" width="70" style="263" customWidth="1"/>
    <col min="11010" max="11021" width="12.7265625" style="263" customWidth="1"/>
    <col min="11022" max="11022" width="11" style="263" customWidth="1"/>
    <col min="11023" max="11023" width="0" style="263" hidden="1" customWidth="1"/>
    <col min="11024" max="11025" width="11.7265625" style="263" customWidth="1"/>
    <col min="11026" max="11264" width="9.26953125" style="263"/>
    <col min="11265" max="11265" width="70" style="263" customWidth="1"/>
    <col min="11266" max="11277" width="12.7265625" style="263" customWidth="1"/>
    <col min="11278" max="11278" width="11" style="263" customWidth="1"/>
    <col min="11279" max="11279" width="0" style="263" hidden="1" customWidth="1"/>
    <col min="11280" max="11281" width="11.7265625" style="263" customWidth="1"/>
    <col min="11282" max="11520" width="9.26953125" style="263"/>
    <col min="11521" max="11521" width="70" style="263" customWidth="1"/>
    <col min="11522" max="11533" width="12.7265625" style="263" customWidth="1"/>
    <col min="11534" max="11534" width="11" style="263" customWidth="1"/>
    <col min="11535" max="11535" width="0" style="263" hidden="1" customWidth="1"/>
    <col min="11536" max="11537" width="11.7265625" style="263" customWidth="1"/>
    <col min="11538" max="11776" width="9.26953125" style="263"/>
    <col min="11777" max="11777" width="70" style="263" customWidth="1"/>
    <col min="11778" max="11789" width="12.7265625" style="263" customWidth="1"/>
    <col min="11790" max="11790" width="11" style="263" customWidth="1"/>
    <col min="11791" max="11791" width="0" style="263" hidden="1" customWidth="1"/>
    <col min="11792" max="11793" width="11.7265625" style="263" customWidth="1"/>
    <col min="11794" max="12032" width="9.26953125" style="263"/>
    <col min="12033" max="12033" width="70" style="263" customWidth="1"/>
    <col min="12034" max="12045" width="12.7265625" style="263" customWidth="1"/>
    <col min="12046" max="12046" width="11" style="263" customWidth="1"/>
    <col min="12047" max="12047" width="0" style="263" hidden="1" customWidth="1"/>
    <col min="12048" max="12049" width="11.7265625" style="263" customWidth="1"/>
    <col min="12050" max="12288" width="9.26953125" style="263"/>
    <col min="12289" max="12289" width="70" style="263" customWidth="1"/>
    <col min="12290" max="12301" width="12.7265625" style="263" customWidth="1"/>
    <col min="12302" max="12302" width="11" style="263" customWidth="1"/>
    <col min="12303" max="12303" width="0" style="263" hidden="1" customWidth="1"/>
    <col min="12304" max="12305" width="11.7265625" style="263" customWidth="1"/>
    <col min="12306" max="12544" width="9.26953125" style="263"/>
    <col min="12545" max="12545" width="70" style="263" customWidth="1"/>
    <col min="12546" max="12557" width="12.7265625" style="263" customWidth="1"/>
    <col min="12558" max="12558" width="11" style="263" customWidth="1"/>
    <col min="12559" max="12559" width="0" style="263" hidden="1" customWidth="1"/>
    <col min="12560" max="12561" width="11.7265625" style="263" customWidth="1"/>
    <col min="12562" max="12800" width="9.26953125" style="263"/>
    <col min="12801" max="12801" width="70" style="263" customWidth="1"/>
    <col min="12802" max="12813" width="12.7265625" style="263" customWidth="1"/>
    <col min="12814" max="12814" width="11" style="263" customWidth="1"/>
    <col min="12815" max="12815" width="0" style="263" hidden="1" customWidth="1"/>
    <col min="12816" max="12817" width="11.7265625" style="263" customWidth="1"/>
    <col min="12818" max="13056" width="9.26953125" style="263"/>
    <col min="13057" max="13057" width="70" style="263" customWidth="1"/>
    <col min="13058" max="13069" width="12.7265625" style="263" customWidth="1"/>
    <col min="13070" max="13070" width="11" style="263" customWidth="1"/>
    <col min="13071" max="13071" width="0" style="263" hidden="1" customWidth="1"/>
    <col min="13072" max="13073" width="11.7265625" style="263" customWidth="1"/>
    <col min="13074" max="13312" width="9.26953125" style="263"/>
    <col min="13313" max="13313" width="70" style="263" customWidth="1"/>
    <col min="13314" max="13325" width="12.7265625" style="263" customWidth="1"/>
    <col min="13326" max="13326" width="11" style="263" customWidth="1"/>
    <col min="13327" max="13327" width="0" style="263" hidden="1" customWidth="1"/>
    <col min="13328" max="13329" width="11.7265625" style="263" customWidth="1"/>
    <col min="13330" max="13568" width="9.26953125" style="263"/>
    <col min="13569" max="13569" width="70" style="263" customWidth="1"/>
    <col min="13570" max="13581" width="12.7265625" style="263" customWidth="1"/>
    <col min="13582" max="13582" width="11" style="263" customWidth="1"/>
    <col min="13583" max="13583" width="0" style="263" hidden="1" customWidth="1"/>
    <col min="13584" max="13585" width="11.7265625" style="263" customWidth="1"/>
    <col min="13586" max="13824" width="9.26953125" style="263"/>
    <col min="13825" max="13825" width="70" style="263" customWidth="1"/>
    <col min="13826" max="13837" width="12.7265625" style="263" customWidth="1"/>
    <col min="13838" max="13838" width="11" style="263" customWidth="1"/>
    <col min="13839" max="13839" width="0" style="263" hidden="1" customWidth="1"/>
    <col min="13840" max="13841" width="11.7265625" style="263" customWidth="1"/>
    <col min="13842" max="14080" width="9.26953125" style="263"/>
    <col min="14081" max="14081" width="70" style="263" customWidth="1"/>
    <col min="14082" max="14093" width="12.7265625" style="263" customWidth="1"/>
    <col min="14094" max="14094" width="11" style="263" customWidth="1"/>
    <col min="14095" max="14095" width="0" style="263" hidden="1" customWidth="1"/>
    <col min="14096" max="14097" width="11.7265625" style="263" customWidth="1"/>
    <col min="14098" max="14336" width="9.26953125" style="263"/>
    <col min="14337" max="14337" width="70" style="263" customWidth="1"/>
    <col min="14338" max="14349" width="12.7265625" style="263" customWidth="1"/>
    <col min="14350" max="14350" width="11" style="263" customWidth="1"/>
    <col min="14351" max="14351" width="0" style="263" hidden="1" customWidth="1"/>
    <col min="14352" max="14353" width="11.7265625" style="263" customWidth="1"/>
    <col min="14354" max="14592" width="9.26953125" style="263"/>
    <col min="14593" max="14593" width="70" style="263" customWidth="1"/>
    <col min="14594" max="14605" width="12.7265625" style="263" customWidth="1"/>
    <col min="14606" max="14606" width="11" style="263" customWidth="1"/>
    <col min="14607" max="14607" width="0" style="263" hidden="1" customWidth="1"/>
    <col min="14608" max="14609" width="11.7265625" style="263" customWidth="1"/>
    <col min="14610" max="14848" width="9.26953125" style="263"/>
    <col min="14849" max="14849" width="70" style="263" customWidth="1"/>
    <col min="14850" max="14861" width="12.7265625" style="263" customWidth="1"/>
    <col min="14862" max="14862" width="11" style="263" customWidth="1"/>
    <col min="14863" max="14863" width="0" style="263" hidden="1" customWidth="1"/>
    <col min="14864" max="14865" width="11.7265625" style="263" customWidth="1"/>
    <col min="14866" max="15104" width="9.26953125" style="263"/>
    <col min="15105" max="15105" width="70" style="263" customWidth="1"/>
    <col min="15106" max="15117" width="12.7265625" style="263" customWidth="1"/>
    <col min="15118" max="15118" width="11" style="263" customWidth="1"/>
    <col min="15119" max="15119" width="0" style="263" hidden="1" customWidth="1"/>
    <col min="15120" max="15121" width="11.7265625" style="263" customWidth="1"/>
    <col min="15122" max="15360" width="9.26953125" style="263"/>
    <col min="15361" max="15361" width="70" style="263" customWidth="1"/>
    <col min="15362" max="15373" width="12.7265625" style="263" customWidth="1"/>
    <col min="15374" max="15374" width="11" style="263" customWidth="1"/>
    <col min="15375" max="15375" width="0" style="263" hidden="1" customWidth="1"/>
    <col min="15376" max="15377" width="11.7265625" style="263" customWidth="1"/>
    <col min="15378" max="15616" width="9.26953125" style="263"/>
    <col min="15617" max="15617" width="70" style="263" customWidth="1"/>
    <col min="15618" max="15629" width="12.7265625" style="263" customWidth="1"/>
    <col min="15630" max="15630" width="11" style="263" customWidth="1"/>
    <col min="15631" max="15631" width="0" style="263" hidden="1" customWidth="1"/>
    <col min="15632" max="15633" width="11.7265625" style="263" customWidth="1"/>
    <col min="15634" max="15872" width="9.26953125" style="263"/>
    <col min="15873" max="15873" width="70" style="263" customWidth="1"/>
    <col min="15874" max="15885" width="12.7265625" style="263" customWidth="1"/>
    <col min="15886" max="15886" width="11" style="263" customWidth="1"/>
    <col min="15887" max="15887" width="0" style="263" hidden="1" customWidth="1"/>
    <col min="15888" max="15889" width="11.7265625" style="263" customWidth="1"/>
    <col min="15890" max="16128" width="9.26953125" style="263"/>
    <col min="16129" max="16129" width="70" style="263" customWidth="1"/>
    <col min="16130" max="16141" width="12.7265625" style="263" customWidth="1"/>
    <col min="16142" max="16142" width="11" style="263" customWidth="1"/>
    <col min="16143" max="16143" width="0" style="263" hidden="1" customWidth="1"/>
    <col min="16144" max="16145" width="11.7265625" style="263" customWidth="1"/>
    <col min="16146" max="16384" width="9.26953125" style="263"/>
  </cols>
  <sheetData>
    <row r="1" spans="1:17" ht="13.5" customHeight="1">
      <c r="L1" s="264"/>
      <c r="O1" s="264"/>
      <c r="P1" s="264"/>
      <c r="Q1" s="264"/>
    </row>
    <row r="2" spans="1:17" ht="13.5" customHeight="1">
      <c r="C2" s="371" t="s">
        <v>39</v>
      </c>
      <c r="L2" s="264"/>
      <c r="O2" s="264"/>
      <c r="P2" s="264"/>
      <c r="Q2" s="264"/>
    </row>
    <row r="3" spans="1:17" ht="13.5" customHeight="1">
      <c r="C3" s="371" t="s">
        <v>123</v>
      </c>
      <c r="F3" s="265"/>
      <c r="G3" s="265"/>
      <c r="H3" s="265"/>
      <c r="I3" s="265"/>
      <c r="L3" s="264"/>
      <c r="O3" s="264"/>
      <c r="P3" s="264"/>
      <c r="Q3" s="264"/>
    </row>
    <row r="4" spans="1:17" ht="13.5" customHeight="1">
      <c r="B4" s="265"/>
      <c r="C4" s="372" t="str">
        <f>'Program MW '!H3</f>
        <v>June 2021</v>
      </c>
      <c r="D4" s="265"/>
      <c r="L4" s="264"/>
      <c r="O4" s="264"/>
      <c r="P4" s="264"/>
      <c r="Q4" s="264"/>
    </row>
    <row r="5" spans="1:17" ht="13.5" customHeight="1">
      <c r="L5" s="264"/>
      <c r="O5" s="264"/>
      <c r="P5" s="264"/>
      <c r="Q5" s="264"/>
    </row>
    <row r="6" spans="1:17" s="277" customFormat="1" ht="13.5" customHeight="1"/>
    <row r="7" spans="1:17" s="277" customFormat="1" ht="18" customHeight="1">
      <c r="A7" s="306"/>
      <c r="B7" s="373" t="s">
        <v>254</v>
      </c>
      <c r="C7" s="306"/>
      <c r="D7" s="306"/>
      <c r="E7" s="306"/>
      <c r="F7" s="306"/>
      <c r="G7" s="306"/>
      <c r="H7" s="306"/>
      <c r="I7" s="306"/>
      <c r="J7" s="306"/>
      <c r="K7" s="306"/>
      <c r="L7" s="306"/>
      <c r="M7" s="306"/>
      <c r="N7" s="698" t="s">
        <v>245</v>
      </c>
      <c r="O7" s="696" t="s">
        <v>247</v>
      </c>
      <c r="P7" s="278"/>
      <c r="Q7" s="698" t="s">
        <v>124</v>
      </c>
    </row>
    <row r="8" spans="1:17" s="277" customFormat="1" ht="39" customHeight="1">
      <c r="A8" s="364"/>
      <c r="B8" s="374" t="s">
        <v>41</v>
      </c>
      <c r="C8" s="375" t="s">
        <v>42</v>
      </c>
      <c r="D8" s="375" t="s">
        <v>43</v>
      </c>
      <c r="E8" s="375" t="s">
        <v>44</v>
      </c>
      <c r="F8" s="375" t="s">
        <v>31</v>
      </c>
      <c r="G8" s="375" t="s">
        <v>45</v>
      </c>
      <c r="H8" s="375" t="s">
        <v>59</v>
      </c>
      <c r="I8" s="375" t="s">
        <v>66</v>
      </c>
      <c r="J8" s="375" t="s">
        <v>67</v>
      </c>
      <c r="K8" s="405" t="s">
        <v>125</v>
      </c>
      <c r="L8" s="375" t="s">
        <v>68</v>
      </c>
      <c r="M8" s="375" t="s">
        <v>62</v>
      </c>
      <c r="N8" s="699"/>
      <c r="O8" s="697"/>
      <c r="P8" s="279" t="s">
        <v>126</v>
      </c>
      <c r="Q8" s="699"/>
    </row>
    <row r="9" spans="1:17" s="277" customFormat="1" ht="15.5">
      <c r="A9" s="380" t="s">
        <v>127</v>
      </c>
      <c r="B9" s="363"/>
      <c r="N9" s="311"/>
      <c r="Q9" s="286"/>
    </row>
    <row r="10" spans="1:17" s="277" customFormat="1" ht="13">
      <c r="A10" s="376" t="s">
        <v>128</v>
      </c>
      <c r="B10" s="363"/>
      <c r="C10" s="363"/>
      <c r="D10" s="363"/>
      <c r="E10" s="363"/>
      <c r="F10" s="363"/>
      <c r="G10" s="363"/>
      <c r="H10" s="363"/>
      <c r="I10" s="363"/>
      <c r="J10" s="363"/>
      <c r="K10" s="363"/>
      <c r="L10" s="363"/>
      <c r="M10" s="363"/>
      <c r="N10" s="311"/>
      <c r="O10" s="362"/>
      <c r="P10" s="281"/>
      <c r="Q10" s="287"/>
    </row>
    <row r="11" spans="1:17" s="277" customFormat="1" ht="13">
      <c r="A11" s="377" t="s">
        <v>129</v>
      </c>
      <c r="B11" s="458">
        <v>11850</v>
      </c>
      <c r="C11" s="458">
        <v>31485.81</v>
      </c>
      <c r="D11" s="458">
        <v>36584.06</v>
      </c>
      <c r="E11" s="458">
        <v>25762.2</v>
      </c>
      <c r="F11" s="458">
        <v>10906.94</v>
      </c>
      <c r="G11" s="664">
        <v>9892.69</v>
      </c>
      <c r="H11" s="458">
        <v>0</v>
      </c>
      <c r="I11" s="458">
        <v>0</v>
      </c>
      <c r="J11" s="458">
        <v>0</v>
      </c>
      <c r="K11" s="458">
        <v>0</v>
      </c>
      <c r="L11" s="458">
        <v>0</v>
      </c>
      <c r="M11" s="458">
        <v>0</v>
      </c>
      <c r="N11" s="564">
        <f t="shared" ref="N11:N22" si="0">SUM(B11:M11)</f>
        <v>126481.7</v>
      </c>
      <c r="O11" s="565">
        <f>707141+443068+428874+N11</f>
        <v>1705564.7</v>
      </c>
      <c r="P11" s="566"/>
      <c r="Q11" s="563">
        <f>848010+857842+857842+250000</f>
        <v>2813694</v>
      </c>
    </row>
    <row r="12" spans="1:17" s="277" customFormat="1" ht="15">
      <c r="A12" s="377" t="s">
        <v>255</v>
      </c>
      <c r="B12" s="458">
        <v>0</v>
      </c>
      <c r="C12" s="458">
        <v>0</v>
      </c>
      <c r="D12" s="458">
        <v>315.39999999999998</v>
      </c>
      <c r="E12" s="458">
        <v>67.830000000000041</v>
      </c>
      <c r="F12" s="458">
        <v>335.75</v>
      </c>
      <c r="G12" s="664">
        <v>1234.9299999999998</v>
      </c>
      <c r="H12" s="458">
        <v>0</v>
      </c>
      <c r="I12" s="458">
        <v>0</v>
      </c>
      <c r="J12" s="458">
        <v>0</v>
      </c>
      <c r="K12" s="458">
        <v>0</v>
      </c>
      <c r="L12" s="458">
        <v>0</v>
      </c>
      <c r="M12" s="458">
        <v>0</v>
      </c>
      <c r="N12" s="560">
        <f t="shared" si="0"/>
        <v>1953.9099999999999</v>
      </c>
      <c r="O12" s="561">
        <f>7808+9482+6823+N12</f>
        <v>26066.91</v>
      </c>
      <c r="P12" s="562"/>
      <c r="Q12" s="563">
        <v>35302</v>
      </c>
    </row>
    <row r="13" spans="1:17" s="277" customFormat="1" ht="13">
      <c r="A13" s="377" t="s">
        <v>130</v>
      </c>
      <c r="B13" s="458">
        <v>0</v>
      </c>
      <c r="C13" s="458">
        <v>0</v>
      </c>
      <c r="D13" s="458">
        <v>0</v>
      </c>
      <c r="E13" s="458">
        <v>0</v>
      </c>
      <c r="F13" s="458">
        <v>0</v>
      </c>
      <c r="G13" s="664">
        <v>0</v>
      </c>
      <c r="H13" s="458">
        <v>0</v>
      </c>
      <c r="I13" s="458">
        <v>0</v>
      </c>
      <c r="J13" s="458">
        <v>0</v>
      </c>
      <c r="K13" s="458">
        <v>0</v>
      </c>
      <c r="L13" s="458">
        <v>0</v>
      </c>
      <c r="M13" s="458">
        <v>0</v>
      </c>
      <c r="N13" s="483">
        <f t="shared" si="0"/>
        <v>0</v>
      </c>
      <c r="O13" s="459">
        <f>0+N13</f>
        <v>0</v>
      </c>
      <c r="P13" s="460"/>
      <c r="Q13" s="461">
        <v>1000</v>
      </c>
    </row>
    <row r="14" spans="1:17" s="277" customFormat="1" ht="13">
      <c r="A14" s="377" t="s">
        <v>256</v>
      </c>
      <c r="B14" s="458">
        <v>0</v>
      </c>
      <c r="C14" s="458">
        <v>0</v>
      </c>
      <c r="D14" s="458">
        <v>627</v>
      </c>
      <c r="E14" s="458">
        <v>139.45000000000005</v>
      </c>
      <c r="F14" s="458">
        <v>671.5</v>
      </c>
      <c r="G14" s="664">
        <v>2469.87</v>
      </c>
      <c r="H14" s="458">
        <v>0</v>
      </c>
      <c r="I14" s="458">
        <v>0</v>
      </c>
      <c r="J14" s="458">
        <v>0</v>
      </c>
      <c r="K14" s="458">
        <v>0</v>
      </c>
      <c r="L14" s="458">
        <v>0</v>
      </c>
      <c r="M14" s="458">
        <v>0</v>
      </c>
      <c r="N14" s="483">
        <f t="shared" si="0"/>
        <v>3907.8199999999997</v>
      </c>
      <c r="O14" s="459">
        <f>4889+16666+13948+N14</f>
        <v>39410.82</v>
      </c>
      <c r="P14" s="460"/>
      <c r="Q14" s="461">
        <v>78149</v>
      </c>
    </row>
    <row r="15" spans="1:17" s="277" customFormat="1" ht="15">
      <c r="A15" s="377" t="s">
        <v>257</v>
      </c>
      <c r="B15" s="458">
        <v>0</v>
      </c>
      <c r="C15" s="458">
        <v>0</v>
      </c>
      <c r="D15" s="458">
        <v>1620.44</v>
      </c>
      <c r="E15" s="458">
        <v>1297.3</v>
      </c>
      <c r="F15" s="458">
        <v>1343</v>
      </c>
      <c r="G15" s="664">
        <v>4939.74</v>
      </c>
      <c r="H15" s="458">
        <v>0</v>
      </c>
      <c r="I15" s="458">
        <v>0</v>
      </c>
      <c r="J15" s="458">
        <v>0</v>
      </c>
      <c r="K15" s="458">
        <v>0</v>
      </c>
      <c r="L15" s="458">
        <v>0</v>
      </c>
      <c r="M15" s="458">
        <v>0</v>
      </c>
      <c r="N15" s="483">
        <f t="shared" si="0"/>
        <v>9200.48</v>
      </c>
      <c r="O15" s="459">
        <f>49396+43751+41371+N15</f>
        <v>143718.48000000001</v>
      </c>
      <c r="P15" s="460"/>
      <c r="Q15" s="461">
        <f>606299/2</f>
        <v>303149.5</v>
      </c>
    </row>
    <row r="16" spans="1:17" s="277" customFormat="1" ht="13">
      <c r="A16" s="377" t="s">
        <v>258</v>
      </c>
      <c r="B16" s="458">
        <v>0</v>
      </c>
      <c r="C16" s="458">
        <v>0</v>
      </c>
      <c r="D16" s="458">
        <v>3629</v>
      </c>
      <c r="E16" s="458">
        <v>203.19999999999982</v>
      </c>
      <c r="F16" s="458">
        <v>11464.3</v>
      </c>
      <c r="G16" s="664">
        <v>12349.299999999997</v>
      </c>
      <c r="H16" s="458">
        <v>0</v>
      </c>
      <c r="I16" s="458">
        <v>0</v>
      </c>
      <c r="J16" s="458">
        <v>0</v>
      </c>
      <c r="K16" s="458">
        <v>0</v>
      </c>
      <c r="L16" s="458">
        <v>0</v>
      </c>
      <c r="M16" s="458">
        <v>0</v>
      </c>
      <c r="N16" s="483">
        <f t="shared" si="0"/>
        <v>27645.799999999996</v>
      </c>
      <c r="O16" s="459">
        <f>30843+118853+87496+N16</f>
        <v>264837.8</v>
      </c>
      <c r="P16" s="460"/>
      <c r="Q16" s="461">
        <v>303150</v>
      </c>
    </row>
    <row r="17" spans="1:122" s="277" customFormat="1" ht="13">
      <c r="A17" s="377" t="s">
        <v>259</v>
      </c>
      <c r="B17" s="458">
        <v>0</v>
      </c>
      <c r="C17" s="458">
        <v>0</v>
      </c>
      <c r="D17" s="458">
        <v>5494.8</v>
      </c>
      <c r="E17" s="458">
        <v>253.57999999999993</v>
      </c>
      <c r="F17" s="458">
        <v>6036.25</v>
      </c>
      <c r="G17" s="664">
        <v>18523.940000000002</v>
      </c>
      <c r="H17" s="458">
        <v>0</v>
      </c>
      <c r="I17" s="458">
        <v>0</v>
      </c>
      <c r="J17" s="458">
        <v>0</v>
      </c>
      <c r="K17" s="458">
        <v>0</v>
      </c>
      <c r="L17" s="458">
        <v>0</v>
      </c>
      <c r="M17" s="458">
        <v>0</v>
      </c>
      <c r="N17" s="483">
        <f t="shared" si="0"/>
        <v>30308.570000000003</v>
      </c>
      <c r="O17" s="459">
        <f>73278+155232+113200+N17</f>
        <v>372018.57</v>
      </c>
      <c r="P17" s="460"/>
      <c r="Q17" s="461">
        <v>643043</v>
      </c>
    </row>
    <row r="18" spans="1:122" s="277" customFormat="1" ht="15">
      <c r="A18" s="378" t="s">
        <v>304</v>
      </c>
      <c r="B18" s="458">
        <v>0</v>
      </c>
      <c r="C18" s="458">
        <v>0</v>
      </c>
      <c r="D18" s="458">
        <v>2827.2</v>
      </c>
      <c r="E18" s="458">
        <v>-144.61999999999989</v>
      </c>
      <c r="F18" s="458">
        <v>2350.25</v>
      </c>
      <c r="G18" s="664">
        <v>8644.51</v>
      </c>
      <c r="H18" s="458">
        <v>0</v>
      </c>
      <c r="I18" s="458">
        <v>0</v>
      </c>
      <c r="J18" s="458">
        <v>0</v>
      </c>
      <c r="K18" s="458">
        <v>0</v>
      </c>
      <c r="L18" s="458">
        <v>0</v>
      </c>
      <c r="M18" s="458">
        <v>0</v>
      </c>
      <c r="N18" s="483">
        <f t="shared" si="0"/>
        <v>13677.34</v>
      </c>
      <c r="O18" s="459">
        <f>21091+92048+63087+N18</f>
        <v>189903.34</v>
      </c>
      <c r="P18" s="460"/>
      <c r="Q18" s="461">
        <v>383701</v>
      </c>
    </row>
    <row r="19" spans="1:122" s="277" customFormat="1" ht="13">
      <c r="A19" s="378" t="s">
        <v>101</v>
      </c>
      <c r="B19" s="458">
        <v>1375</v>
      </c>
      <c r="C19" s="458">
        <v>0</v>
      </c>
      <c r="D19" s="458">
        <v>9270.880000000001</v>
      </c>
      <c r="E19" s="458">
        <v>543.64999999999964</v>
      </c>
      <c r="F19" s="458">
        <v>8729.5</v>
      </c>
      <c r="G19" s="664">
        <v>32108.180000000004</v>
      </c>
      <c r="H19" s="458">
        <v>0</v>
      </c>
      <c r="I19" s="458">
        <v>0</v>
      </c>
      <c r="J19" s="458">
        <v>0</v>
      </c>
      <c r="K19" s="458">
        <v>0</v>
      </c>
      <c r="L19" s="458">
        <v>0</v>
      </c>
      <c r="M19" s="458">
        <v>0</v>
      </c>
      <c r="N19" s="483">
        <f t="shared" si="0"/>
        <v>52027.210000000006</v>
      </c>
      <c r="O19" s="459">
        <f>107379+332446+264713+N19</f>
        <v>756565.21</v>
      </c>
      <c r="P19" s="460"/>
      <c r="Q19" s="461">
        <v>1102357</v>
      </c>
    </row>
    <row r="20" spans="1:122" s="277" customFormat="1" ht="15">
      <c r="A20" s="378" t="s">
        <v>305</v>
      </c>
      <c r="B20" s="458">
        <v>1375</v>
      </c>
      <c r="C20" s="458">
        <v>0</v>
      </c>
      <c r="D20" s="458">
        <v>16627.38</v>
      </c>
      <c r="E20" s="458">
        <v>-719.32000000000153</v>
      </c>
      <c r="F20" s="458">
        <v>12519</v>
      </c>
      <c r="G20" s="664">
        <v>50522.579999999994</v>
      </c>
      <c r="H20" s="458">
        <v>0</v>
      </c>
      <c r="I20" s="458">
        <v>0</v>
      </c>
      <c r="J20" s="458">
        <v>0</v>
      </c>
      <c r="K20" s="458">
        <v>0</v>
      </c>
      <c r="L20" s="458">
        <v>0</v>
      </c>
      <c r="M20" s="458">
        <v>0</v>
      </c>
      <c r="N20" s="483">
        <f t="shared" si="0"/>
        <v>80324.639999999985</v>
      </c>
      <c r="O20" s="459">
        <f>210842+454257+423019+N20</f>
        <v>1168442.6399999999</v>
      </c>
      <c r="P20" s="460"/>
      <c r="Q20" s="461">
        <v>1653537</v>
      </c>
    </row>
    <row r="21" spans="1:122" s="277" customFormat="1" ht="13">
      <c r="A21" s="378" t="s">
        <v>131</v>
      </c>
      <c r="B21" s="458">
        <v>0</v>
      </c>
      <c r="C21" s="458">
        <v>0</v>
      </c>
      <c r="D21" s="458">
        <v>0</v>
      </c>
      <c r="E21" s="458">
        <v>0</v>
      </c>
      <c r="F21" s="458">
        <v>0</v>
      </c>
      <c r="G21" s="458">
        <v>0</v>
      </c>
      <c r="H21" s="458">
        <v>0</v>
      </c>
      <c r="I21" s="458">
        <v>0</v>
      </c>
      <c r="J21" s="458">
        <v>0</v>
      </c>
      <c r="K21" s="458">
        <v>0</v>
      </c>
      <c r="L21" s="458">
        <v>0</v>
      </c>
      <c r="M21" s="458">
        <v>0</v>
      </c>
      <c r="N21" s="483">
        <f t="shared" si="0"/>
        <v>0</v>
      </c>
      <c r="O21" s="459">
        <f>2328+N21</f>
        <v>2328</v>
      </c>
      <c r="P21" s="460"/>
      <c r="Q21" s="461">
        <v>0</v>
      </c>
    </row>
    <row r="22" spans="1:122" s="277" customFormat="1" ht="13">
      <c r="A22" s="379" t="s">
        <v>132</v>
      </c>
      <c r="B22" s="458">
        <v>0</v>
      </c>
      <c r="C22" s="458">
        <v>0</v>
      </c>
      <c r="D22" s="458">
        <v>0</v>
      </c>
      <c r="E22" s="458">
        <v>0</v>
      </c>
      <c r="F22" s="458">
        <v>0</v>
      </c>
      <c r="G22" s="458">
        <v>0</v>
      </c>
      <c r="H22" s="458">
        <v>0</v>
      </c>
      <c r="I22" s="458">
        <v>0</v>
      </c>
      <c r="J22" s="458">
        <v>0</v>
      </c>
      <c r="K22" s="458">
        <v>0</v>
      </c>
      <c r="L22" s="458">
        <v>0</v>
      </c>
      <c r="M22" s="458">
        <v>0</v>
      </c>
      <c r="N22" s="483">
        <f t="shared" si="0"/>
        <v>0</v>
      </c>
      <c r="O22" s="459">
        <f>530+N22</f>
        <v>530</v>
      </c>
      <c r="P22" s="460"/>
      <c r="Q22" s="461">
        <v>50000</v>
      </c>
    </row>
    <row r="23" spans="1:122" s="282" customFormat="1" ht="15.5">
      <c r="A23" s="381" t="s">
        <v>133</v>
      </c>
      <c r="B23" s="462">
        <f t="shared" ref="B23:M23" si="1">SUM(B11:B22)</f>
        <v>14600</v>
      </c>
      <c r="C23" s="462">
        <f t="shared" si="1"/>
        <v>31485.81</v>
      </c>
      <c r="D23" s="462">
        <f t="shared" si="1"/>
        <v>76996.160000000003</v>
      </c>
      <c r="E23" s="462">
        <f t="shared" si="1"/>
        <v>27403.270000000004</v>
      </c>
      <c r="F23" s="462">
        <f t="shared" si="1"/>
        <v>54356.49</v>
      </c>
      <c r="G23" s="462">
        <f t="shared" si="1"/>
        <v>140685.74</v>
      </c>
      <c r="H23" s="462">
        <f t="shared" si="1"/>
        <v>0</v>
      </c>
      <c r="I23" s="462">
        <f t="shared" si="1"/>
        <v>0</v>
      </c>
      <c r="J23" s="462">
        <f t="shared" si="1"/>
        <v>0</v>
      </c>
      <c r="K23" s="462">
        <f t="shared" si="1"/>
        <v>0</v>
      </c>
      <c r="L23" s="462">
        <f t="shared" si="1"/>
        <v>0</v>
      </c>
      <c r="M23" s="462">
        <f t="shared" si="1"/>
        <v>0</v>
      </c>
      <c r="N23" s="557">
        <f>SUM(N11:N22)</f>
        <v>345527.47</v>
      </c>
      <c r="O23" s="463">
        <f>SUM(O11:O22)</f>
        <v>4669386.47</v>
      </c>
      <c r="P23" s="464"/>
      <c r="Q23" s="463">
        <f>SUM(Q11:Q22)</f>
        <v>7367082.5</v>
      </c>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77"/>
      <c r="BE23" s="277"/>
      <c r="BF23" s="277"/>
      <c r="BG23" s="277"/>
      <c r="BH23" s="277"/>
      <c r="BI23" s="277"/>
      <c r="BJ23" s="277"/>
      <c r="BK23" s="277"/>
      <c r="BL23" s="277"/>
      <c r="BM23" s="277"/>
      <c r="BN23" s="277"/>
      <c r="BO23" s="277"/>
      <c r="BP23" s="277"/>
      <c r="BQ23" s="277"/>
      <c r="BR23" s="277"/>
      <c r="BS23" s="277"/>
      <c r="BT23" s="277"/>
      <c r="BU23" s="277"/>
      <c r="BV23" s="277"/>
      <c r="BW23" s="277"/>
      <c r="BX23" s="277"/>
      <c r="BY23" s="277"/>
      <c r="BZ23" s="277"/>
      <c r="CA23" s="277"/>
      <c r="CB23" s="277"/>
      <c r="CC23" s="277"/>
      <c r="CD23" s="277"/>
      <c r="CE23" s="277"/>
      <c r="CF23" s="277"/>
      <c r="CG23" s="277"/>
      <c r="CH23" s="277"/>
      <c r="CI23" s="277"/>
      <c r="CJ23" s="277"/>
      <c r="CK23" s="277"/>
      <c r="CL23" s="277"/>
      <c r="CM23" s="277"/>
      <c r="CN23" s="277"/>
      <c r="CO23" s="277"/>
      <c r="CP23" s="277"/>
      <c r="CQ23" s="277"/>
      <c r="CR23" s="277"/>
      <c r="CS23" s="277"/>
      <c r="CT23" s="277"/>
      <c r="CU23" s="277"/>
      <c r="CV23" s="277"/>
      <c r="CW23" s="277"/>
      <c r="CX23" s="277"/>
      <c r="CY23" s="277"/>
      <c r="CZ23" s="277"/>
      <c r="DA23" s="277"/>
      <c r="DB23" s="277"/>
      <c r="DC23" s="277"/>
      <c r="DD23" s="277"/>
      <c r="DE23" s="277"/>
      <c r="DF23" s="277"/>
      <c r="DG23" s="277"/>
      <c r="DH23" s="277"/>
      <c r="DI23" s="277"/>
      <c r="DJ23" s="277"/>
      <c r="DK23" s="277"/>
      <c r="DL23" s="277"/>
      <c r="DM23" s="277"/>
      <c r="DN23" s="277"/>
      <c r="DO23" s="277"/>
      <c r="DP23" s="277"/>
      <c r="DQ23" s="277"/>
      <c r="DR23" s="277"/>
    </row>
    <row r="24" spans="1:122" s="277" customFormat="1" ht="13">
      <c r="A24" s="288"/>
      <c r="B24" s="465"/>
      <c r="C24" s="466"/>
      <c r="D24" s="466"/>
      <c r="E24" s="466"/>
      <c r="F24" s="466"/>
      <c r="G24" s="466"/>
      <c r="H24" s="466"/>
      <c r="I24" s="466"/>
      <c r="J24" s="466"/>
      <c r="K24" s="466"/>
      <c r="L24" s="466"/>
      <c r="M24" s="466"/>
      <c r="N24" s="466"/>
      <c r="O24" s="466"/>
      <c r="P24" s="466"/>
      <c r="Q24" s="467"/>
    </row>
    <row r="25" spans="1:122" s="277" customFormat="1" ht="15.5">
      <c r="A25" s="382" t="s">
        <v>134</v>
      </c>
      <c r="B25" s="465"/>
      <c r="C25" s="468"/>
      <c r="D25" s="468"/>
      <c r="E25" s="468"/>
      <c r="F25" s="468"/>
      <c r="G25" s="468"/>
      <c r="H25" s="468"/>
      <c r="I25" s="468"/>
      <c r="J25" s="468"/>
      <c r="K25" s="468"/>
      <c r="L25" s="468"/>
      <c r="M25" s="468"/>
      <c r="N25" s="469"/>
      <c r="O25" s="468"/>
      <c r="P25" s="466"/>
      <c r="Q25" s="470"/>
    </row>
    <row r="26" spans="1:122" s="277" customFormat="1" ht="13">
      <c r="A26" s="378" t="s">
        <v>135</v>
      </c>
      <c r="B26" s="471">
        <v>0</v>
      </c>
      <c r="C26" s="471">
        <v>0</v>
      </c>
      <c r="D26" s="471">
        <v>0</v>
      </c>
      <c r="E26" s="471">
        <v>0</v>
      </c>
      <c r="F26" s="471">
        <v>0</v>
      </c>
      <c r="G26" s="471">
        <v>0</v>
      </c>
      <c r="H26" s="471">
        <v>0</v>
      </c>
      <c r="I26" s="471">
        <v>0</v>
      </c>
      <c r="J26" s="471">
        <v>0</v>
      </c>
      <c r="K26" s="471">
        <v>0</v>
      </c>
      <c r="L26" s="471">
        <v>0</v>
      </c>
      <c r="M26" s="471">
        <v>0</v>
      </c>
      <c r="N26" s="558">
        <f t="shared" ref="N26:N30" si="2">SUM(B26:M26)</f>
        <v>0</v>
      </c>
      <c r="O26" s="472">
        <f>0+N26</f>
        <v>0</v>
      </c>
      <c r="P26" s="466"/>
      <c r="Q26" s="467"/>
    </row>
    <row r="27" spans="1:122" s="277" customFormat="1" ht="13">
      <c r="A27" s="377" t="s">
        <v>260</v>
      </c>
      <c r="B27" s="473">
        <v>0.49</v>
      </c>
      <c r="C27" s="473">
        <v>0</v>
      </c>
      <c r="D27" s="473">
        <v>66.239999999999995</v>
      </c>
      <c r="E27" s="473">
        <v>0</v>
      </c>
      <c r="F27" s="473">
        <v>2957</v>
      </c>
      <c r="G27" s="473">
        <v>0</v>
      </c>
      <c r="H27" s="473">
        <v>0</v>
      </c>
      <c r="I27" s="473">
        <v>0</v>
      </c>
      <c r="J27" s="473">
        <v>0</v>
      </c>
      <c r="K27" s="473">
        <v>0</v>
      </c>
      <c r="L27" s="473">
        <v>0</v>
      </c>
      <c r="M27" s="473">
        <v>0</v>
      </c>
      <c r="N27" s="559">
        <f t="shared" si="2"/>
        <v>3023.73</v>
      </c>
      <c r="O27" s="459">
        <f>79348+33670+134507+N27</f>
        <v>250548.73</v>
      </c>
      <c r="P27" s="466"/>
      <c r="Q27" s="467"/>
    </row>
    <row r="28" spans="1:122" s="277" customFormat="1" ht="15">
      <c r="A28" s="377" t="s">
        <v>307</v>
      </c>
      <c r="B28" s="473">
        <v>18233.669999999998</v>
      </c>
      <c r="C28" s="473">
        <v>17764.310000000005</v>
      </c>
      <c r="D28" s="473">
        <v>17228.580000000005</v>
      </c>
      <c r="E28" s="473">
        <v>11049.689999999997</v>
      </c>
      <c r="F28" s="473">
        <v>-154.67000000000371</v>
      </c>
      <c r="G28" s="473">
        <v>7055.180000000003</v>
      </c>
      <c r="H28" s="473">
        <v>0</v>
      </c>
      <c r="I28" s="473">
        <v>0</v>
      </c>
      <c r="J28" s="473">
        <v>0</v>
      </c>
      <c r="K28" s="473">
        <v>0</v>
      </c>
      <c r="L28" s="473">
        <v>0</v>
      </c>
      <c r="M28" s="473">
        <v>0</v>
      </c>
      <c r="N28" s="559">
        <f t="shared" si="2"/>
        <v>71176.760000000009</v>
      </c>
      <c r="O28" s="459">
        <f>426330+346126+260890+N28</f>
        <v>1104522.76</v>
      </c>
      <c r="P28" s="466"/>
      <c r="Q28" s="467"/>
    </row>
    <row r="29" spans="1:122" s="277" customFormat="1" ht="15">
      <c r="A29" s="377" t="s">
        <v>261</v>
      </c>
      <c r="B29" s="473">
        <v>2750</v>
      </c>
      <c r="C29" s="473">
        <v>0</v>
      </c>
      <c r="D29" s="473">
        <v>40201.350000000006</v>
      </c>
      <c r="E29" s="473">
        <v>1641.0499999999979</v>
      </c>
      <c r="F29" s="473">
        <v>40492.300000000003</v>
      </c>
      <c r="G29" s="473">
        <v>130793</v>
      </c>
      <c r="H29" s="473">
        <v>0</v>
      </c>
      <c r="I29" s="473">
        <v>0</v>
      </c>
      <c r="J29" s="473">
        <v>0</v>
      </c>
      <c r="K29" s="473">
        <v>0</v>
      </c>
      <c r="L29" s="473">
        <v>0</v>
      </c>
      <c r="M29" s="473">
        <v>0</v>
      </c>
      <c r="N29" s="559">
        <f t="shared" si="2"/>
        <v>215877.7</v>
      </c>
      <c r="O29" s="459">
        <f>377868+1193884+886571+N29</f>
        <v>2674200.7000000002</v>
      </c>
      <c r="P29" s="466"/>
      <c r="Q29" s="467"/>
    </row>
    <row r="30" spans="1:122" s="277" customFormat="1" ht="15">
      <c r="A30" s="377" t="s">
        <v>262</v>
      </c>
      <c r="B30" s="647">
        <v>-6384</v>
      </c>
      <c r="C30" s="474">
        <v>13721.5</v>
      </c>
      <c r="D30" s="474">
        <v>19500</v>
      </c>
      <c r="E30" s="474">
        <v>14712.5</v>
      </c>
      <c r="F30" s="474">
        <v>11061.6</v>
      </c>
      <c r="G30" s="474">
        <v>2837.5</v>
      </c>
      <c r="H30" s="474">
        <v>0</v>
      </c>
      <c r="I30" s="474">
        <v>0</v>
      </c>
      <c r="J30" s="474">
        <v>0</v>
      </c>
      <c r="K30" s="474">
        <v>0</v>
      </c>
      <c r="L30" s="474">
        <v>0</v>
      </c>
      <c r="M30" s="474">
        <v>0</v>
      </c>
      <c r="N30" s="559">
        <f t="shared" si="2"/>
        <v>55449.1</v>
      </c>
      <c r="O30" s="475">
        <f>331980+92124+160561+N30</f>
        <v>640114.1</v>
      </c>
      <c r="P30" s="466"/>
      <c r="Q30" s="467"/>
    </row>
    <row r="31" spans="1:122" s="277" customFormat="1" ht="15.5">
      <c r="A31" s="381" t="s">
        <v>136</v>
      </c>
      <c r="B31" s="476">
        <f>SUM(B26:B30)</f>
        <v>14600.16</v>
      </c>
      <c r="C31" s="477">
        <f t="shared" ref="C31:M31" si="3">SUM(C26:C30)</f>
        <v>31485.810000000005</v>
      </c>
      <c r="D31" s="477">
        <f t="shared" si="3"/>
        <v>76996.170000000013</v>
      </c>
      <c r="E31" s="477">
        <f t="shared" si="3"/>
        <v>27403.239999999994</v>
      </c>
      <c r="F31" s="477">
        <f t="shared" si="3"/>
        <v>54356.229999999996</v>
      </c>
      <c r="G31" s="477">
        <f t="shared" si="3"/>
        <v>140685.68</v>
      </c>
      <c r="H31" s="477">
        <f t="shared" si="3"/>
        <v>0</v>
      </c>
      <c r="I31" s="477">
        <f t="shared" si="3"/>
        <v>0</v>
      </c>
      <c r="J31" s="477">
        <f t="shared" si="3"/>
        <v>0</v>
      </c>
      <c r="K31" s="477">
        <f t="shared" si="3"/>
        <v>0</v>
      </c>
      <c r="L31" s="477">
        <f t="shared" si="3"/>
        <v>0</v>
      </c>
      <c r="M31" s="477">
        <f t="shared" si="3"/>
        <v>0</v>
      </c>
      <c r="N31" s="557">
        <f>SUM(N26:N30)</f>
        <v>345527.29</v>
      </c>
      <c r="O31" s="477">
        <f>SUM(O26:O30)</f>
        <v>4669386.29</v>
      </c>
      <c r="P31" s="464"/>
      <c r="Q31" s="478"/>
    </row>
    <row r="32" spans="1:122" s="277" customFormat="1" ht="13">
      <c r="A32" s="289"/>
      <c r="B32" s="479"/>
      <c r="C32" s="480"/>
      <c r="D32" s="480"/>
      <c r="E32" s="480"/>
      <c r="F32" s="480"/>
      <c r="G32" s="480"/>
      <c r="H32" s="480"/>
      <c r="I32" s="480"/>
      <c r="J32" s="480"/>
      <c r="K32" s="480"/>
      <c r="L32" s="480"/>
      <c r="M32" s="480"/>
      <c r="N32" s="480"/>
      <c r="O32" s="480"/>
      <c r="P32" s="481"/>
      <c r="Q32" s="482"/>
    </row>
    <row r="33" spans="1:17" s="277" customFormat="1" ht="15.5">
      <c r="A33" s="382" t="s">
        <v>137</v>
      </c>
      <c r="B33" s="465"/>
      <c r="C33" s="468"/>
      <c r="D33" s="468"/>
      <c r="E33" s="468"/>
      <c r="F33" s="468"/>
      <c r="G33" s="468"/>
      <c r="H33" s="468"/>
      <c r="I33" s="468"/>
      <c r="J33" s="468"/>
      <c r="K33" s="468"/>
      <c r="L33" s="468"/>
      <c r="M33" s="468"/>
      <c r="N33" s="469"/>
      <c r="O33" s="469"/>
      <c r="P33" s="466"/>
      <c r="Q33" s="470"/>
    </row>
    <row r="34" spans="1:17" s="277" customFormat="1" ht="15">
      <c r="A34" s="377" t="s">
        <v>138</v>
      </c>
      <c r="B34" s="471">
        <v>0</v>
      </c>
      <c r="C34" s="471">
        <v>0</v>
      </c>
      <c r="D34" s="471">
        <v>0</v>
      </c>
      <c r="E34" s="471">
        <v>0</v>
      </c>
      <c r="F34" s="471">
        <v>0</v>
      </c>
      <c r="G34" s="471">
        <v>0</v>
      </c>
      <c r="H34" s="471">
        <v>0</v>
      </c>
      <c r="I34" s="471">
        <v>0</v>
      </c>
      <c r="J34" s="471">
        <v>0</v>
      </c>
      <c r="K34" s="471">
        <v>0</v>
      </c>
      <c r="L34" s="471">
        <v>0</v>
      </c>
      <c r="M34" s="471">
        <v>0</v>
      </c>
      <c r="N34" s="558">
        <f t="shared" ref="N34:N37" si="4">SUM(B34:M34)</f>
        <v>0</v>
      </c>
      <c r="O34" s="472">
        <f>0+N34</f>
        <v>0</v>
      </c>
      <c r="P34" s="466"/>
      <c r="Q34" s="467"/>
    </row>
    <row r="35" spans="1:17" s="277" customFormat="1" ht="13">
      <c r="A35" s="378" t="s">
        <v>139</v>
      </c>
      <c r="B35" s="473">
        <v>1375</v>
      </c>
      <c r="C35" s="473">
        <v>0</v>
      </c>
      <c r="D35" s="473">
        <v>13223.7</v>
      </c>
      <c r="E35" s="473">
        <v>1115.5099999999998</v>
      </c>
      <c r="F35" s="473">
        <v>12087</v>
      </c>
      <c r="G35" s="473">
        <v>44457.490000000005</v>
      </c>
      <c r="H35" s="473">
        <v>0</v>
      </c>
      <c r="I35" s="473">
        <v>0</v>
      </c>
      <c r="J35" s="473">
        <v>0</v>
      </c>
      <c r="K35" s="473">
        <v>0</v>
      </c>
      <c r="L35" s="473">
        <v>0</v>
      </c>
      <c r="M35" s="473">
        <v>0</v>
      </c>
      <c r="N35" s="559">
        <f t="shared" si="4"/>
        <v>72258.700000000012</v>
      </c>
      <c r="O35" s="459">
        <f>344661+585375+472450+N35</f>
        <v>1474744.7</v>
      </c>
      <c r="P35" s="466"/>
      <c r="Q35" s="467"/>
    </row>
    <row r="36" spans="1:17" s="277" customFormat="1" ht="14.25" customHeight="1">
      <c r="A36" s="377" t="s">
        <v>140</v>
      </c>
      <c r="B36" s="473">
        <v>3942.05</v>
      </c>
      <c r="C36" s="473">
        <v>9833.75</v>
      </c>
      <c r="D36" s="473">
        <v>23203.510000000002</v>
      </c>
      <c r="E36" s="473">
        <v>12722.3</v>
      </c>
      <c r="F36" s="473">
        <v>21936.25</v>
      </c>
      <c r="G36" s="473">
        <v>32695.199999999997</v>
      </c>
      <c r="H36" s="473">
        <v>0</v>
      </c>
      <c r="I36" s="473">
        <v>0</v>
      </c>
      <c r="J36" s="473">
        <v>0</v>
      </c>
      <c r="K36" s="473">
        <v>0</v>
      </c>
      <c r="L36" s="473">
        <v>0</v>
      </c>
      <c r="M36" s="473">
        <v>0</v>
      </c>
      <c r="N36" s="559">
        <f t="shared" si="4"/>
        <v>104333.06</v>
      </c>
      <c r="O36" s="459">
        <f>314336+384698+349337+N36</f>
        <v>1152704.06</v>
      </c>
      <c r="P36" s="466"/>
      <c r="Q36" s="467"/>
    </row>
    <row r="37" spans="1:17" s="277" customFormat="1" ht="13">
      <c r="A37" s="377" t="s">
        <v>141</v>
      </c>
      <c r="B37" s="474">
        <v>9283.14</v>
      </c>
      <c r="C37" s="474">
        <v>21652.060000000005</v>
      </c>
      <c r="D37" s="474">
        <v>40568.949999999997</v>
      </c>
      <c r="E37" s="474">
        <v>13565.46</v>
      </c>
      <c r="F37" s="474">
        <v>20333</v>
      </c>
      <c r="G37" s="474">
        <v>63533.05</v>
      </c>
      <c r="H37" s="474">
        <v>0</v>
      </c>
      <c r="I37" s="474">
        <v>0</v>
      </c>
      <c r="J37" s="474">
        <v>0</v>
      </c>
      <c r="K37" s="474">
        <v>0</v>
      </c>
      <c r="L37" s="474">
        <v>0</v>
      </c>
      <c r="M37" s="474">
        <v>0</v>
      </c>
      <c r="N37" s="559">
        <f t="shared" si="4"/>
        <v>168935.65999999997</v>
      </c>
      <c r="O37" s="475">
        <f>556529+695730+620743+N37</f>
        <v>2041937.66</v>
      </c>
      <c r="P37" s="466"/>
      <c r="Q37" s="467"/>
    </row>
    <row r="38" spans="1:17" s="277" customFormat="1" ht="15.5">
      <c r="A38" s="381" t="s">
        <v>142</v>
      </c>
      <c r="B38" s="476">
        <f t="shared" ref="B38:M38" si="5">SUM(B34:B37)</f>
        <v>14600.189999999999</v>
      </c>
      <c r="C38" s="477">
        <f t="shared" si="5"/>
        <v>31485.810000000005</v>
      </c>
      <c r="D38" s="477">
        <f>SUM(D34:D37)</f>
        <v>76996.160000000003</v>
      </c>
      <c r="E38" s="477">
        <f t="shared" si="5"/>
        <v>27403.269999999997</v>
      </c>
      <c r="F38" s="477">
        <f t="shared" si="5"/>
        <v>54356.25</v>
      </c>
      <c r="G38" s="477">
        <f>SUM(G34:G37)</f>
        <v>140685.74</v>
      </c>
      <c r="H38" s="477">
        <f t="shared" si="5"/>
        <v>0</v>
      </c>
      <c r="I38" s="477">
        <f t="shared" si="5"/>
        <v>0</v>
      </c>
      <c r="J38" s="477">
        <f t="shared" si="5"/>
        <v>0</v>
      </c>
      <c r="K38" s="477">
        <f t="shared" si="5"/>
        <v>0</v>
      </c>
      <c r="L38" s="477">
        <f t="shared" si="5"/>
        <v>0</v>
      </c>
      <c r="M38" s="477">
        <f t="shared" si="5"/>
        <v>0</v>
      </c>
      <c r="N38" s="557">
        <f>SUM(N34:N37)</f>
        <v>345527.42</v>
      </c>
      <c r="O38" s="462">
        <f>SUM(O34:O37)</f>
        <v>4669386.42</v>
      </c>
      <c r="P38" s="464">
        <f>SUM(P34:P37)</f>
        <v>0</v>
      </c>
      <c r="Q38" s="478"/>
    </row>
    <row r="39" spans="1:17" s="277" customFormat="1" ht="13">
      <c r="B39" s="280"/>
      <c r="C39" s="280"/>
      <c r="D39" s="280"/>
      <c r="E39" s="280"/>
      <c r="F39" s="280"/>
      <c r="G39" s="280"/>
      <c r="H39" s="280"/>
      <c r="I39" s="280"/>
      <c r="J39" s="280"/>
      <c r="K39" s="280"/>
      <c r="L39" s="280"/>
      <c r="M39" s="280"/>
      <c r="O39" s="280"/>
      <c r="P39" s="280"/>
      <c r="Q39" s="280"/>
    </row>
    <row r="40" spans="1:17" s="277" customFormat="1" ht="14">
      <c r="A40" s="441" t="s">
        <v>63</v>
      </c>
      <c r="B40" s="284"/>
      <c r="C40" s="284"/>
      <c r="D40" s="284"/>
      <c r="E40" s="284"/>
      <c r="F40" s="284"/>
      <c r="G40" s="284"/>
      <c r="H40" s="284"/>
      <c r="I40" s="284"/>
      <c r="J40" s="284"/>
      <c r="K40" s="284"/>
      <c r="L40" s="284"/>
      <c r="M40" s="284"/>
      <c r="N40" s="283"/>
      <c r="O40" s="567"/>
      <c r="P40" s="284"/>
      <c r="Q40" s="284"/>
    </row>
    <row r="41" spans="1:17" s="529" customFormat="1" ht="16.5">
      <c r="A41" s="312" t="s">
        <v>280</v>
      </c>
      <c r="D41" s="530"/>
      <c r="E41" s="531"/>
      <c r="F41" s="530"/>
      <c r="N41" s="528"/>
    </row>
    <row r="42" spans="1:17" ht="16.5">
      <c r="A42" s="312" t="s">
        <v>283</v>
      </c>
      <c r="D42" s="261"/>
      <c r="E42" s="210"/>
      <c r="F42" s="261"/>
      <c r="N42" s="312"/>
    </row>
    <row r="43" spans="1:17" ht="16">
      <c r="A43" s="312" t="s">
        <v>314</v>
      </c>
      <c r="D43" s="261"/>
      <c r="E43" s="210"/>
      <c r="F43" s="261"/>
      <c r="N43" s="312"/>
    </row>
    <row r="44" spans="1:17" ht="16.5">
      <c r="A44" s="312" t="s">
        <v>315</v>
      </c>
      <c r="D44" s="261"/>
      <c r="E44" s="210"/>
      <c r="F44" s="261"/>
      <c r="N44" s="323"/>
    </row>
    <row r="45" spans="1:17" ht="14">
      <c r="A45" s="235" t="s">
        <v>64</v>
      </c>
      <c r="E45" s="266"/>
      <c r="F45" s="261"/>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V58"/>
  <sheetViews>
    <sheetView showGridLines="0" tabSelected="1" zoomScale="130" zoomScaleNormal="130" zoomScaleSheetLayoutView="80" workbookViewId="0">
      <pane xSplit="1" ySplit="9" topLeftCell="B12" activePane="bottomRight" state="frozen"/>
      <selection activeCell="B55" sqref="B55"/>
      <selection pane="topRight" activeCell="B55" sqref="B55"/>
      <selection pane="bottomLeft" activeCell="B55" sqref="B55"/>
      <selection pane="bottomRight" activeCell="B5" sqref="B5"/>
    </sheetView>
  </sheetViews>
  <sheetFormatPr defaultColWidth="9.26953125" defaultRowHeight="12.5"/>
  <cols>
    <col min="1" max="1" width="95.26953125" style="130" customWidth="1"/>
    <col min="2" max="2" width="13" style="130" customWidth="1"/>
    <col min="3" max="3" width="11.453125" style="130" customWidth="1"/>
    <col min="4" max="4" width="15.54296875" style="130" customWidth="1"/>
    <col min="5" max="5" width="12" style="130" customWidth="1"/>
    <col min="6" max="6" width="11.26953125" style="130" bestFit="1" customWidth="1"/>
    <col min="7" max="7" width="12.7265625" style="130" customWidth="1"/>
    <col min="8" max="8" width="11.7265625" style="130" bestFit="1" customWidth="1"/>
    <col min="9" max="9" width="11.7265625" style="130" customWidth="1"/>
    <col min="10" max="10" width="12" style="130" customWidth="1"/>
    <col min="11" max="11" width="10.7265625" style="130" customWidth="1"/>
    <col min="12" max="13" width="11.7265625" style="130" customWidth="1"/>
    <col min="14" max="14" width="24.1796875" style="130" bestFit="1" customWidth="1"/>
    <col min="15" max="15" width="16" style="532" customWidth="1"/>
    <col min="16" max="16" width="17.26953125" style="130" customWidth="1"/>
    <col min="17" max="17" width="14.7265625" style="130" customWidth="1"/>
    <col min="18" max="18" width="13.453125" style="130" bestFit="1" customWidth="1"/>
    <col min="19" max="19" width="19.54296875" style="130" bestFit="1" customWidth="1"/>
    <col min="20" max="20" width="9.26953125" style="130"/>
    <col min="21" max="21" width="8.54296875" style="130" bestFit="1" customWidth="1"/>
    <col min="22" max="22" width="12.54296875" style="130" customWidth="1"/>
    <col min="23" max="16384" width="9.26953125" style="130"/>
  </cols>
  <sheetData>
    <row r="2" spans="1:22" ht="13">
      <c r="A2" s="129"/>
      <c r="G2" s="148" t="s">
        <v>143</v>
      </c>
    </row>
    <row r="3" spans="1:22" ht="13">
      <c r="A3" s="129"/>
      <c r="G3" s="148" t="s">
        <v>144</v>
      </c>
    </row>
    <row r="4" spans="1:22" ht="13">
      <c r="A4" s="129"/>
      <c r="F4" s="197"/>
      <c r="G4" s="198" t="str">
        <f>'Program MW '!H3</f>
        <v>June 2021</v>
      </c>
      <c r="H4" s="197"/>
      <c r="I4" s="197"/>
      <c r="N4" s="730"/>
    </row>
    <row r="5" spans="1:22" ht="13">
      <c r="A5" s="129"/>
      <c r="B5" s="702"/>
      <c r="C5" s="702"/>
      <c r="D5" s="702"/>
      <c r="E5" s="702"/>
      <c r="F5" s="702"/>
      <c r="G5" s="702"/>
      <c r="H5" s="702"/>
      <c r="I5" s="702"/>
      <c r="J5" s="702"/>
      <c r="K5" s="702"/>
      <c r="L5" s="702"/>
      <c r="M5" s="702"/>
      <c r="N5" s="702"/>
    </row>
    <row r="6" spans="1:22" ht="13" thickBot="1">
      <c r="B6" s="702"/>
      <c r="C6" s="702"/>
      <c r="D6" s="702"/>
      <c r="E6" s="704"/>
      <c r="F6" s="704"/>
      <c r="G6" s="702"/>
      <c r="H6" s="702"/>
      <c r="I6" s="702"/>
      <c r="J6" s="702"/>
      <c r="K6" s="702"/>
      <c r="L6" s="702"/>
      <c r="M6" s="702"/>
      <c r="N6" s="702"/>
    </row>
    <row r="7" spans="1:22" ht="13">
      <c r="A7" s="296"/>
      <c r="B7" s="131"/>
      <c r="C7" s="131"/>
      <c r="D7" s="131"/>
      <c r="E7" s="705"/>
      <c r="F7" s="705"/>
      <c r="G7" s="131"/>
      <c r="H7" s="131"/>
      <c r="I7" s="131"/>
      <c r="J7" s="131"/>
      <c r="K7" s="131"/>
      <c r="L7" s="131"/>
      <c r="M7" s="132"/>
      <c r="N7" s="132"/>
      <c r="O7" s="533"/>
      <c r="P7" s="133"/>
      <c r="Q7" s="133"/>
      <c r="R7" s="290"/>
    </row>
    <row r="8" spans="1:22" ht="9" customHeight="1">
      <c r="A8" s="297"/>
      <c r="B8" s="134"/>
      <c r="C8" s="134"/>
      <c r="D8" s="134"/>
      <c r="E8" s="706"/>
      <c r="F8" s="706"/>
      <c r="G8" s="134"/>
      <c r="H8" s="134"/>
      <c r="I8" s="134"/>
      <c r="J8" s="134"/>
      <c r="K8" s="134"/>
      <c r="L8" s="134"/>
      <c r="M8" s="135"/>
      <c r="N8" s="135"/>
      <c r="O8" s="534"/>
      <c r="P8" s="136"/>
      <c r="Q8" s="136"/>
      <c r="R8" s="291"/>
    </row>
    <row r="9" spans="1:22" ht="57.75" customHeight="1">
      <c r="A9" s="361" t="s">
        <v>145</v>
      </c>
      <c r="B9" s="369" t="s">
        <v>41</v>
      </c>
      <c r="C9" s="259" t="s">
        <v>42</v>
      </c>
      <c r="D9" s="259" t="s">
        <v>43</v>
      </c>
      <c r="E9" s="707" t="s">
        <v>44</v>
      </c>
      <c r="F9" s="707" t="s">
        <v>31</v>
      </c>
      <c r="G9" s="259" t="s">
        <v>45</v>
      </c>
      <c r="H9" s="259" t="s">
        <v>59</v>
      </c>
      <c r="I9" s="260" t="s">
        <v>60</v>
      </c>
      <c r="J9" s="260" t="s">
        <v>67</v>
      </c>
      <c r="K9" s="259" t="s">
        <v>61</v>
      </c>
      <c r="L9" s="259" t="s">
        <v>68</v>
      </c>
      <c r="M9" s="259" t="s">
        <v>62</v>
      </c>
      <c r="N9" s="137" t="s">
        <v>245</v>
      </c>
      <c r="O9" s="535" t="s">
        <v>246</v>
      </c>
      <c r="P9" s="137" t="s">
        <v>146</v>
      </c>
      <c r="Q9" s="137" t="s">
        <v>147</v>
      </c>
      <c r="R9" s="137" t="s">
        <v>148</v>
      </c>
    </row>
    <row r="10" spans="1:22" ht="13">
      <c r="A10" s="298" t="s">
        <v>149</v>
      </c>
      <c r="B10" s="370"/>
      <c r="C10" s="15"/>
      <c r="D10" s="15"/>
      <c r="E10" s="708"/>
      <c r="F10" s="709"/>
      <c r="G10" s="256"/>
      <c r="H10" s="138"/>
      <c r="I10" s="138"/>
      <c r="J10" s="138"/>
      <c r="K10" s="138"/>
      <c r="L10" s="138"/>
      <c r="M10" s="549"/>
      <c r="N10" s="551"/>
      <c r="O10" s="536" t="s">
        <v>56</v>
      </c>
      <c r="P10" s="310"/>
      <c r="Q10" s="139"/>
      <c r="R10" s="139"/>
    </row>
    <row r="11" spans="1:22">
      <c r="A11" s="299" t="s">
        <v>150</v>
      </c>
      <c r="B11" s="618">
        <v>130414</v>
      </c>
      <c r="C11" s="618">
        <v>8364</v>
      </c>
      <c r="D11" s="618">
        <v>10848</v>
      </c>
      <c r="E11" s="636">
        <f>160254-SUM(B11:D11)</f>
        <v>10628</v>
      </c>
      <c r="F11" s="636">
        <v>12351</v>
      </c>
      <c r="G11" s="618">
        <v>13271.69</v>
      </c>
      <c r="H11" s="618">
        <v>0</v>
      </c>
      <c r="I11" s="618">
        <v>0</v>
      </c>
      <c r="J11" s="618">
        <v>0</v>
      </c>
      <c r="K11" s="618">
        <v>0</v>
      </c>
      <c r="L11" s="618">
        <v>0</v>
      </c>
      <c r="M11" s="618">
        <v>0</v>
      </c>
      <c r="N11" s="630">
        <f>SUM(B11:M11)</f>
        <v>185876.69</v>
      </c>
      <c r="O11" s="620">
        <f>911161+N11</f>
        <v>1097037.69</v>
      </c>
      <c r="P11" s="621">
        <v>2869200</v>
      </c>
      <c r="Q11" s="619">
        <v>0</v>
      </c>
      <c r="R11" s="552">
        <f>+O11/P11</f>
        <v>0.38234967586783769</v>
      </c>
      <c r="S11" s="578"/>
      <c r="T11" s="579"/>
      <c r="U11" s="579"/>
      <c r="V11" s="580"/>
    </row>
    <row r="12" spans="1:22">
      <c r="A12" s="299" t="s">
        <v>151</v>
      </c>
      <c r="B12" s="618">
        <v>44397</v>
      </c>
      <c r="C12" s="618">
        <v>11855</v>
      </c>
      <c r="D12" s="618">
        <f>132690-C12-B12</f>
        <v>76438</v>
      </c>
      <c r="E12" s="636">
        <f>178067-SUM(B12:D12)</f>
        <v>45377</v>
      </c>
      <c r="F12" s="636">
        <v>42134</v>
      </c>
      <c r="G12" s="618">
        <v>48670.899999999994</v>
      </c>
      <c r="H12" s="618">
        <v>0</v>
      </c>
      <c r="I12" s="618">
        <v>0</v>
      </c>
      <c r="J12" s="618">
        <v>0</v>
      </c>
      <c r="K12" s="618">
        <v>0</v>
      </c>
      <c r="L12" s="618">
        <v>0</v>
      </c>
      <c r="M12" s="618">
        <v>0</v>
      </c>
      <c r="N12" s="630">
        <f t="shared" ref="N12:N15" si="0">SUM(B12:M12)</f>
        <v>268871.90000000002</v>
      </c>
      <c r="O12" s="620">
        <f>4136392+N12</f>
        <v>4405263.9000000004</v>
      </c>
      <c r="P12" s="621">
        <v>9020700</v>
      </c>
      <c r="Q12" s="619">
        <v>0</v>
      </c>
      <c r="R12" s="552">
        <f t="shared" ref="R12:R15" si="1">+O12/P12</f>
        <v>0.48835056037779778</v>
      </c>
      <c r="S12" s="578"/>
      <c r="T12" s="579"/>
      <c r="U12" s="579"/>
      <c r="V12" s="580"/>
    </row>
    <row r="13" spans="1:22" ht="15">
      <c r="A13" s="299" t="s">
        <v>308</v>
      </c>
      <c r="B13" s="618">
        <v>23503</v>
      </c>
      <c r="C13" s="618">
        <v>5443</v>
      </c>
      <c r="D13" s="618">
        <f>54213-C13-B13</f>
        <v>25267</v>
      </c>
      <c r="E13" s="636">
        <v>6695</v>
      </c>
      <c r="F13" s="636">
        <v>7589</v>
      </c>
      <c r="G13" s="618">
        <v>8903.9399999999987</v>
      </c>
      <c r="H13" s="618">
        <v>0</v>
      </c>
      <c r="I13" s="618">
        <v>0</v>
      </c>
      <c r="J13" s="618">
        <v>0</v>
      </c>
      <c r="K13" s="618">
        <v>0</v>
      </c>
      <c r="L13" s="618">
        <v>0</v>
      </c>
      <c r="M13" s="618">
        <v>0</v>
      </c>
      <c r="N13" s="630">
        <f t="shared" si="0"/>
        <v>77400.94</v>
      </c>
      <c r="O13" s="620">
        <f>534815+N13</f>
        <v>612215.93999999994</v>
      </c>
      <c r="P13" s="621">
        <v>4664400</v>
      </c>
      <c r="Q13" s="619">
        <v>0</v>
      </c>
      <c r="R13" s="552">
        <f t="shared" si="1"/>
        <v>0.13125288139953692</v>
      </c>
      <c r="S13" s="578"/>
      <c r="T13" s="579"/>
      <c r="U13" s="579"/>
      <c r="V13" s="580"/>
    </row>
    <row r="14" spans="1:22">
      <c r="A14" s="299" t="s">
        <v>197</v>
      </c>
      <c r="B14" s="618">
        <v>6528</v>
      </c>
      <c r="C14" s="618">
        <v>9156</v>
      </c>
      <c r="D14" s="618">
        <f>25223-C14-B14</f>
        <v>9539</v>
      </c>
      <c r="E14" s="636">
        <f>46134-SUM(B14:D14)</f>
        <v>20911</v>
      </c>
      <c r="F14" s="636">
        <v>16437</v>
      </c>
      <c r="G14" s="618">
        <v>18691.11</v>
      </c>
      <c r="H14" s="618">
        <v>0</v>
      </c>
      <c r="I14" s="618">
        <v>0</v>
      </c>
      <c r="J14" s="618">
        <v>0</v>
      </c>
      <c r="K14" s="618">
        <v>0</v>
      </c>
      <c r="L14" s="618">
        <v>0</v>
      </c>
      <c r="M14" s="618">
        <v>0</v>
      </c>
      <c r="N14" s="630">
        <f t="shared" si="0"/>
        <v>81262.11</v>
      </c>
      <c r="O14" s="620">
        <f>928210+N14</f>
        <v>1009472.11</v>
      </c>
      <c r="P14" s="619">
        <v>10301202</v>
      </c>
      <c r="Q14" s="619">
        <v>0</v>
      </c>
      <c r="R14" s="552">
        <f t="shared" si="1"/>
        <v>9.7995564983581529E-2</v>
      </c>
      <c r="S14" s="578"/>
      <c r="T14" s="579"/>
      <c r="U14" s="579"/>
      <c r="V14" s="580"/>
    </row>
    <row r="15" spans="1:22" ht="14.5">
      <c r="A15" s="300" t="s">
        <v>152</v>
      </c>
      <c r="B15" s="622">
        <v>0</v>
      </c>
      <c r="C15" s="622">
        <v>0</v>
      </c>
      <c r="D15" s="622">
        <v>0</v>
      </c>
      <c r="E15" s="710">
        <v>0</v>
      </c>
      <c r="F15" s="710">
        <v>0</v>
      </c>
      <c r="G15" s="622">
        <v>0</v>
      </c>
      <c r="H15" s="622">
        <v>0</v>
      </c>
      <c r="I15" s="622">
        <v>0</v>
      </c>
      <c r="J15" s="622">
        <v>0</v>
      </c>
      <c r="K15" s="622">
        <v>0</v>
      </c>
      <c r="L15" s="622">
        <v>0</v>
      </c>
      <c r="M15" s="622">
        <v>0</v>
      </c>
      <c r="N15" s="619">
        <f t="shared" si="0"/>
        <v>0</v>
      </c>
      <c r="O15" s="620">
        <f>15326+N15</f>
        <v>15326</v>
      </c>
      <c r="P15" s="621">
        <v>20000</v>
      </c>
      <c r="Q15" s="619">
        <v>0</v>
      </c>
      <c r="R15" s="552">
        <f t="shared" si="1"/>
        <v>0.76629999999999998</v>
      </c>
      <c r="S15" s="578"/>
      <c r="T15" s="579"/>
      <c r="U15" s="579"/>
      <c r="V15" s="580"/>
    </row>
    <row r="16" spans="1:22" ht="13">
      <c r="A16" s="301" t="s">
        <v>153</v>
      </c>
      <c r="B16" s="622">
        <f>SUM(B11:B15)</f>
        <v>204842</v>
      </c>
      <c r="C16" s="623">
        <f t="shared" ref="C16:M16" si="2">SUM(C11:C15)</f>
        <v>34818</v>
      </c>
      <c r="D16" s="623">
        <f t="shared" si="2"/>
        <v>122092</v>
      </c>
      <c r="E16" s="623">
        <f t="shared" si="2"/>
        <v>83611</v>
      </c>
      <c r="F16" s="623">
        <f t="shared" si="2"/>
        <v>78511</v>
      </c>
      <c r="G16" s="623">
        <f t="shared" si="2"/>
        <v>89537.64</v>
      </c>
      <c r="H16" s="623">
        <f t="shared" si="2"/>
        <v>0</v>
      </c>
      <c r="I16" s="623">
        <f t="shared" si="2"/>
        <v>0</v>
      </c>
      <c r="J16" s="623">
        <f t="shared" si="2"/>
        <v>0</v>
      </c>
      <c r="K16" s="623">
        <f>SUM(K11:K15)</f>
        <v>0</v>
      </c>
      <c r="L16" s="623">
        <f t="shared" si="2"/>
        <v>0</v>
      </c>
      <c r="M16" s="623">
        <f t="shared" si="2"/>
        <v>0</v>
      </c>
      <c r="N16" s="624">
        <f>SUM(N11:N15)</f>
        <v>613411.64</v>
      </c>
      <c r="O16" s="625">
        <f>SUM(O11:O15)</f>
        <v>7139315.6399999997</v>
      </c>
      <c r="P16" s="626">
        <f>SUM(P11:P15)</f>
        <v>26875502</v>
      </c>
      <c r="Q16" s="627">
        <f>SUM(Q11:Q15)</f>
        <v>0</v>
      </c>
      <c r="R16" s="553">
        <f>O16/P16</f>
        <v>0.26564399206385053</v>
      </c>
      <c r="S16" s="578"/>
      <c r="T16" s="579"/>
      <c r="U16" s="579"/>
      <c r="V16" s="580"/>
    </row>
    <row r="17" spans="1:22">
      <c r="A17" s="300"/>
      <c r="B17" s="618"/>
      <c r="C17" s="628"/>
      <c r="D17" s="628"/>
      <c r="E17" s="628"/>
      <c r="F17" s="629"/>
      <c r="G17" s="628"/>
      <c r="H17" s="629"/>
      <c r="I17" s="629"/>
      <c r="J17" s="629"/>
      <c r="K17" s="629"/>
      <c r="L17" s="629"/>
      <c r="M17" s="629"/>
      <c r="N17" s="619"/>
      <c r="O17" s="630"/>
      <c r="P17" s="621"/>
      <c r="Q17" s="619"/>
      <c r="R17" s="552"/>
      <c r="S17" s="578"/>
      <c r="T17" s="579"/>
      <c r="U17" s="579"/>
      <c r="V17" s="580"/>
    </row>
    <row r="18" spans="1:22" ht="13">
      <c r="A18" s="298" t="s">
        <v>154</v>
      </c>
      <c r="B18" s="618"/>
      <c r="C18" s="628"/>
      <c r="D18" s="628"/>
      <c r="E18" s="628"/>
      <c r="F18" s="629"/>
      <c r="G18" s="628"/>
      <c r="H18" s="629"/>
      <c r="I18" s="629"/>
      <c r="J18" s="629"/>
      <c r="K18" s="629"/>
      <c r="L18" s="629"/>
      <c r="M18" s="629"/>
      <c r="N18" s="619"/>
      <c r="O18" s="630"/>
      <c r="P18" s="621"/>
      <c r="Q18" s="619"/>
      <c r="R18" s="552"/>
      <c r="S18" s="578"/>
      <c r="T18" s="579"/>
      <c r="U18" s="579"/>
      <c r="V18" s="580"/>
    </row>
    <row r="19" spans="1:22">
      <c r="A19" s="299"/>
      <c r="B19" s="618">
        <v>0</v>
      </c>
      <c r="C19" s="628">
        <v>0</v>
      </c>
      <c r="D19" s="628">
        <v>0</v>
      </c>
      <c r="E19" s="628">
        <v>0</v>
      </c>
      <c r="F19" s="628">
        <v>0</v>
      </c>
      <c r="G19" s="628">
        <v>0</v>
      </c>
      <c r="H19" s="628">
        <v>0</v>
      </c>
      <c r="I19" s="628">
        <v>0</v>
      </c>
      <c r="J19" s="628">
        <v>0</v>
      </c>
      <c r="K19" s="628">
        <v>0</v>
      </c>
      <c r="L19" s="628">
        <v>0</v>
      </c>
      <c r="M19" s="628">
        <v>0</v>
      </c>
      <c r="N19" s="619">
        <f>SUM(B19:M19)</f>
        <v>0</v>
      </c>
      <c r="O19" s="620">
        <f>0+N19</f>
        <v>0</v>
      </c>
      <c r="P19" s="621">
        <v>0</v>
      </c>
      <c r="Q19" s="619">
        <v>0</v>
      </c>
      <c r="R19" s="552">
        <v>0</v>
      </c>
      <c r="S19" s="578"/>
      <c r="T19" s="579"/>
      <c r="U19" s="579"/>
      <c r="V19" s="580"/>
    </row>
    <row r="20" spans="1:22" ht="13">
      <c r="A20" s="301" t="s">
        <v>155</v>
      </c>
      <c r="B20" s="624">
        <f t="shared" ref="B20:M20" si="3">SUM(B19:B19)</f>
        <v>0</v>
      </c>
      <c r="C20" s="631">
        <f t="shared" si="3"/>
        <v>0</v>
      </c>
      <c r="D20" s="631">
        <f t="shared" si="3"/>
        <v>0</v>
      </c>
      <c r="E20" s="631">
        <f t="shared" si="3"/>
        <v>0</v>
      </c>
      <c r="F20" s="631">
        <f t="shared" si="3"/>
        <v>0</v>
      </c>
      <c r="G20" s="631">
        <f t="shared" si="3"/>
        <v>0</v>
      </c>
      <c r="H20" s="631">
        <f t="shared" si="3"/>
        <v>0</v>
      </c>
      <c r="I20" s="631">
        <f t="shared" si="3"/>
        <v>0</v>
      </c>
      <c r="J20" s="631">
        <f t="shared" si="3"/>
        <v>0</v>
      </c>
      <c r="K20" s="631">
        <f t="shared" si="3"/>
        <v>0</v>
      </c>
      <c r="L20" s="631">
        <f t="shared" si="3"/>
        <v>0</v>
      </c>
      <c r="M20" s="631">
        <f t="shared" si="3"/>
        <v>0</v>
      </c>
      <c r="N20" s="627">
        <f>SUM(N19:N19)</f>
        <v>0</v>
      </c>
      <c r="O20" s="632">
        <f>SUM(O19:O19)</f>
        <v>0</v>
      </c>
      <c r="P20" s="626">
        <f>SUM(P19:P19)</f>
        <v>0</v>
      </c>
      <c r="Q20" s="627">
        <f>SUM(Q19:Q19)</f>
        <v>0</v>
      </c>
      <c r="R20" s="554">
        <v>0</v>
      </c>
      <c r="S20" s="578"/>
      <c r="T20" s="579"/>
      <c r="U20" s="579"/>
      <c r="V20" s="580"/>
    </row>
    <row r="21" spans="1:22" ht="13">
      <c r="A21" s="302"/>
      <c r="B21" s="618"/>
      <c r="C21" s="628"/>
      <c r="D21" s="628"/>
      <c r="E21" s="628"/>
      <c r="F21" s="628"/>
      <c r="G21" s="628"/>
      <c r="H21" s="628"/>
      <c r="I21" s="628"/>
      <c r="J21" s="628"/>
      <c r="K21" s="628"/>
      <c r="L21" s="628"/>
      <c r="M21" s="628"/>
      <c r="N21" s="619"/>
      <c r="O21" s="630"/>
      <c r="P21" s="621"/>
      <c r="Q21" s="619"/>
      <c r="R21" s="555"/>
      <c r="S21" s="578"/>
      <c r="T21" s="579"/>
      <c r="U21" s="579"/>
      <c r="V21" s="580"/>
    </row>
    <row r="22" spans="1:22" ht="13">
      <c r="A22" s="298" t="s">
        <v>156</v>
      </c>
      <c r="B22" s="618"/>
      <c r="C22" s="628"/>
      <c r="D22" s="628"/>
      <c r="E22" s="628"/>
      <c r="F22" s="629"/>
      <c r="G22" s="628"/>
      <c r="H22" s="629"/>
      <c r="I22" s="629"/>
      <c r="J22" s="629"/>
      <c r="K22" s="629"/>
      <c r="L22" s="629"/>
      <c r="M22" s="629"/>
      <c r="N22" s="619"/>
      <c r="O22" s="630"/>
      <c r="P22" s="621"/>
      <c r="Q22" s="619"/>
      <c r="R22" s="552"/>
      <c r="S22" s="578"/>
      <c r="T22" s="579"/>
      <c r="U22" s="579"/>
      <c r="V22" s="580"/>
    </row>
    <row r="23" spans="1:22" ht="14.5">
      <c r="A23" s="299" t="s">
        <v>309</v>
      </c>
      <c r="B23" s="622">
        <v>96846</v>
      </c>
      <c r="C23" s="622">
        <v>105482</v>
      </c>
      <c r="D23" s="622">
        <f>469825-C23-B23</f>
        <v>267497</v>
      </c>
      <c r="E23" s="622">
        <f>493182-SUM(B23:D23)</f>
        <v>23357</v>
      </c>
      <c r="F23" s="622">
        <v>-19352</v>
      </c>
      <c r="G23" s="622">
        <v>320557.86999999994</v>
      </c>
      <c r="H23" s="622">
        <v>0</v>
      </c>
      <c r="I23" s="622">
        <v>0</v>
      </c>
      <c r="J23" s="622">
        <v>0</v>
      </c>
      <c r="K23" s="622">
        <v>0</v>
      </c>
      <c r="L23" s="622">
        <v>0</v>
      </c>
      <c r="M23" s="622">
        <v>0</v>
      </c>
      <c r="N23" s="619">
        <f>SUM(B23:M23)</f>
        <v>794387.86999999988</v>
      </c>
      <c r="O23" s="620">
        <f>3846745+N23</f>
        <v>4641132.87</v>
      </c>
      <c r="P23" s="621">
        <v>8320000</v>
      </c>
      <c r="Q23" s="619">
        <v>0</v>
      </c>
      <c r="R23" s="552">
        <f t="shared" ref="R23" si="4">+O23/P23</f>
        <v>0.55782846995192314</v>
      </c>
      <c r="S23" s="578"/>
      <c r="T23" s="579"/>
      <c r="U23" s="579"/>
      <c r="V23" s="580"/>
    </row>
    <row r="24" spans="1:22" ht="13">
      <c r="A24" s="301" t="s">
        <v>157</v>
      </c>
      <c r="B24" s="622">
        <f t="shared" ref="B24:M24" si="5">SUM(B23:B23)</f>
        <v>96846</v>
      </c>
      <c r="C24" s="623">
        <f t="shared" si="5"/>
        <v>105482</v>
      </c>
      <c r="D24" s="623">
        <f t="shared" si="5"/>
        <v>267497</v>
      </c>
      <c r="E24" s="623">
        <f t="shared" si="5"/>
        <v>23357</v>
      </c>
      <c r="F24" s="623">
        <f t="shared" si="5"/>
        <v>-19352</v>
      </c>
      <c r="G24" s="623">
        <f t="shared" si="5"/>
        <v>320557.86999999994</v>
      </c>
      <c r="H24" s="623">
        <f t="shared" si="5"/>
        <v>0</v>
      </c>
      <c r="I24" s="623">
        <f t="shared" si="5"/>
        <v>0</v>
      </c>
      <c r="J24" s="623">
        <f t="shared" si="5"/>
        <v>0</v>
      </c>
      <c r="K24" s="623">
        <f t="shared" si="5"/>
        <v>0</v>
      </c>
      <c r="L24" s="623">
        <f t="shared" si="5"/>
        <v>0</v>
      </c>
      <c r="M24" s="623">
        <f t="shared" si="5"/>
        <v>0</v>
      </c>
      <c r="N24" s="627">
        <f>SUM(N23:N23)</f>
        <v>794387.86999999988</v>
      </c>
      <c r="O24" s="632">
        <f>O23</f>
        <v>4641132.87</v>
      </c>
      <c r="P24" s="626">
        <f>SUM(P23:P23)</f>
        <v>8320000</v>
      </c>
      <c r="Q24" s="627">
        <f>SUM(Q23:Q23)</f>
        <v>0</v>
      </c>
      <c r="R24" s="554">
        <f>O24/P24</f>
        <v>0.55782846995192314</v>
      </c>
      <c r="S24" s="578"/>
      <c r="T24" s="579"/>
      <c r="U24" s="579"/>
      <c r="V24" s="580"/>
    </row>
    <row r="25" spans="1:22" ht="13">
      <c r="A25" s="298"/>
      <c r="B25" s="618"/>
      <c r="C25" s="628"/>
      <c r="D25" s="628"/>
      <c r="E25" s="628"/>
      <c r="F25" s="629"/>
      <c r="G25" s="628"/>
      <c r="H25" s="629"/>
      <c r="I25" s="629"/>
      <c r="J25" s="629"/>
      <c r="K25" s="629"/>
      <c r="L25" s="629"/>
      <c r="M25" s="629"/>
      <c r="N25" s="619"/>
      <c r="O25" s="630"/>
      <c r="P25" s="621"/>
      <c r="Q25" s="619"/>
      <c r="R25" s="552"/>
      <c r="S25" s="578"/>
      <c r="T25" s="579"/>
      <c r="U25" s="579"/>
      <c r="V25" s="580"/>
    </row>
    <row r="26" spans="1:22" ht="13">
      <c r="A26" s="298" t="s">
        <v>158</v>
      </c>
      <c r="B26" s="618"/>
      <c r="C26" s="628"/>
      <c r="D26" s="628"/>
      <c r="E26" s="628"/>
      <c r="F26" s="629"/>
      <c r="G26" s="628"/>
      <c r="H26" s="629"/>
      <c r="I26" s="629"/>
      <c r="J26" s="629"/>
      <c r="K26" s="629"/>
      <c r="L26" s="629"/>
      <c r="M26" s="629"/>
      <c r="N26" s="619"/>
      <c r="O26" s="630"/>
      <c r="P26" s="621"/>
      <c r="Q26" s="619"/>
      <c r="R26" s="552"/>
      <c r="S26" s="578"/>
      <c r="T26" s="579"/>
      <c r="U26" s="579"/>
      <c r="V26" s="580"/>
    </row>
    <row r="27" spans="1:22">
      <c r="A27" s="299" t="s">
        <v>159</v>
      </c>
      <c r="B27" s="633">
        <v>22999</v>
      </c>
      <c r="C27" s="633">
        <v>17650</v>
      </c>
      <c r="D27" s="633">
        <v>50081</v>
      </c>
      <c r="E27" s="633">
        <v>21035</v>
      </c>
      <c r="F27" s="633">
        <v>41123</v>
      </c>
      <c r="G27" s="633">
        <v>14076.98</v>
      </c>
      <c r="H27" s="633">
        <v>0</v>
      </c>
      <c r="I27" s="633">
        <v>0</v>
      </c>
      <c r="J27" s="633">
        <v>0</v>
      </c>
      <c r="K27" s="633">
        <v>0</v>
      </c>
      <c r="L27" s="633">
        <v>0</v>
      </c>
      <c r="M27" s="633">
        <v>0</v>
      </c>
      <c r="N27" s="619">
        <f>SUM(B27:M27)</f>
        <v>166964.98000000001</v>
      </c>
      <c r="O27" s="620">
        <f>1326267+N27</f>
        <v>1493231.98</v>
      </c>
      <c r="P27" s="621">
        <v>3483000</v>
      </c>
      <c r="Q27" s="619">
        <v>0</v>
      </c>
      <c r="R27" s="552">
        <f t="shared" ref="R27:R29" si="6">+O27/P27</f>
        <v>0.42872006316393912</v>
      </c>
      <c r="S27" s="578"/>
      <c r="T27" s="579"/>
      <c r="U27" s="579"/>
      <c r="V27" s="580"/>
    </row>
    <row r="28" spans="1:22">
      <c r="A28" s="299" t="s">
        <v>160</v>
      </c>
      <c r="B28" s="618">
        <v>29511</v>
      </c>
      <c r="C28" s="618">
        <v>26533</v>
      </c>
      <c r="D28" s="618">
        <v>28341</v>
      </c>
      <c r="E28" s="618">
        <f>124759-SUM(B28:D28)</f>
        <v>40374</v>
      </c>
      <c r="F28" s="618">
        <v>18416</v>
      </c>
      <c r="G28" s="618">
        <v>28532.93</v>
      </c>
      <c r="H28" s="618">
        <v>0</v>
      </c>
      <c r="I28" s="618">
        <v>0</v>
      </c>
      <c r="J28" s="618">
        <v>0</v>
      </c>
      <c r="K28" s="618">
        <v>0</v>
      </c>
      <c r="L28" s="618">
        <v>0</v>
      </c>
      <c r="M28" s="618">
        <v>0</v>
      </c>
      <c r="N28" s="619">
        <f>SUM(B28:M28)</f>
        <v>171707.93</v>
      </c>
      <c r="O28" s="620">
        <f>1608647+N28</f>
        <v>1780354.93</v>
      </c>
      <c r="P28" s="621">
        <v>3794000</v>
      </c>
      <c r="Q28" s="619">
        <v>0</v>
      </c>
      <c r="R28" s="552">
        <f t="shared" si="6"/>
        <v>0.46925538481813389</v>
      </c>
      <c r="S28" s="578"/>
      <c r="T28" s="579"/>
      <c r="U28" s="579"/>
      <c r="V28" s="580"/>
    </row>
    <row r="29" spans="1:22">
      <c r="A29" s="303" t="s">
        <v>161</v>
      </c>
      <c r="B29" s="622">
        <v>7417</v>
      </c>
      <c r="C29" s="622">
        <v>9018</v>
      </c>
      <c r="D29" s="622">
        <v>10206</v>
      </c>
      <c r="E29" s="622">
        <f>51904-SUM(B29:D29)</f>
        <v>25263</v>
      </c>
      <c r="F29" s="622">
        <v>7642</v>
      </c>
      <c r="G29" s="622">
        <v>10083.32</v>
      </c>
      <c r="H29" s="622">
        <v>0</v>
      </c>
      <c r="I29" s="622">
        <v>0</v>
      </c>
      <c r="J29" s="622">
        <v>0</v>
      </c>
      <c r="K29" s="622">
        <v>0</v>
      </c>
      <c r="L29" s="622">
        <v>0</v>
      </c>
      <c r="M29" s="622">
        <v>0</v>
      </c>
      <c r="N29" s="619">
        <f>SUM(B29:M29)</f>
        <v>69629.320000000007</v>
      </c>
      <c r="O29" s="620">
        <f>968425+N29</f>
        <v>1038054.3200000001</v>
      </c>
      <c r="P29" s="619">
        <v>11267000</v>
      </c>
      <c r="Q29" s="619">
        <v>0</v>
      </c>
      <c r="R29" s="552">
        <f t="shared" si="6"/>
        <v>9.2132273009674276E-2</v>
      </c>
      <c r="S29" s="578"/>
      <c r="T29" s="579"/>
      <c r="U29" s="579"/>
      <c r="V29" s="580"/>
    </row>
    <row r="30" spans="1:22" ht="13">
      <c r="A30" s="301" t="s">
        <v>162</v>
      </c>
      <c r="B30" s="622">
        <f t="shared" ref="B30:I30" si="7">SUM(B27:B29)</f>
        <v>59927</v>
      </c>
      <c r="C30" s="623">
        <f t="shared" si="7"/>
        <v>53201</v>
      </c>
      <c r="D30" s="623">
        <f t="shared" si="7"/>
        <v>88628</v>
      </c>
      <c r="E30" s="623">
        <f>SUM(E27:E29)</f>
        <v>86672</v>
      </c>
      <c r="F30" s="634">
        <f t="shared" si="7"/>
        <v>67181</v>
      </c>
      <c r="G30" s="623">
        <f t="shared" si="7"/>
        <v>52693.23</v>
      </c>
      <c r="H30" s="634">
        <f t="shared" si="7"/>
        <v>0</v>
      </c>
      <c r="I30" s="634">
        <f t="shared" si="7"/>
        <v>0</v>
      </c>
      <c r="J30" s="634">
        <f>SUM(J27:J29)</f>
        <v>0</v>
      </c>
      <c r="K30" s="634">
        <f>SUM(K27:K29)</f>
        <v>0</v>
      </c>
      <c r="L30" s="634">
        <f>SUM(L27:L29)</f>
        <v>0</v>
      </c>
      <c r="M30" s="634">
        <f t="shared" ref="M30:Q30" si="8">SUM(M27:M29)</f>
        <v>0</v>
      </c>
      <c r="N30" s="627">
        <f t="shared" si="8"/>
        <v>408302.23000000004</v>
      </c>
      <c r="O30" s="632">
        <f t="shared" si="8"/>
        <v>4311641.2300000004</v>
      </c>
      <c r="P30" s="626">
        <f>SUM(P27:P29)</f>
        <v>18544000</v>
      </c>
      <c r="Q30" s="627">
        <f t="shared" si="8"/>
        <v>0</v>
      </c>
      <c r="R30" s="554">
        <f>O30/P30</f>
        <v>0.23250869445642797</v>
      </c>
      <c r="S30" s="578"/>
      <c r="T30" s="579"/>
      <c r="U30" s="579"/>
      <c r="V30" s="580"/>
    </row>
    <row r="31" spans="1:22">
      <c r="A31" s="299"/>
      <c r="B31" s="618"/>
      <c r="C31" s="628"/>
      <c r="D31" s="628"/>
      <c r="E31" s="628"/>
      <c r="F31" s="629"/>
      <c r="G31" s="628"/>
      <c r="H31" s="629"/>
      <c r="I31" s="629"/>
      <c r="J31" s="629"/>
      <c r="K31" s="629"/>
      <c r="L31" s="629"/>
      <c r="M31" s="629"/>
      <c r="N31" s="619"/>
      <c r="O31" s="630"/>
      <c r="P31" s="621"/>
      <c r="Q31" s="619"/>
      <c r="R31" s="552"/>
      <c r="S31" s="578"/>
      <c r="T31" s="579"/>
      <c r="U31" s="579"/>
      <c r="V31" s="580"/>
    </row>
    <row r="32" spans="1:22" ht="13">
      <c r="A32" s="298" t="s">
        <v>163</v>
      </c>
      <c r="B32" s="618"/>
      <c r="C32" s="628"/>
      <c r="D32" s="628"/>
      <c r="E32" s="628"/>
      <c r="F32" s="629"/>
      <c r="G32" s="628"/>
      <c r="H32" s="629"/>
      <c r="I32" s="629"/>
      <c r="J32" s="629"/>
      <c r="K32" s="629"/>
      <c r="L32" s="629"/>
      <c r="M32" s="629"/>
      <c r="N32" s="619"/>
      <c r="O32" s="630"/>
      <c r="P32" s="621"/>
      <c r="Q32" s="619"/>
      <c r="R32" s="552"/>
      <c r="S32" s="578"/>
      <c r="T32" s="579"/>
      <c r="U32" s="579"/>
      <c r="V32" s="580"/>
    </row>
    <row r="33" spans="1:22">
      <c r="A33" s="299" t="s">
        <v>164</v>
      </c>
      <c r="B33" s="633">
        <v>0</v>
      </c>
      <c r="C33" s="633">
        <v>0</v>
      </c>
      <c r="D33" s="633">
        <v>0</v>
      </c>
      <c r="E33" s="633">
        <v>0</v>
      </c>
      <c r="F33" s="633">
        <v>0</v>
      </c>
      <c r="G33" s="633">
        <v>0</v>
      </c>
      <c r="H33" s="633">
        <v>0</v>
      </c>
      <c r="I33" s="633">
        <v>0</v>
      </c>
      <c r="J33" s="633">
        <v>0</v>
      </c>
      <c r="K33" s="633">
        <v>0</v>
      </c>
      <c r="L33" s="633">
        <v>0</v>
      </c>
      <c r="M33" s="633">
        <v>0</v>
      </c>
      <c r="N33" s="619">
        <f>SUM(B33:M33)</f>
        <v>0</v>
      </c>
      <c r="O33" s="620">
        <f>8111.66+N33</f>
        <v>8111.66</v>
      </c>
      <c r="P33" s="621">
        <v>2507000</v>
      </c>
      <c r="Q33" s="619">
        <v>0</v>
      </c>
      <c r="R33" s="552">
        <f t="shared" ref="R33:R36" si="9">+O33/P33</f>
        <v>3.2356043079377742E-3</v>
      </c>
      <c r="S33" s="578"/>
      <c r="T33" s="579"/>
      <c r="U33" s="579"/>
      <c r="V33" s="580"/>
    </row>
    <row r="34" spans="1:22">
      <c r="A34" s="299" t="s">
        <v>165</v>
      </c>
      <c r="B34" s="618">
        <v>111344</v>
      </c>
      <c r="C34" s="618">
        <v>1498</v>
      </c>
      <c r="D34" s="618">
        <f>114985-B34-C34</f>
        <v>2143</v>
      </c>
      <c r="E34" s="618">
        <f>116939-SUM(B34:D34)</f>
        <v>1954</v>
      </c>
      <c r="F34" s="618">
        <v>1678</v>
      </c>
      <c r="G34" s="618">
        <v>621.53</v>
      </c>
      <c r="H34" s="618">
        <v>0</v>
      </c>
      <c r="I34" s="618">
        <v>0</v>
      </c>
      <c r="J34" s="618">
        <v>0</v>
      </c>
      <c r="K34" s="618">
        <v>0</v>
      </c>
      <c r="L34" s="618">
        <v>0</v>
      </c>
      <c r="M34" s="618">
        <v>0</v>
      </c>
      <c r="N34" s="619">
        <f>SUM(B34:M34)</f>
        <v>119238.53</v>
      </c>
      <c r="O34" s="620">
        <f>63741+N34</f>
        <v>182979.53</v>
      </c>
      <c r="P34" s="619">
        <v>500000</v>
      </c>
      <c r="Q34" s="619">
        <v>0</v>
      </c>
      <c r="R34" s="552">
        <f t="shared" si="9"/>
        <v>0.36595906</v>
      </c>
      <c r="S34" s="578"/>
      <c r="T34" s="579"/>
      <c r="U34" s="579"/>
      <c r="V34" s="580"/>
    </row>
    <row r="35" spans="1:22">
      <c r="A35" s="313" t="s">
        <v>166</v>
      </c>
      <c r="B35" s="618">
        <v>1681</v>
      </c>
      <c r="C35" s="618">
        <v>1873</v>
      </c>
      <c r="D35" s="618">
        <f>6233-C35-B35</f>
        <v>2679</v>
      </c>
      <c r="E35" s="618">
        <v>2442</v>
      </c>
      <c r="F35" s="618">
        <v>2098</v>
      </c>
      <c r="G35" s="618">
        <f>776.91-1</f>
        <v>775.91</v>
      </c>
      <c r="H35" s="618">
        <v>0</v>
      </c>
      <c r="I35" s="618">
        <v>0</v>
      </c>
      <c r="J35" s="618">
        <v>0</v>
      </c>
      <c r="K35" s="618">
        <v>0</v>
      </c>
      <c r="L35" s="618">
        <v>0</v>
      </c>
      <c r="M35" s="618">
        <v>0</v>
      </c>
      <c r="N35" s="619">
        <f>SUM(B35:M35)</f>
        <v>11548.91</v>
      </c>
      <c r="O35" s="620">
        <f>615021+N35</f>
        <v>626569.91</v>
      </c>
      <c r="P35" s="621">
        <v>2148000</v>
      </c>
      <c r="Q35" s="619">
        <v>0</v>
      </c>
      <c r="R35" s="552">
        <f t="shared" si="9"/>
        <v>0.29169921322160153</v>
      </c>
      <c r="S35" s="578"/>
      <c r="T35" s="579"/>
      <c r="U35" s="579"/>
      <c r="V35" s="580"/>
    </row>
    <row r="36" spans="1:22">
      <c r="A36" s="314" t="s">
        <v>167</v>
      </c>
      <c r="B36" s="622">
        <v>0</v>
      </c>
      <c r="C36" s="622">
        <v>0</v>
      </c>
      <c r="D36" s="622">
        <v>0</v>
      </c>
      <c r="E36" s="622">
        <v>0</v>
      </c>
      <c r="F36" s="622">
        <v>0</v>
      </c>
      <c r="G36" s="622">
        <v>0</v>
      </c>
      <c r="H36" s="622">
        <v>0</v>
      </c>
      <c r="I36" s="622">
        <v>0</v>
      </c>
      <c r="J36" s="622">
        <v>0</v>
      </c>
      <c r="K36" s="622">
        <v>0</v>
      </c>
      <c r="L36" s="622">
        <v>0</v>
      </c>
      <c r="M36" s="622">
        <v>0</v>
      </c>
      <c r="N36" s="619">
        <f>SUM(B36:M36)</f>
        <v>0</v>
      </c>
      <c r="O36" s="620">
        <f>36789+N36</f>
        <v>36789</v>
      </c>
      <c r="P36" s="619">
        <v>340000</v>
      </c>
      <c r="Q36" s="619">
        <v>0</v>
      </c>
      <c r="R36" s="552">
        <f t="shared" si="9"/>
        <v>0.10820294117647059</v>
      </c>
      <c r="S36" s="578"/>
      <c r="T36" s="579"/>
      <c r="U36" s="579"/>
      <c r="V36" s="580"/>
    </row>
    <row r="37" spans="1:22" ht="13">
      <c r="A37" s="301" t="s">
        <v>266</v>
      </c>
      <c r="B37" s="622">
        <f t="shared" ref="B37:Q37" si="10">SUM(B33:B36)</f>
        <v>113025</v>
      </c>
      <c r="C37" s="623">
        <f t="shared" si="10"/>
        <v>3371</v>
      </c>
      <c r="D37" s="623">
        <f t="shared" si="10"/>
        <v>4822</v>
      </c>
      <c r="E37" s="623">
        <f t="shared" si="10"/>
        <v>4396</v>
      </c>
      <c r="F37" s="623">
        <f t="shared" si="10"/>
        <v>3776</v>
      </c>
      <c r="G37" s="623">
        <f t="shared" si="10"/>
        <v>1397.44</v>
      </c>
      <c r="H37" s="623">
        <f t="shared" si="10"/>
        <v>0</v>
      </c>
      <c r="I37" s="623">
        <f t="shared" si="10"/>
        <v>0</v>
      </c>
      <c r="J37" s="623">
        <f t="shared" si="10"/>
        <v>0</v>
      </c>
      <c r="K37" s="623">
        <f t="shared" si="10"/>
        <v>0</v>
      </c>
      <c r="L37" s="623">
        <f t="shared" si="10"/>
        <v>0</v>
      </c>
      <c r="M37" s="623">
        <f t="shared" si="10"/>
        <v>0</v>
      </c>
      <c r="N37" s="627">
        <f>SUM(N33:N36)</f>
        <v>130787.44</v>
      </c>
      <c r="O37" s="632">
        <f>SUM(O33:O36)</f>
        <v>854450.10000000009</v>
      </c>
      <c r="P37" s="626">
        <f t="shared" si="10"/>
        <v>5495000</v>
      </c>
      <c r="Q37" s="627">
        <f t="shared" si="10"/>
        <v>0</v>
      </c>
      <c r="R37" s="554">
        <f>O37/P37</f>
        <v>0.155495923566879</v>
      </c>
      <c r="S37" s="578"/>
      <c r="T37" s="579"/>
      <c r="U37" s="579"/>
      <c r="V37" s="580"/>
    </row>
    <row r="38" spans="1:22">
      <c r="A38" s="299"/>
      <c r="B38" s="618"/>
      <c r="C38" s="628"/>
      <c r="D38" s="628"/>
      <c r="E38" s="628"/>
      <c r="F38" s="629"/>
      <c r="G38" s="628"/>
      <c r="H38" s="629"/>
      <c r="I38" s="629"/>
      <c r="J38" s="629"/>
      <c r="K38" s="629"/>
      <c r="L38" s="629"/>
      <c r="M38" s="629"/>
      <c r="N38" s="619"/>
      <c r="O38" s="630"/>
      <c r="P38" s="621"/>
      <c r="Q38" s="619"/>
      <c r="R38" s="552"/>
      <c r="S38" s="578"/>
      <c r="T38" s="579"/>
      <c r="U38" s="579"/>
      <c r="V38" s="580"/>
    </row>
    <row r="39" spans="1:22" ht="13">
      <c r="A39" s="298" t="s">
        <v>168</v>
      </c>
      <c r="B39" s="618"/>
      <c r="C39" s="628"/>
      <c r="D39" s="628"/>
      <c r="E39" s="628"/>
      <c r="F39" s="629"/>
      <c r="G39" s="628"/>
      <c r="H39" s="629"/>
      <c r="I39" s="629"/>
      <c r="J39" s="629"/>
      <c r="K39" s="629"/>
      <c r="L39" s="629"/>
      <c r="M39" s="629"/>
      <c r="N39" s="619"/>
      <c r="O39" s="630"/>
      <c r="P39" s="621"/>
      <c r="Q39" s="619"/>
      <c r="R39" s="552"/>
      <c r="S39" s="578"/>
      <c r="T39" s="579"/>
      <c r="U39" s="579"/>
      <c r="V39" s="580"/>
    </row>
    <row r="40" spans="1:22">
      <c r="A40" s="299" t="s">
        <v>265</v>
      </c>
      <c r="B40" s="635">
        <v>2750</v>
      </c>
      <c r="C40" s="635">
        <v>0</v>
      </c>
      <c r="D40" s="635">
        <v>40412</v>
      </c>
      <c r="E40" s="635">
        <v>1641</v>
      </c>
      <c r="F40" s="635">
        <v>43449</v>
      </c>
      <c r="G40" s="635">
        <v>130793</v>
      </c>
      <c r="H40" s="635">
        <v>0</v>
      </c>
      <c r="I40" s="635">
        <v>0</v>
      </c>
      <c r="J40" s="635">
        <v>0</v>
      </c>
      <c r="K40" s="635">
        <v>0</v>
      </c>
      <c r="L40" s="635">
        <v>0</v>
      </c>
      <c r="M40" s="635">
        <v>0</v>
      </c>
      <c r="N40" s="619">
        <f>SUM(B40:M40)</f>
        <v>219045</v>
      </c>
      <c r="O40" s="620">
        <f>2744778+N40</f>
        <v>2963823</v>
      </c>
      <c r="P40" s="621">
        <v>4502000</v>
      </c>
      <c r="Q40" s="619">
        <v>0</v>
      </c>
      <c r="R40" s="552">
        <f t="shared" ref="R40" si="11">+O40/P40</f>
        <v>0.65833474011550419</v>
      </c>
      <c r="S40" s="578"/>
      <c r="T40" s="579"/>
      <c r="U40" s="579"/>
      <c r="V40" s="580"/>
    </row>
    <row r="41" spans="1:22" ht="13">
      <c r="A41" s="301" t="s">
        <v>169</v>
      </c>
      <c r="B41" s="622">
        <f t="shared" ref="B41:N41" si="12">SUM(B40:B40)</f>
        <v>2750</v>
      </c>
      <c r="C41" s="623">
        <f t="shared" si="12"/>
        <v>0</v>
      </c>
      <c r="D41" s="623">
        <f t="shared" si="12"/>
        <v>40412</v>
      </c>
      <c r="E41" s="623">
        <f t="shared" si="12"/>
        <v>1641</v>
      </c>
      <c r="F41" s="634">
        <f t="shared" si="12"/>
        <v>43449</v>
      </c>
      <c r="G41" s="623">
        <f t="shared" si="12"/>
        <v>130793</v>
      </c>
      <c r="H41" s="634">
        <f t="shared" si="12"/>
        <v>0</v>
      </c>
      <c r="I41" s="634">
        <f t="shared" si="12"/>
        <v>0</v>
      </c>
      <c r="J41" s="634">
        <f t="shared" si="12"/>
        <v>0</v>
      </c>
      <c r="K41" s="634">
        <f t="shared" si="12"/>
        <v>0</v>
      </c>
      <c r="L41" s="634">
        <f t="shared" si="12"/>
        <v>0</v>
      </c>
      <c r="M41" s="634">
        <f t="shared" si="12"/>
        <v>0</v>
      </c>
      <c r="N41" s="627">
        <f t="shared" si="12"/>
        <v>219045</v>
      </c>
      <c r="O41" s="632">
        <f>O40</f>
        <v>2963823</v>
      </c>
      <c r="P41" s="626">
        <f>SUM(P40)</f>
        <v>4502000</v>
      </c>
      <c r="Q41" s="627">
        <f>SUM(Q40:Q40)</f>
        <v>0</v>
      </c>
      <c r="R41" s="554">
        <f>O41/P41</f>
        <v>0.65833474011550419</v>
      </c>
      <c r="S41" s="578"/>
      <c r="T41" s="579"/>
      <c r="U41" s="579"/>
      <c r="V41" s="580"/>
    </row>
    <row r="42" spans="1:22" ht="13">
      <c r="A42" s="298"/>
      <c r="B42" s="618"/>
      <c r="C42" s="628"/>
      <c r="D42" s="628"/>
      <c r="E42" s="628"/>
      <c r="F42" s="629"/>
      <c r="G42" s="628"/>
      <c r="H42" s="629"/>
      <c r="I42" s="629"/>
      <c r="J42" s="629"/>
      <c r="K42" s="629"/>
      <c r="L42" s="629"/>
      <c r="M42" s="629"/>
      <c r="N42" s="619"/>
      <c r="O42" s="636"/>
      <c r="P42" s="637"/>
      <c r="Q42" s="619"/>
      <c r="R42" s="552"/>
      <c r="S42" s="578"/>
      <c r="T42" s="579"/>
      <c r="U42" s="579"/>
      <c r="V42" s="580"/>
    </row>
    <row r="43" spans="1:22" ht="13">
      <c r="A43" s="298" t="s">
        <v>170</v>
      </c>
      <c r="B43" s="618"/>
      <c r="C43" s="628"/>
      <c r="D43" s="628"/>
      <c r="E43" s="628"/>
      <c r="F43" s="629"/>
      <c r="G43" s="628"/>
      <c r="H43" s="629"/>
      <c r="I43" s="629"/>
      <c r="J43" s="629"/>
      <c r="K43" s="629"/>
      <c r="L43" s="629"/>
      <c r="M43" s="629"/>
      <c r="N43" s="619"/>
      <c r="O43" s="636"/>
      <c r="P43" s="621"/>
      <c r="Q43" s="619"/>
      <c r="R43" s="552"/>
      <c r="S43" s="578"/>
      <c r="T43" s="579"/>
      <c r="U43" s="579"/>
      <c r="V43" s="580"/>
    </row>
    <row r="44" spans="1:22" ht="14.5">
      <c r="A44" s="299" t="s">
        <v>264</v>
      </c>
      <c r="B44" s="618">
        <v>37208</v>
      </c>
      <c r="C44" s="618">
        <v>42548</v>
      </c>
      <c r="D44" s="618">
        <f>137335-C44-B44</f>
        <v>57579</v>
      </c>
      <c r="E44" s="618">
        <f>188884-SUM(B44:D44)</f>
        <v>51549</v>
      </c>
      <c r="F44" s="618">
        <v>49262</v>
      </c>
      <c r="G44" s="618">
        <v>42520.360000000015</v>
      </c>
      <c r="H44" s="618">
        <v>0</v>
      </c>
      <c r="I44" s="618">
        <v>0</v>
      </c>
      <c r="J44" s="618">
        <v>0</v>
      </c>
      <c r="K44" s="618">
        <v>0</v>
      </c>
      <c r="L44" s="618">
        <v>0</v>
      </c>
      <c r="M44" s="618">
        <v>0</v>
      </c>
      <c r="N44" s="619">
        <f>SUM(B44:M44)</f>
        <v>280666.36</v>
      </c>
      <c r="O44" s="620">
        <f>1537662+N44</f>
        <v>1818328.3599999999</v>
      </c>
      <c r="P44" s="638">
        <f>4095000-166000</f>
        <v>3929000</v>
      </c>
      <c r="Q44" s="619">
        <v>-166000</v>
      </c>
      <c r="R44" s="552">
        <f t="shared" ref="R44:R47" si="13">+O44/P44</f>
        <v>0.46279673199287347</v>
      </c>
      <c r="S44" s="578"/>
      <c r="T44" s="579"/>
      <c r="U44" s="579"/>
      <c r="V44" s="580"/>
    </row>
    <row r="45" spans="1:22" s="197" customFormat="1" ht="14.5">
      <c r="A45" s="300" t="s">
        <v>263</v>
      </c>
      <c r="B45" s="618">
        <v>120524</v>
      </c>
      <c r="C45" s="618">
        <v>107796</v>
      </c>
      <c r="D45" s="618">
        <f>380534-C45-B45</f>
        <v>152214</v>
      </c>
      <c r="E45" s="618">
        <f>530558-SUM(B45:D45)</f>
        <v>150024</v>
      </c>
      <c r="F45" s="618">
        <v>74804</v>
      </c>
      <c r="G45" s="618">
        <v>506283.61000000004</v>
      </c>
      <c r="H45" s="618">
        <v>0</v>
      </c>
      <c r="I45" s="618">
        <v>0</v>
      </c>
      <c r="J45" s="618">
        <v>0</v>
      </c>
      <c r="K45" s="618">
        <v>0</v>
      </c>
      <c r="L45" s="618">
        <v>0</v>
      </c>
      <c r="M45" s="618">
        <v>0</v>
      </c>
      <c r="N45" s="621">
        <f>SUM(B45:M45)</f>
        <v>1111645.6100000001</v>
      </c>
      <c r="O45" s="620">
        <f>5262171+N45</f>
        <v>6373816.6100000003</v>
      </c>
      <c r="P45" s="638">
        <f>7948000+566000</f>
        <v>8514000</v>
      </c>
      <c r="Q45" s="621">
        <v>566000</v>
      </c>
      <c r="R45" s="556">
        <f t="shared" si="13"/>
        <v>0.74862774371623209</v>
      </c>
      <c r="S45" s="578"/>
      <c r="T45" s="579"/>
      <c r="U45" s="579"/>
      <c r="V45" s="580"/>
    </row>
    <row r="46" spans="1:22">
      <c r="A46" s="299" t="s">
        <v>243</v>
      </c>
      <c r="B46" s="618">
        <v>23262</v>
      </c>
      <c r="C46" s="618">
        <v>81327</v>
      </c>
      <c r="D46" s="618">
        <f>174323-C46-B46</f>
        <v>69734</v>
      </c>
      <c r="E46" s="618">
        <f>223736-SUM(B46:D46)</f>
        <v>49413</v>
      </c>
      <c r="F46" s="618">
        <v>35721</v>
      </c>
      <c r="G46" s="618">
        <v>33500.620000000003</v>
      </c>
      <c r="H46" s="618">
        <v>0</v>
      </c>
      <c r="I46" s="618">
        <v>0</v>
      </c>
      <c r="J46" s="618">
        <v>0</v>
      </c>
      <c r="K46" s="618">
        <v>0</v>
      </c>
      <c r="L46" s="618">
        <v>0</v>
      </c>
      <c r="M46" s="618">
        <v>0</v>
      </c>
      <c r="N46" s="619">
        <f>SUM(B46:M46)</f>
        <v>292957.62</v>
      </c>
      <c r="O46" s="620">
        <f>2125875+N46</f>
        <v>2418832.62</v>
      </c>
      <c r="P46" s="639">
        <f>5600600-400000</f>
        <v>5200600</v>
      </c>
      <c r="Q46" s="619">
        <v>-400000</v>
      </c>
      <c r="R46" s="552">
        <f t="shared" si="13"/>
        <v>0.46510645310156523</v>
      </c>
      <c r="S46" s="578"/>
      <c r="T46" s="579"/>
      <c r="U46" s="579"/>
      <c r="V46" s="580"/>
    </row>
    <row r="47" spans="1:22">
      <c r="A47" s="299" t="s">
        <v>172</v>
      </c>
      <c r="B47" s="618">
        <v>3379</v>
      </c>
      <c r="C47" s="618">
        <v>24799</v>
      </c>
      <c r="D47" s="618">
        <v>0</v>
      </c>
      <c r="E47" s="646">
        <f>28178-SUM(B47:D47)</f>
        <v>0</v>
      </c>
      <c r="F47" s="618">
        <v>0</v>
      </c>
      <c r="G47" s="618">
        <v>103866.39</v>
      </c>
      <c r="H47" s="618">
        <v>0</v>
      </c>
      <c r="I47" s="618">
        <v>0</v>
      </c>
      <c r="J47" s="618">
        <v>0</v>
      </c>
      <c r="K47" s="618">
        <v>0</v>
      </c>
      <c r="L47" s="618">
        <v>0</v>
      </c>
      <c r="M47" s="618">
        <v>0</v>
      </c>
      <c r="N47" s="619">
        <f>SUM(B47:M47)</f>
        <v>132044.39000000001</v>
      </c>
      <c r="O47" s="620">
        <f>239456+N47</f>
        <v>371500.39</v>
      </c>
      <c r="P47" s="640">
        <v>1000000</v>
      </c>
      <c r="Q47" s="619">
        <v>0</v>
      </c>
      <c r="R47" s="552">
        <f t="shared" si="13"/>
        <v>0.37150039000000001</v>
      </c>
      <c r="S47" s="578"/>
      <c r="T47" s="579"/>
      <c r="U47" s="579"/>
      <c r="V47" s="580"/>
    </row>
    <row r="48" spans="1:22" ht="13">
      <c r="A48" s="301" t="s">
        <v>173</v>
      </c>
      <c r="B48" s="624">
        <f>SUM(B44:B47)</f>
        <v>184373</v>
      </c>
      <c r="C48" s="631">
        <f t="shared" ref="C48:M48" si="14">SUM(C44:C47)</f>
        <v>256470</v>
      </c>
      <c r="D48" s="631">
        <f t="shared" si="14"/>
        <v>279527</v>
      </c>
      <c r="E48" s="631">
        <f t="shared" si="14"/>
        <v>250986</v>
      </c>
      <c r="F48" s="631">
        <f t="shared" si="14"/>
        <v>159787</v>
      </c>
      <c r="G48" s="631">
        <f>SUM(G44:G47)</f>
        <v>686170.9800000001</v>
      </c>
      <c r="H48" s="631">
        <f t="shared" si="14"/>
        <v>0</v>
      </c>
      <c r="I48" s="631">
        <f t="shared" si="14"/>
        <v>0</v>
      </c>
      <c r="J48" s="631">
        <f t="shared" si="14"/>
        <v>0</v>
      </c>
      <c r="K48" s="631">
        <f t="shared" si="14"/>
        <v>0</v>
      </c>
      <c r="L48" s="631">
        <f t="shared" si="14"/>
        <v>0</v>
      </c>
      <c r="M48" s="631">
        <f t="shared" si="14"/>
        <v>0</v>
      </c>
      <c r="N48" s="627">
        <f>N47+N46+N45+N44</f>
        <v>1817313.98</v>
      </c>
      <c r="O48" s="632">
        <f>SUM(O44:O47)</f>
        <v>10982477.98</v>
      </c>
      <c r="P48" s="626">
        <f>SUM(P44:P47)</f>
        <v>18643600</v>
      </c>
      <c r="Q48" s="627">
        <f>SUM(Q44:Q47)</f>
        <v>0</v>
      </c>
      <c r="R48" s="554">
        <f>O48/P48</f>
        <v>0.58907496298998052</v>
      </c>
      <c r="S48" s="578"/>
      <c r="T48" s="579"/>
      <c r="U48" s="579"/>
      <c r="V48" s="579"/>
    </row>
    <row r="49" spans="1:22" ht="13">
      <c r="A49" s="298"/>
      <c r="B49" s="618"/>
      <c r="C49" s="628"/>
      <c r="D49" s="628"/>
      <c r="E49" s="628"/>
      <c r="F49" s="629"/>
      <c r="G49" s="628"/>
      <c r="H49" s="629"/>
      <c r="I49" s="629"/>
      <c r="J49" s="629"/>
      <c r="K49" s="629"/>
      <c r="L49" s="629"/>
      <c r="M49" s="629"/>
      <c r="N49" s="619"/>
      <c r="O49" s="630"/>
      <c r="P49" s="621"/>
      <c r="Q49" s="619"/>
      <c r="R49" s="552"/>
      <c r="S49" s="578"/>
      <c r="T49" s="579"/>
      <c r="U49" s="579"/>
      <c r="V49" s="579"/>
    </row>
    <row r="50" spans="1:22" ht="15" customHeight="1">
      <c r="A50" s="304" t="s">
        <v>174</v>
      </c>
      <c r="B50" s="624">
        <f>B48+B41+B37+B30+B24+B20+B16</f>
        <v>661763</v>
      </c>
      <c r="C50" s="631">
        <f>C48+C41+C37+C30+C24+C20+C16</f>
        <v>453342</v>
      </c>
      <c r="D50" s="631">
        <f t="shared" ref="D50:M50" si="15">D48+D41+D37+D30+D24+D20+D16</f>
        <v>802978</v>
      </c>
      <c r="E50" s="631">
        <f t="shared" si="15"/>
        <v>450663</v>
      </c>
      <c r="F50" s="631">
        <f t="shared" si="15"/>
        <v>333352</v>
      </c>
      <c r="G50" s="631">
        <f t="shared" si="15"/>
        <v>1281150.1599999999</v>
      </c>
      <c r="H50" s="631">
        <f t="shared" si="15"/>
        <v>0</v>
      </c>
      <c r="I50" s="631">
        <f t="shared" si="15"/>
        <v>0</v>
      </c>
      <c r="J50" s="631">
        <f t="shared" si="15"/>
        <v>0</v>
      </c>
      <c r="K50" s="631">
        <f t="shared" si="15"/>
        <v>0</v>
      </c>
      <c r="L50" s="631">
        <f t="shared" si="15"/>
        <v>0</v>
      </c>
      <c r="M50" s="631">
        <f t="shared" si="15"/>
        <v>0</v>
      </c>
      <c r="N50" s="627">
        <f>N48+N41+N37+N30+N24+N20+N16</f>
        <v>3983248.1599999997</v>
      </c>
      <c r="O50" s="632">
        <f>O48+O41+O37+O30+O24+O20+O16</f>
        <v>30892840.820000004</v>
      </c>
      <c r="P50" s="641">
        <f>P48+P41+P37+P30+P24+P20+P16</f>
        <v>82380102</v>
      </c>
      <c r="Q50" s="641">
        <f>Q16+Q30+Q48</f>
        <v>0</v>
      </c>
      <c r="R50" s="554">
        <f>O50/P50</f>
        <v>0.37500367285294212</v>
      </c>
      <c r="S50" s="578"/>
      <c r="T50" s="579"/>
      <c r="U50" s="579"/>
      <c r="V50" s="580"/>
    </row>
    <row r="51" spans="1:22" ht="15" customHeight="1">
      <c r="A51" s="305"/>
      <c r="B51" s="485"/>
      <c r="C51" s="484"/>
      <c r="D51" s="484"/>
      <c r="E51" s="484"/>
      <c r="F51" s="484"/>
      <c r="G51" s="486"/>
      <c r="H51" s="484"/>
      <c r="I51" s="484"/>
      <c r="J51" s="484"/>
      <c r="K51" s="484"/>
      <c r="L51" s="484"/>
      <c r="M51" s="484"/>
      <c r="N51" s="484"/>
      <c r="O51" s="537"/>
      <c r="P51" s="484" t="s">
        <v>56</v>
      </c>
      <c r="Q51" s="484"/>
      <c r="R51" s="550"/>
      <c r="S51" s="578"/>
      <c r="T51" s="579"/>
      <c r="U51" s="579"/>
      <c r="V51" s="579"/>
    </row>
    <row r="52" spans="1:22" ht="10.5" customHeight="1" thickBot="1">
      <c r="A52" s="202"/>
      <c r="B52" s="200"/>
      <c r="C52" s="140"/>
      <c r="D52" s="140"/>
      <c r="E52" s="140"/>
      <c r="F52" s="140"/>
      <c r="G52" s="140"/>
      <c r="H52" s="140"/>
      <c r="I52" s="140"/>
      <c r="J52" s="140"/>
      <c r="K52" s="140"/>
      <c r="L52" s="140"/>
      <c r="M52" s="140"/>
      <c r="N52" s="140"/>
      <c r="O52" s="538"/>
      <c r="P52" s="141"/>
      <c r="Q52" s="141"/>
      <c r="R52" s="292"/>
    </row>
    <row r="53" spans="1:22">
      <c r="A53" s="197"/>
      <c r="G53" s="249"/>
      <c r="P53" s="249" t="s">
        <v>56</v>
      </c>
    </row>
    <row r="54" spans="1:22" ht="14">
      <c r="A54" s="262" t="s">
        <v>63</v>
      </c>
      <c r="B54" s="197"/>
      <c r="N54" s="336"/>
      <c r="P54" s="130" t="s">
        <v>56</v>
      </c>
    </row>
    <row r="55" spans="1:22" s="577" customFormat="1" ht="16">
      <c r="A55" s="312" t="s">
        <v>311</v>
      </c>
      <c r="O55" s="642"/>
    </row>
    <row r="56" spans="1:22" s="577" customFormat="1" ht="16.5">
      <c r="A56" s="312" t="s">
        <v>312</v>
      </c>
      <c r="O56" s="642"/>
    </row>
    <row r="57" spans="1:22" ht="16.5">
      <c r="A57" s="312" t="s">
        <v>313</v>
      </c>
    </row>
    <row r="58" spans="1:22" ht="14">
      <c r="A58" s="235" t="s">
        <v>64</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6271" ma:contentTypeDescription="Create a new document." ma:contentTypeScope="" ma:versionID="1870f39aaed35e7d1912c0f785710fc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3186f035-0cdb-442a-b3b5-e1bf8686ba54" xsi:nil="true"/>
    <_dlc_DocId xmlns="9bf079a2-8838-46e4-a25e-754293e27338">7RCVYNPDDY4V-1526832976-118</_dlc_DocId>
    <_dlc_DocIdUrl xmlns="9bf079a2-8838-46e4-a25e-754293e27338">
      <Url>https://sempra.sharepoint.com/teams/sdgecp/po/drps/_layouts/15/DocIdRedir.aspx?ID=7RCVYNPDDY4V-1526832976-118</Url>
      <Description>7RCVYNPDDY4V-1526832976-118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0486D6-920A-4B96-82F8-54628C0563E2}">
  <ds:schemaRefs>
    <ds:schemaRef ds:uri="http://schemas.microsoft.com/sharepoint/events"/>
  </ds:schemaRefs>
</ds:datastoreItem>
</file>

<file path=customXml/itemProps2.xml><?xml version="1.0" encoding="utf-8"?>
<ds:datastoreItem xmlns:ds="http://schemas.openxmlformats.org/officeDocument/2006/customXml" ds:itemID="{DB64F0E2-3735-4A4B-B446-01E723C0F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CE5A5-034A-44C5-96B1-1FD952A1C468}">
  <ds:schemaRef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dcmitype/"/>
    <ds:schemaRef ds:uri="9bf079a2-8838-46e4-a25e-754293e27338"/>
    <ds:schemaRef ds:uri="3186f035-0cdb-442a-b3b5-e1bf8686ba54"/>
    <ds:schemaRef ds:uri="http://www.w3.org/XML/1998/namespace"/>
    <ds:schemaRef ds:uri="http://purl.org/dc/elements/1.1/"/>
  </ds:schemaRefs>
</ds:datastoreItem>
</file>

<file path=customXml/itemProps4.xml><?xml version="1.0" encoding="utf-8"?>
<ds:datastoreItem xmlns:ds="http://schemas.openxmlformats.org/officeDocument/2006/customXml" ds:itemID="{B9BCF475-1DB9-4419-A429-5743143F8A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Event Summary</vt:lpstr>
      <vt:lpstr>Auto DR (TI) &amp; Tech Deployment</vt:lpstr>
      <vt:lpstr>Marketing</vt:lpstr>
      <vt:lpstr>DRP Expenditures</vt:lpstr>
      <vt:lpstr>Fund Shift Log</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Pitsko, Kenneth C</cp:lastModifiedBy>
  <cp:revision/>
  <dcterms:created xsi:type="dcterms:W3CDTF">2013-01-03T17:03:43Z</dcterms:created>
  <dcterms:modified xsi:type="dcterms:W3CDTF">2021-07-20T00:23:00Z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6f22fe5d-e152-4a14-ad9b-a07f8986864b</vt:lpwstr>
  </property>
  <property fmtid="{D5CDD505-2E9C-101B-9397-08002B2CF9AE}" pid="8" name="SharedWithUsers">
    <vt:lpwstr>212;#Valdivieso, Guillermo</vt:lpwstr>
  </property>
  <property fmtid="{D5CDD505-2E9C-101B-9397-08002B2CF9AE}" pid="9" name="CofWorkbookId">
    <vt:lpwstr>c26c5057-7a46-4c5c-b96c-a051efda8972</vt:lpwstr>
  </property>
</Properties>
</file>