
<file path=[Content_Types].xml><?xml version="1.0" encoding="utf-8"?>
<Types xmlns="http://schemas.openxmlformats.org/package/2006/content-types">
  <Default Extension="bin" ContentType="application/vnd.openxmlformats-officedocument.spreadsheetml.customProperty"/>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printerSettings/printerSettings1.bin" ContentType="application/vnd.openxmlformats-officedocument.spreadsheetml.printerSettings"/>
  <Override PartName="/xl/printerSettings/printerSettings2.bin" ContentType="application/vnd.openxmlformats-officedocument.spreadsheetml.printerSettings"/>
  <Override PartName="/xl/printerSettings/printerSettings3.bin" ContentType="application/vnd.openxmlformats-officedocument.spreadsheetml.printerSettings"/>
  <Override PartName="/xl/printerSettings/printerSettings4.bin" ContentType="application/vnd.openxmlformats-officedocument.spreadsheetml.printerSettings"/>
  <Override PartName="/xl/printerSettings/printerSettings5.bin" ContentType="application/vnd.openxmlformats-officedocument.spreadsheetml.printerSettings"/>
  <Override PartName="/xl/printerSettings/printerSettings6.bin" ContentType="application/vnd.openxmlformats-officedocument.spreadsheetml.printerSettings"/>
  <Override PartName="/xl/printerSettings/printerSettings7.bin" ContentType="application/vnd.openxmlformats-officedocument.spreadsheetml.printerSettings"/>
  <Override PartName="/xl/printerSettings/printerSettings8.bin" ContentType="application/vnd.openxmlformats-officedocument.spreadsheetml.printerSettings"/>
  <Override PartName="/xl/drawings/drawing1.xml" ContentType="application/vnd.openxmlformats-officedocument.drawing+xml"/>
  <Override PartName="/xl/printerSettings/printerSettings9.bin" ContentType="application/vnd.openxmlformats-officedocument.spreadsheetml.printerSettings"/>
  <Override PartName="/xl/printerSettings/printerSettings10.bin" ContentType="application/vnd.openxmlformats-officedocument.spreadsheetml.printerSettings"/>
  <Override PartName="/xl/printerSettings/printerSettings11.bin" ContentType="application/vnd.openxmlformats-officedocument.spreadsheetml.printerSettings"/>
  <Override PartName="/xl/printerSettings/printerSettings12.bin" ContentType="application/vnd.openxmlformats-officedocument.spreadsheetml.printerSettings"/>
  <Override PartName="/xl/printerSettings/printerSettings13.bin" ContentType="application/vnd.openxmlformats-officedocument.spreadsheetml.printerSettings"/>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131"/>
  <workbookPr codeName="ThisWorkbook" defaultThemeVersion="124226"/>
  <mc:AlternateContent xmlns:mc="http://schemas.openxmlformats.org/markup-compatibility/2006">
    <mc:Choice Requires="x15">
      <x15ac:absPath xmlns:x15ac="http://schemas.microsoft.com/office/spreadsheetml/2010/11/ac" url="https://sempra-my.sharepoint.com/personal/kpitsko_semprautilities_com/Documents/User Folders/Desktop/Customer Programs/"/>
    </mc:Choice>
  </mc:AlternateContent>
  <xr:revisionPtr revIDLastSave="7" documentId="8_{13E8BC36-2097-4258-A31D-91BF41D2C269}" xr6:coauthVersionLast="47" xr6:coauthVersionMax="47" xr10:uidLastSave="{9BBF6E7F-EFDF-486B-9604-71F320553919}"/>
  <bookViews>
    <workbookView xWindow="-38510" yWindow="-50" windowWidth="38620" windowHeight="21220" tabRatio="873" firstSheet="1" activeTab="10" xr2:uid="{00000000-000D-0000-FFFF-FFFF00000000}"/>
  </bookViews>
  <sheets>
    <sheet name="Business Unit Reporting" sheetId="136" state="hidden" r:id="rId1"/>
    <sheet name="Program MW " sheetId="33" r:id="rId2"/>
    <sheet name="Ex ante LI &amp; Eligibility Stats" sheetId="34" r:id="rId3"/>
    <sheet name="Ex post LI &amp; Eligibility Stats" sheetId="35" r:id="rId4"/>
    <sheet name="TA-TI Distribution@" sheetId="36" state="hidden" r:id="rId5"/>
    <sheet name="Event Summary" sheetId="57" r:id="rId6"/>
    <sheet name="Auto DR (TI) &amp; Tech Deployment" sheetId="131" r:id="rId7"/>
    <sheet name="Marketing" sheetId="134" r:id="rId8"/>
    <sheet name="DRP Expenditures" sheetId="117" r:id="rId9"/>
    <sheet name="Fund Shift Log" sheetId="29" r:id="rId10"/>
    <sheet name="SDGE Costs - AMDRMA Balance" sheetId="119" r:id="rId11"/>
    <sheet name="SDGE Costs -GRC " sheetId="120" r:id="rId12"/>
    <sheet name="SDGE Costs -DPDRMA" sheetId="129" r:id="rId13"/>
    <sheet name="SDGE Costs -ELRP" sheetId="137" r:id="rId14"/>
  </sheets>
  <externalReferences>
    <externalReference r:id="rId15"/>
    <externalReference r:id="rId16"/>
  </externalReferences>
  <definedNames>
    <definedName name="_AMO_UniqueIdentifier" hidden="1">"'149b2d1a-72c1-44e5-bc61-8e647e92c66a'"</definedName>
    <definedName name="_DAT1" localSheetId="8">#REF!</definedName>
    <definedName name="_DAT1" localSheetId="7">#REF!</definedName>
    <definedName name="_DAT1" localSheetId="10">#REF!</definedName>
    <definedName name="_DAT1" localSheetId="12">#REF!</definedName>
    <definedName name="_DAT1" localSheetId="13">'SDGE Costs -ELRP'!#REF!</definedName>
    <definedName name="_DAT1">#REF!</definedName>
    <definedName name="_DAT10" localSheetId="8">#REF!</definedName>
    <definedName name="_DAT10" localSheetId="7">#REF!</definedName>
    <definedName name="_DAT10" localSheetId="12">#REF!</definedName>
    <definedName name="_DAT10" localSheetId="13">'SDGE Costs -ELRP'!#REF!</definedName>
    <definedName name="_DAT10">#REF!</definedName>
    <definedName name="_DAT11" localSheetId="8">#REF!</definedName>
    <definedName name="_DAT11" localSheetId="7">#REF!</definedName>
    <definedName name="_DAT11" localSheetId="12">#REF!</definedName>
    <definedName name="_DAT11" localSheetId="13">'SDGE Costs -ELRP'!#REF!</definedName>
    <definedName name="_DAT11">#REF!</definedName>
    <definedName name="_DAT12" localSheetId="8">#REF!</definedName>
    <definedName name="_DAT12" localSheetId="12">#REF!</definedName>
    <definedName name="_DAT12" localSheetId="13">'SDGE Costs -ELRP'!#REF!</definedName>
    <definedName name="_DAT12">#REF!</definedName>
    <definedName name="_DAT13" localSheetId="8">#REF!</definedName>
    <definedName name="_DAT13" localSheetId="12">#REF!</definedName>
    <definedName name="_DAT13" localSheetId="13">'SDGE Costs -ELRP'!#REF!</definedName>
    <definedName name="_DAT13">#REF!</definedName>
    <definedName name="_DAT14" localSheetId="8">#REF!</definedName>
    <definedName name="_DAT14" localSheetId="12">#REF!</definedName>
    <definedName name="_DAT14" localSheetId="13">'SDGE Costs -ELRP'!#REF!</definedName>
    <definedName name="_DAT14">#REF!</definedName>
    <definedName name="_DAT15" localSheetId="8">#REF!</definedName>
    <definedName name="_DAT15" localSheetId="12">#REF!</definedName>
    <definedName name="_DAT15" localSheetId="13">'SDGE Costs -ELRP'!#REF!</definedName>
    <definedName name="_DAT15">#REF!</definedName>
    <definedName name="_DAT16" localSheetId="8">#REF!</definedName>
    <definedName name="_DAT16" localSheetId="12">#REF!</definedName>
    <definedName name="_DAT16" localSheetId="13">'SDGE Costs -ELRP'!#REF!</definedName>
    <definedName name="_DAT16">#REF!</definedName>
    <definedName name="_DAT17" localSheetId="8">#REF!</definedName>
    <definedName name="_DAT17" localSheetId="12">#REF!</definedName>
    <definedName name="_DAT17" localSheetId="13">'SDGE Costs -ELRP'!#REF!</definedName>
    <definedName name="_DAT17">#REF!</definedName>
    <definedName name="_DAT2" localSheetId="8">#REF!</definedName>
    <definedName name="_DAT2" localSheetId="12">#REF!</definedName>
    <definedName name="_DAT2" localSheetId="13">'SDGE Costs -ELRP'!#REF!</definedName>
    <definedName name="_DAT2">#REF!</definedName>
    <definedName name="_DAT3" localSheetId="8">#REF!</definedName>
    <definedName name="_DAT3" localSheetId="12">#REF!</definedName>
    <definedName name="_DAT3" localSheetId="13">'SDGE Costs -ELRP'!#REF!</definedName>
    <definedName name="_DAT3">#REF!</definedName>
    <definedName name="_DAT4" localSheetId="8">#REF!</definedName>
    <definedName name="_DAT4" localSheetId="12">#REF!</definedName>
    <definedName name="_DAT4" localSheetId="13">'SDGE Costs -ELRP'!#REF!</definedName>
    <definedName name="_DAT4">#REF!</definedName>
    <definedName name="_DAT5" localSheetId="8">#REF!</definedName>
    <definedName name="_DAT5" localSheetId="12">#REF!</definedName>
    <definedName name="_DAT5" localSheetId="13">'SDGE Costs -ELRP'!#REF!</definedName>
    <definedName name="_DAT5">#REF!</definedName>
    <definedName name="_DAT6" localSheetId="8">#REF!</definedName>
    <definedName name="_DAT6" localSheetId="12">#REF!</definedName>
    <definedName name="_DAT6" localSheetId="13">'SDGE Costs -ELRP'!#REF!</definedName>
    <definedName name="_DAT6">#REF!</definedName>
    <definedName name="_DAT7" localSheetId="8">#REF!</definedName>
    <definedName name="_DAT7" localSheetId="12">#REF!</definedName>
    <definedName name="_DAT7" localSheetId="13">'SDGE Costs -ELRP'!#REF!</definedName>
    <definedName name="_DAT7">#REF!</definedName>
    <definedName name="_DAT8" localSheetId="8">#REF!</definedName>
    <definedName name="_DAT8" localSheetId="12">#REF!</definedName>
    <definedName name="_DAT8" localSheetId="13">'SDGE Costs -ELRP'!#REF!</definedName>
    <definedName name="_DAT8">#REF!</definedName>
    <definedName name="_DAT9" localSheetId="8">#REF!</definedName>
    <definedName name="_DAT9" localSheetId="12">#REF!</definedName>
    <definedName name="_DAT9" localSheetId="13">'SDGE Costs -ELRP'!#REF!</definedName>
    <definedName name="_DAT9">#REF!</definedName>
    <definedName name="_xlnm._FilterDatabase" localSheetId="5" hidden="1">'Event Summary'!$A$8:$G$10</definedName>
    <definedName name="Achieve_GRC" localSheetId="8">#REF!</definedName>
    <definedName name="Achieve_GRC" localSheetId="2">#REF!</definedName>
    <definedName name="Achieve_GRC" localSheetId="3">#REF!</definedName>
    <definedName name="Achieve_GRC" localSheetId="1">#REF!</definedName>
    <definedName name="Achieve_GRC" localSheetId="12">#REF!</definedName>
    <definedName name="Achieve_GRC" localSheetId="13">'SDGE Costs -ELRP'!#REF!</definedName>
    <definedName name="Achieve_GRC" localSheetId="4">#REF!</definedName>
    <definedName name="Achieve_GRC">#REF!</definedName>
    <definedName name="Achieve_Service_Excellenc" localSheetId="8">#REF!</definedName>
    <definedName name="Achieve_Service_Excellenc" localSheetId="2">#REF!</definedName>
    <definedName name="Achieve_Service_Excellenc" localSheetId="3">#REF!</definedName>
    <definedName name="Achieve_Service_Excellenc" localSheetId="1">#REF!</definedName>
    <definedName name="Achieve_Service_Excellenc" localSheetId="12">#REF!</definedName>
    <definedName name="Achieve_Service_Excellenc" localSheetId="13">'SDGE Costs -ELRP'!#REF!</definedName>
    <definedName name="Achieve_Service_Excellenc" localSheetId="4">#REF!</definedName>
    <definedName name="Achieve_Service_Excellenc">#REF!</definedName>
    <definedName name="Achieve_Service_Excellence" localSheetId="8">#REF!</definedName>
    <definedName name="Achieve_Service_Excellence" localSheetId="2">#REF!</definedName>
    <definedName name="Achieve_Service_Excellence" localSheetId="3">#REF!</definedName>
    <definedName name="Achieve_Service_Excellence" localSheetId="1">#REF!</definedName>
    <definedName name="Achieve_Service_Excellence" localSheetId="12">#REF!</definedName>
    <definedName name="Achieve_Service_Excellence" localSheetId="13">'SDGE Costs -ELRP'!#REF!</definedName>
    <definedName name="Achieve_Service_Excellence" localSheetId="4">#REF!</definedName>
    <definedName name="Achieve_Service_Excellence">#REF!</definedName>
    <definedName name="Collect_Revenue" localSheetId="8">#REF!</definedName>
    <definedName name="Collect_Revenue" localSheetId="2">#REF!</definedName>
    <definedName name="Collect_Revenue" localSheetId="3">#REF!</definedName>
    <definedName name="Collect_Revenue" localSheetId="1">#REF!</definedName>
    <definedName name="Collect_Revenue" localSheetId="12">#REF!</definedName>
    <definedName name="Collect_Revenue" localSheetId="13">'SDGE Costs -ELRP'!#REF!</definedName>
    <definedName name="Collect_Revenue" localSheetId="4">#REF!</definedName>
    <definedName name="Collect_Revenue">#REF!</definedName>
    <definedName name="DATA1" localSheetId="8">#REF!</definedName>
    <definedName name="DATA1" localSheetId="12">#REF!</definedName>
    <definedName name="DATA1" localSheetId="13">'SDGE Costs -ELRP'!#REF!</definedName>
    <definedName name="DATA1">#REF!</definedName>
    <definedName name="DATA10" localSheetId="8">#REF!</definedName>
    <definedName name="DATA10" localSheetId="12">#REF!</definedName>
    <definedName name="DATA10" localSheetId="13">'SDGE Costs -ELRP'!#REF!</definedName>
    <definedName name="DATA10">#REF!</definedName>
    <definedName name="DATA11" localSheetId="8">#REF!</definedName>
    <definedName name="DATA11" localSheetId="12">#REF!</definedName>
    <definedName name="DATA11" localSheetId="13">'SDGE Costs -ELRP'!#REF!</definedName>
    <definedName name="DATA11">#REF!</definedName>
    <definedName name="DATA12" localSheetId="8">#REF!</definedName>
    <definedName name="DATA12" localSheetId="12">#REF!</definedName>
    <definedName name="DATA12" localSheetId="13">'SDGE Costs -ELRP'!#REF!</definedName>
    <definedName name="DATA12">#REF!</definedName>
    <definedName name="DATA13" localSheetId="8">#REF!</definedName>
    <definedName name="DATA13" localSheetId="12">#REF!</definedName>
    <definedName name="DATA13" localSheetId="13">'SDGE Costs -ELRP'!#REF!</definedName>
    <definedName name="DATA13">#REF!</definedName>
    <definedName name="DATA14" localSheetId="8">#REF!</definedName>
    <definedName name="DATA14" localSheetId="12">#REF!</definedName>
    <definedName name="DATA14" localSheetId="13">'SDGE Costs -ELRP'!#REF!</definedName>
    <definedName name="DATA14">#REF!</definedName>
    <definedName name="DATA15" localSheetId="8">#REF!</definedName>
    <definedName name="DATA15" localSheetId="12">#REF!</definedName>
    <definedName name="DATA15" localSheetId="13">'SDGE Costs -ELRP'!#REF!</definedName>
    <definedName name="DATA15">#REF!</definedName>
    <definedName name="DATA16" localSheetId="8">#REF!</definedName>
    <definedName name="DATA16" localSheetId="12">#REF!</definedName>
    <definedName name="DATA16" localSheetId="13">'SDGE Costs -ELRP'!#REF!</definedName>
    <definedName name="DATA16">#REF!</definedName>
    <definedName name="DATA17" localSheetId="8">#REF!</definedName>
    <definedName name="DATA17" localSheetId="12">#REF!</definedName>
    <definedName name="DATA17" localSheetId="13">'SDGE Costs -ELRP'!#REF!</definedName>
    <definedName name="DATA17">#REF!</definedName>
    <definedName name="DATA18" localSheetId="8">#REF!</definedName>
    <definedName name="DATA18" localSheetId="12">#REF!</definedName>
    <definedName name="DATA18" localSheetId="13">'SDGE Costs -ELRP'!#REF!</definedName>
    <definedName name="DATA18">#REF!</definedName>
    <definedName name="DATA19" localSheetId="8">#REF!</definedName>
    <definedName name="DATA19" localSheetId="12">#REF!</definedName>
    <definedName name="DATA19" localSheetId="13">'SDGE Costs -ELRP'!#REF!</definedName>
    <definedName name="DATA19">#REF!</definedName>
    <definedName name="DATA2" localSheetId="8">#REF!</definedName>
    <definedName name="DATA2" localSheetId="12">#REF!</definedName>
    <definedName name="DATA2" localSheetId="13">'SDGE Costs -ELRP'!#REF!</definedName>
    <definedName name="DATA2">#REF!</definedName>
    <definedName name="DATA20" localSheetId="8">#REF!</definedName>
    <definedName name="DATA20" localSheetId="12">#REF!</definedName>
    <definedName name="DATA20" localSheetId="13">'SDGE Costs -ELRP'!#REF!</definedName>
    <definedName name="DATA20">#REF!</definedName>
    <definedName name="DATA3" localSheetId="8">#REF!</definedName>
    <definedName name="DATA3" localSheetId="12">#REF!</definedName>
    <definedName name="DATA3" localSheetId="13">'SDGE Costs -ELRP'!#REF!</definedName>
    <definedName name="DATA3">#REF!</definedName>
    <definedName name="DATA4" localSheetId="8">#REF!</definedName>
    <definedName name="DATA4" localSheetId="12">#REF!</definedName>
    <definedName name="DATA4" localSheetId="13">'SDGE Costs -ELRP'!#REF!</definedName>
    <definedName name="DATA4">#REF!</definedName>
    <definedName name="DATA5" localSheetId="8">#REF!</definedName>
    <definedName name="DATA5" localSheetId="12">#REF!</definedName>
    <definedName name="DATA5" localSheetId="13">'SDGE Costs -ELRP'!#REF!</definedName>
    <definedName name="DATA5">#REF!</definedName>
    <definedName name="data5000">'[1]ACTMA Detail'!$N$2:$N$102</definedName>
    <definedName name="DATA6" localSheetId="8">#REF!</definedName>
    <definedName name="DATA6" localSheetId="7">#REF!</definedName>
    <definedName name="DATA6" localSheetId="12">#REF!</definedName>
    <definedName name="DATA6" localSheetId="13">'SDGE Costs -ELRP'!#REF!</definedName>
    <definedName name="DATA6">#REF!</definedName>
    <definedName name="DATA7" localSheetId="8">#REF!</definedName>
    <definedName name="DATA7" localSheetId="7">#REF!</definedName>
    <definedName name="DATA7" localSheetId="12">#REF!</definedName>
    <definedName name="DATA7" localSheetId="13">'SDGE Costs -ELRP'!#REF!</definedName>
    <definedName name="DATA7">#REF!</definedName>
    <definedName name="DATA8" localSheetId="8">#REF!</definedName>
    <definedName name="DATA8" localSheetId="7">#REF!</definedName>
    <definedName name="DATA8" localSheetId="12">#REF!</definedName>
    <definedName name="DATA8" localSheetId="13">'SDGE Costs -ELRP'!#REF!</definedName>
    <definedName name="DATA8">#REF!</definedName>
    <definedName name="DATA9" localSheetId="8">#REF!</definedName>
    <definedName name="DATA9" localSheetId="12">#REF!</definedName>
    <definedName name="DATA9" localSheetId="13">'SDGE Costs -ELRP'!#REF!</definedName>
    <definedName name="DATA9">#REF!</definedName>
    <definedName name="DayTypeList" localSheetId="8">[2]LOOKUP!$E$2:$E$14</definedName>
    <definedName name="DayTypeList" localSheetId="10">[2]LOOKUP!$E$2:$E$14</definedName>
    <definedName name="DayTypeList" localSheetId="12">[2]LOOKUP!$E$2:$E$14</definedName>
    <definedName name="DayTypeList" localSheetId="13">[2]LOOKUP!$E$2:$E$14</definedName>
    <definedName name="DayTypeList" localSheetId="11">[2]LOOKUP!$E$2:$E$14</definedName>
    <definedName name="DayTypeList">[2]LOOKUP!$E$2:$E$14</definedName>
    <definedName name="Enhance_Delivery_Channels" localSheetId="8">#REF!</definedName>
    <definedName name="Enhance_Delivery_Channels" localSheetId="2">#REF!</definedName>
    <definedName name="Enhance_Delivery_Channels" localSheetId="3">#REF!</definedName>
    <definedName name="Enhance_Delivery_Channels" localSheetId="1">#REF!</definedName>
    <definedName name="Enhance_Delivery_Channels" localSheetId="12">#REF!</definedName>
    <definedName name="Enhance_Delivery_Channels" localSheetId="13">'SDGE Costs -ELRP'!#REF!</definedName>
    <definedName name="Enhance_Delivery_Channels" localSheetId="4">#REF!</definedName>
    <definedName name="Enhance_Delivery_Channels">#REF!</definedName>
    <definedName name="Ethics_and_Compliance" localSheetId="8">#REF!</definedName>
    <definedName name="Ethics_and_Compliance" localSheetId="2">#REF!</definedName>
    <definedName name="Ethics_and_Compliance" localSheetId="3">#REF!</definedName>
    <definedName name="Ethics_and_Compliance" localSheetId="1">#REF!</definedName>
    <definedName name="Ethics_and_Compliance" localSheetId="12">#REF!</definedName>
    <definedName name="Ethics_and_Compliance" localSheetId="13">'SDGE Costs -ELRP'!#REF!</definedName>
    <definedName name="Ethics_and_Compliance" localSheetId="4">#REF!</definedName>
    <definedName name="Ethics_and_Compliance">#REF!</definedName>
    <definedName name="Launch_Refine_Market" localSheetId="8">#REF!</definedName>
    <definedName name="Launch_Refine_Market" localSheetId="2">#REF!</definedName>
    <definedName name="Launch_Refine_Market" localSheetId="3">#REF!</definedName>
    <definedName name="Launch_Refine_Market" localSheetId="1">#REF!</definedName>
    <definedName name="Launch_Refine_Market" localSheetId="12">#REF!</definedName>
    <definedName name="Launch_Refine_Market" localSheetId="13">'SDGE Costs -ELRP'!#REF!</definedName>
    <definedName name="Launch_Refine_Market" localSheetId="4">#REF!</definedName>
    <definedName name="Launch_Refine_Market">#REF!</definedName>
    <definedName name="Manage_AMI" localSheetId="8">#REF!</definedName>
    <definedName name="Manage_AMI" localSheetId="2">#REF!</definedName>
    <definedName name="Manage_AMI" localSheetId="3">#REF!</definedName>
    <definedName name="Manage_AMI" localSheetId="1">#REF!</definedName>
    <definedName name="Manage_AMI" localSheetId="12">#REF!</definedName>
    <definedName name="Manage_AMI" localSheetId="13">'SDGE Costs -ELRP'!#REF!</definedName>
    <definedName name="Manage_AMI" localSheetId="4">#REF!</definedName>
    <definedName name="Manage_AMI">#REF!</definedName>
    <definedName name="Meet_Financial_Targets" localSheetId="8">#REF!</definedName>
    <definedName name="Meet_Financial_Targets" localSheetId="2">#REF!</definedName>
    <definedName name="Meet_Financial_Targets" localSheetId="3">#REF!</definedName>
    <definedName name="Meet_Financial_Targets" localSheetId="1">#REF!</definedName>
    <definedName name="Meet_Financial_Targets" localSheetId="12">#REF!</definedName>
    <definedName name="Meet_Financial_Targets" localSheetId="13">'SDGE Costs -ELRP'!#REF!</definedName>
    <definedName name="Meet_Financial_Targets" localSheetId="4">#REF!</definedName>
    <definedName name="Meet_Financial_Targets">#REF!</definedName>
    <definedName name="nnnnnn">'[1]ACTMA Detail'!$P$2:$P$102</definedName>
    <definedName name="_xlnm.Print_Area" localSheetId="6">'Auto DR (TI) &amp; Tech Deployment'!$A$1:$M$44</definedName>
    <definedName name="_xlnm.Print_Area" localSheetId="8">'DRP Expenditures'!$A$54:$M$54</definedName>
    <definedName name="_xlnm.Print_Area" localSheetId="2">'Ex ante LI &amp; Eligibility Stats'!$A$1:$O$19</definedName>
    <definedName name="_xlnm.Print_Area" localSheetId="3">'Ex post LI &amp; Eligibility Stats'!$A$1:$O$31</definedName>
    <definedName name="_xlnm.Print_Area" localSheetId="9">'Fund Shift Log'!$A$1:$E$23</definedName>
    <definedName name="_xlnm.Print_Area" localSheetId="7">Marketing!$A$1:$Q$40</definedName>
    <definedName name="_xlnm.Print_Area" localSheetId="1">'Program MW '!$A$1:$S$56</definedName>
    <definedName name="_xlnm.Print_Area" localSheetId="12">'SDGE Costs -DPDRMA'!$A$2:$N$45</definedName>
    <definedName name="_xlnm.Print_Area" localSheetId="13">'SDGE Costs -ELRP'!$A$2:$N$41</definedName>
    <definedName name="_xlnm.Print_Area" localSheetId="11">'SDGE Costs -GRC '!$A$1:$N$34</definedName>
    <definedName name="Reliability_Expectations" localSheetId="8">#REF!</definedName>
    <definedName name="Reliability_Expectations" localSheetId="2">#REF!</definedName>
    <definedName name="Reliability_Expectations" localSheetId="3">#REF!</definedName>
    <definedName name="Reliability_Expectations" localSheetId="7">#REF!</definedName>
    <definedName name="Reliability_Expectations" localSheetId="1">#REF!</definedName>
    <definedName name="Reliability_Expectations" localSheetId="12">#REF!</definedName>
    <definedName name="Reliability_Expectations" localSheetId="13">'SDGE Costs -ELRP'!#REF!</definedName>
    <definedName name="Reliability_Expectations" localSheetId="4">#REF!</definedName>
    <definedName name="Reliability_Expectations">#REF!</definedName>
    <definedName name="SAPBEXhrIndnt" hidden="1">"Wide"</definedName>
    <definedName name="SAPsysID" hidden="1">"708C5W7SBKP804JT78WJ0JNKI"</definedName>
    <definedName name="SAPwbID" hidden="1">"ARS"</definedName>
    <definedName name="Stabilization_Customer_Base" localSheetId="8">#REF!</definedName>
    <definedName name="Stabilization_Customer_Base" localSheetId="2">#REF!</definedName>
    <definedName name="Stabilization_Customer_Base" localSheetId="3">#REF!</definedName>
    <definedName name="Stabilization_Customer_Base" localSheetId="7">#REF!</definedName>
    <definedName name="Stabilization_Customer_Base" localSheetId="1">#REF!</definedName>
    <definedName name="Stabilization_Customer_Base" localSheetId="12">#REF!</definedName>
    <definedName name="Stabilization_Customer_Base" localSheetId="13">'SDGE Costs -ELRP'!#REF!</definedName>
    <definedName name="Stabilization_Customer_Base" localSheetId="4">#REF!</definedName>
    <definedName name="Stabilization_Customer_Base">#REF!</definedName>
    <definedName name="TEST0" localSheetId="8">#REF!</definedName>
    <definedName name="TEST0" localSheetId="7">#REF!</definedName>
    <definedName name="TEST0" localSheetId="12">#REF!</definedName>
    <definedName name="TEST0" localSheetId="13">'SDGE Costs -ELRP'!#REF!</definedName>
    <definedName name="TEST0">#REF!</definedName>
    <definedName name="TEST1" localSheetId="8">#REF!</definedName>
    <definedName name="TEST1" localSheetId="12">#REF!</definedName>
    <definedName name="TEST1" localSheetId="13">'SDGE Costs -ELRP'!#REF!</definedName>
    <definedName name="TEST1">#REF!</definedName>
    <definedName name="TEST10" localSheetId="8">#REF!</definedName>
    <definedName name="TEST10" localSheetId="12">#REF!</definedName>
    <definedName name="TEST10" localSheetId="13">'SDGE Costs -ELRP'!#REF!</definedName>
    <definedName name="TEST10">#REF!</definedName>
    <definedName name="TEST11" localSheetId="8">#REF!</definedName>
    <definedName name="TEST11" localSheetId="12">#REF!</definedName>
    <definedName name="TEST11" localSheetId="13">'SDGE Costs -ELRP'!#REF!</definedName>
    <definedName name="TEST11">#REF!</definedName>
    <definedName name="TEST12" localSheetId="8">#REF!</definedName>
    <definedName name="TEST12" localSheetId="12">#REF!</definedName>
    <definedName name="TEST12" localSheetId="13">'SDGE Costs -ELRP'!#REF!</definedName>
    <definedName name="TEST12">#REF!</definedName>
    <definedName name="TEST13" localSheetId="8">#REF!</definedName>
    <definedName name="TEST13" localSheetId="12">#REF!</definedName>
    <definedName name="TEST13" localSheetId="13">'SDGE Costs -ELRP'!#REF!</definedName>
    <definedName name="TEST13">#REF!</definedName>
    <definedName name="TEST14" localSheetId="8">#REF!</definedName>
    <definedName name="TEST14" localSheetId="12">#REF!</definedName>
    <definedName name="TEST14" localSheetId="13">'SDGE Costs -ELRP'!#REF!</definedName>
    <definedName name="TEST14">#REF!</definedName>
    <definedName name="TEST15" localSheetId="8">#REF!</definedName>
    <definedName name="TEST15" localSheetId="12">#REF!</definedName>
    <definedName name="TEST15" localSheetId="13">'SDGE Costs -ELRP'!#REF!</definedName>
    <definedName name="TEST15">#REF!</definedName>
    <definedName name="TEST16" localSheetId="8">#REF!</definedName>
    <definedName name="TEST16" localSheetId="12">#REF!</definedName>
    <definedName name="TEST16" localSheetId="13">'SDGE Costs -ELRP'!#REF!</definedName>
    <definedName name="TEST16">#REF!</definedName>
    <definedName name="TEST17" localSheetId="8">#REF!</definedName>
    <definedName name="TEST17" localSheetId="12">#REF!</definedName>
    <definedName name="TEST17" localSheetId="13">'SDGE Costs -ELRP'!#REF!</definedName>
    <definedName name="TEST17">#REF!</definedName>
    <definedName name="TEST18" localSheetId="8">#REF!</definedName>
    <definedName name="TEST18" localSheetId="12">#REF!</definedName>
    <definedName name="TEST18" localSheetId="13">'SDGE Costs -ELRP'!#REF!</definedName>
    <definedName name="TEST18">#REF!</definedName>
    <definedName name="TEST19" localSheetId="8">#REF!</definedName>
    <definedName name="TEST19" localSheetId="12">#REF!</definedName>
    <definedName name="TEST19" localSheetId="13">'SDGE Costs -ELRP'!#REF!</definedName>
    <definedName name="TEST19">#REF!</definedName>
    <definedName name="TEST2" localSheetId="8">#REF!</definedName>
    <definedName name="TEST2" localSheetId="12">#REF!</definedName>
    <definedName name="TEST2" localSheetId="13">'SDGE Costs -ELRP'!#REF!</definedName>
    <definedName name="TEST2">#REF!</definedName>
    <definedName name="TEST20" localSheetId="8">#REF!</definedName>
    <definedName name="TEST20" localSheetId="12">#REF!</definedName>
    <definedName name="TEST20" localSheetId="13">'SDGE Costs -ELRP'!#REF!</definedName>
    <definedName name="TEST20">#REF!</definedName>
    <definedName name="TEST21" localSheetId="8">#REF!</definedName>
    <definedName name="TEST21" localSheetId="12">#REF!</definedName>
    <definedName name="TEST21" localSheetId="13">'SDGE Costs -ELRP'!#REF!</definedName>
    <definedName name="TEST21">#REF!</definedName>
    <definedName name="TEST22" localSheetId="8">#REF!</definedName>
    <definedName name="TEST22" localSheetId="12">#REF!</definedName>
    <definedName name="TEST22" localSheetId="13">'SDGE Costs -ELRP'!#REF!</definedName>
    <definedName name="TEST22">#REF!</definedName>
    <definedName name="TEST23" localSheetId="8">#REF!</definedName>
    <definedName name="TEST23" localSheetId="12">#REF!</definedName>
    <definedName name="TEST23" localSheetId="13">'SDGE Costs -ELRP'!#REF!</definedName>
    <definedName name="TEST23">#REF!</definedName>
    <definedName name="TEST24" localSheetId="8">#REF!</definedName>
    <definedName name="TEST24" localSheetId="12">#REF!</definedName>
    <definedName name="TEST24" localSheetId="13">'SDGE Costs -ELRP'!#REF!</definedName>
    <definedName name="TEST24">#REF!</definedName>
    <definedName name="TEST25" localSheetId="8">#REF!</definedName>
    <definedName name="TEST25" localSheetId="12">#REF!</definedName>
    <definedName name="TEST25" localSheetId="13">'SDGE Costs -ELRP'!#REF!</definedName>
    <definedName name="TEST25">#REF!</definedName>
    <definedName name="TEST26" localSheetId="8">#REF!</definedName>
    <definedName name="TEST26" localSheetId="12">#REF!</definedName>
    <definedName name="TEST26" localSheetId="13">'SDGE Costs -ELRP'!#REF!</definedName>
    <definedName name="TEST26">#REF!</definedName>
    <definedName name="TEST27" localSheetId="8">#REF!</definedName>
    <definedName name="TEST27" localSheetId="12">#REF!</definedName>
    <definedName name="TEST27" localSheetId="13">'SDGE Costs -ELRP'!#REF!</definedName>
    <definedName name="TEST27">#REF!</definedName>
    <definedName name="TEST28" localSheetId="8">#REF!</definedName>
    <definedName name="TEST28" localSheetId="12">#REF!</definedName>
    <definedName name="TEST28" localSheetId="13">'SDGE Costs -ELRP'!#REF!</definedName>
    <definedName name="TEST28">#REF!</definedName>
    <definedName name="TEST3" localSheetId="8">#REF!</definedName>
    <definedName name="TEST3" localSheetId="12">#REF!</definedName>
    <definedName name="TEST3" localSheetId="13">'SDGE Costs -ELRP'!#REF!</definedName>
    <definedName name="TEST3">#REF!</definedName>
    <definedName name="TEST4" localSheetId="8">#REF!</definedName>
    <definedName name="TEST4" localSheetId="12">#REF!</definedName>
    <definedName name="TEST4" localSheetId="13">'SDGE Costs -ELRP'!#REF!</definedName>
    <definedName name="TEST4">#REF!</definedName>
    <definedName name="TEST5" localSheetId="8">#REF!</definedName>
    <definedName name="TEST5" localSheetId="12">#REF!</definedName>
    <definedName name="TEST5" localSheetId="13">'SDGE Costs -ELRP'!#REF!</definedName>
    <definedName name="TEST5">#REF!</definedName>
    <definedName name="TEST6" localSheetId="8">#REF!</definedName>
    <definedName name="TEST6" localSheetId="12">#REF!</definedName>
    <definedName name="TEST6" localSheetId="13">'SDGE Costs -ELRP'!#REF!</definedName>
    <definedName name="TEST6">#REF!</definedName>
    <definedName name="TEST7" localSheetId="8">#REF!</definedName>
    <definedName name="TEST7" localSheetId="12">#REF!</definedName>
    <definedName name="TEST7" localSheetId="13">'SDGE Costs -ELRP'!#REF!</definedName>
    <definedName name="TEST7">#REF!</definedName>
    <definedName name="TEST8" localSheetId="8">#REF!</definedName>
    <definedName name="TEST8" localSheetId="12">#REF!</definedName>
    <definedName name="TEST8" localSheetId="13">'SDGE Costs -ELRP'!#REF!</definedName>
    <definedName name="TEST8">#REF!</definedName>
    <definedName name="TEST9" localSheetId="8">#REF!</definedName>
    <definedName name="TEST9" localSheetId="12">#REF!</definedName>
    <definedName name="TEST9" localSheetId="13">'SDGE Costs -ELRP'!#REF!</definedName>
    <definedName name="TEST9">#REF!</definedName>
    <definedName name="TESTHKEY" localSheetId="8">#REF!</definedName>
    <definedName name="TESTHKEY" localSheetId="12">#REF!</definedName>
    <definedName name="TESTHKEY" localSheetId="13">'SDGE Costs -ELRP'!#REF!</definedName>
    <definedName name="TESTHKEY">#REF!</definedName>
    <definedName name="TESTKEYS" localSheetId="8">#REF!</definedName>
    <definedName name="TESTKEYS" localSheetId="12">#REF!</definedName>
    <definedName name="TESTKEYS" localSheetId="13">'SDGE Costs -ELRP'!#REF!</definedName>
    <definedName name="TESTKEYS">#REF!</definedName>
    <definedName name="TESTVKEY" localSheetId="8">#REF!</definedName>
    <definedName name="TESTVKEY" localSheetId="12">#REF!</definedName>
    <definedName name="TESTVKEY" localSheetId="13">'SDGE Costs -ELRP'!#REF!</definedName>
    <definedName name="TESTVKEY">#REF!</definedName>
    <definedName name="Valued_Service_Provider" localSheetId="8">#REF!</definedName>
    <definedName name="Valued_Service_Provider" localSheetId="2">#REF!</definedName>
    <definedName name="Valued_Service_Provider" localSheetId="3">#REF!</definedName>
    <definedName name="Valued_Service_Provider" localSheetId="1">#REF!</definedName>
    <definedName name="Valued_Service_Provider" localSheetId="12">#REF!</definedName>
    <definedName name="Valued_Service_Provider" localSheetId="13">'SDGE Costs -ELRP'!#REF!</definedName>
    <definedName name="Valued_Service_Provider" localSheetId="4">#REF!</definedName>
    <definedName name="Valued_Service_Provider">#REF!</definedName>
    <definedName name="Voice_of_Customer" localSheetId="8">#REF!</definedName>
    <definedName name="Voice_of_Customer" localSheetId="2">#REF!</definedName>
    <definedName name="Voice_of_Customer" localSheetId="3">#REF!</definedName>
    <definedName name="Voice_of_Customer" localSheetId="1">#REF!</definedName>
    <definedName name="Voice_of_Customer" localSheetId="12">#REF!</definedName>
    <definedName name="Voice_of_Customer" localSheetId="13">'SDGE Costs -ELRP'!#REF!</definedName>
    <definedName name="Voice_of_Customer" localSheetId="4">#REF!</definedName>
    <definedName name="Voice_of_Customer">#REF!</definedName>
    <definedName name="Z_E5DF83AA_DC53_4EBF_A523_33DA0FE284E8_.wvu.PrintArea" localSheetId="3" hidden="1">'Ex post LI &amp; Eligibility Stats'!$A$2:$O$28</definedName>
    <definedName name="Z_E5DF83AA_DC53_4EBF_A523_33DA0FE284E8_.wvu.PrintArea" localSheetId="1" hidden="1">'Program MW '!$A$1:$Z$48</definedName>
    <definedName name="Z_E5DF83AA_DC53_4EBF_A523_33DA0FE284E8_.wvu.PrintArea" localSheetId="4" hidden="1">'TA-TI Distribution@'!#REF!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N45" i="119" l="1"/>
  <c r="N46" i="119"/>
  <c r="N47" i="119"/>
  <c r="N11" i="117"/>
  <c r="H50" i="117"/>
  <c r="G39" i="119" l="1"/>
  <c r="N31" i="137" l="1"/>
  <c r="N27" i="137"/>
  <c r="B29" i="137"/>
  <c r="C29" i="137"/>
  <c r="N29" i="137" s="1"/>
  <c r="D29" i="137"/>
  <c r="E29" i="137"/>
  <c r="F29" i="137"/>
  <c r="G29" i="137"/>
  <c r="H29" i="137"/>
  <c r="I29" i="137"/>
  <c r="J29" i="137"/>
  <c r="K29" i="137"/>
  <c r="L29" i="137"/>
  <c r="M29" i="137"/>
  <c r="N23" i="137"/>
  <c r="B24" i="137"/>
  <c r="C24" i="137"/>
  <c r="D24" i="137"/>
  <c r="E24" i="137"/>
  <c r="F24" i="137"/>
  <c r="G24" i="137"/>
  <c r="H24" i="137"/>
  <c r="I24" i="137"/>
  <c r="J24" i="137"/>
  <c r="K24" i="137"/>
  <c r="L24" i="137"/>
  <c r="M24" i="137"/>
  <c r="N24" i="137"/>
  <c r="N12" i="137"/>
  <c r="B13" i="137"/>
  <c r="B32" i="137" s="1"/>
  <c r="C13" i="137"/>
  <c r="D13" i="137"/>
  <c r="D32" i="137" s="1"/>
  <c r="D33" i="137" s="1"/>
  <c r="E13" i="137"/>
  <c r="E32" i="137" s="1"/>
  <c r="E33" i="137" s="1"/>
  <c r="F13" i="137"/>
  <c r="F32" i="137" s="1"/>
  <c r="F33" i="137" s="1"/>
  <c r="G13" i="137"/>
  <c r="G32" i="137" s="1"/>
  <c r="G33" i="137" s="1"/>
  <c r="H13" i="137"/>
  <c r="H32" i="137" s="1"/>
  <c r="H33" i="137" s="1"/>
  <c r="I13" i="137"/>
  <c r="I32" i="137" s="1"/>
  <c r="J13" i="137"/>
  <c r="J32" i="137" s="1"/>
  <c r="K13" i="137"/>
  <c r="K32" i="137" s="1"/>
  <c r="L13" i="137"/>
  <c r="L32" i="137" s="1"/>
  <c r="M13" i="137"/>
  <c r="M32" i="137" s="1"/>
  <c r="N16" i="137"/>
  <c r="N17" i="137"/>
  <c r="N18" i="137"/>
  <c r="N19" i="137"/>
  <c r="B20" i="137"/>
  <c r="C20" i="137"/>
  <c r="N20" i="137" s="1"/>
  <c r="D20" i="137"/>
  <c r="E20" i="137"/>
  <c r="F20" i="137"/>
  <c r="G20" i="137"/>
  <c r="H20" i="137"/>
  <c r="I20" i="137"/>
  <c r="J20" i="137"/>
  <c r="K20" i="137"/>
  <c r="L20" i="137"/>
  <c r="M20" i="137"/>
  <c r="E5" i="137"/>
  <c r="H23" i="134"/>
  <c r="H36" i="131"/>
  <c r="H34" i="131"/>
  <c r="H23" i="131"/>
  <c r="H24" i="131"/>
  <c r="G35" i="117"/>
  <c r="N13" i="137" l="1"/>
  <c r="B33" i="137"/>
  <c r="C32" i="137"/>
  <c r="C33" i="137" s="1"/>
  <c r="G31" i="134"/>
  <c r="N33" i="137" l="1"/>
  <c r="N32" i="137"/>
  <c r="G36" i="131"/>
  <c r="G34" i="131"/>
  <c r="G23" i="131"/>
  <c r="G24" i="131"/>
  <c r="F13" i="131"/>
  <c r="F37" i="129"/>
  <c r="F36" i="131" l="1"/>
  <c r="F34" i="131"/>
  <c r="F23" i="131"/>
  <c r="F24" i="131"/>
  <c r="O36" i="117"/>
  <c r="E47" i="117"/>
  <c r="E46" i="117"/>
  <c r="D14" i="117"/>
  <c r="E14" i="117" s="1"/>
  <c r="E28" i="117"/>
  <c r="E29" i="117"/>
  <c r="E12" i="117"/>
  <c r="E11" i="117"/>
  <c r="E37" i="129" l="1"/>
  <c r="E36" i="131"/>
  <c r="E39" i="131"/>
  <c r="E34" i="131"/>
  <c r="E23" i="131"/>
  <c r="E24" i="131"/>
  <c r="D16" i="129"/>
  <c r="D13" i="129"/>
  <c r="D26" i="119"/>
  <c r="D25" i="119"/>
  <c r="D24" i="119"/>
  <c r="D22" i="119"/>
  <c r="D19" i="119"/>
  <c r="D21" i="119"/>
  <c r="D43" i="119"/>
  <c r="D17" i="119"/>
  <c r="D16" i="119"/>
  <c r="D42" i="119"/>
  <c r="D15" i="119"/>
  <c r="D13" i="119"/>
  <c r="D11" i="119"/>
  <c r="D39" i="119"/>
  <c r="D38" i="119"/>
  <c r="D10" i="119"/>
  <c r="D37" i="119"/>
  <c r="D9" i="119"/>
  <c r="D46" i="117"/>
  <c r="D45" i="117"/>
  <c r="E45" i="117" s="1"/>
  <c r="D44" i="117"/>
  <c r="E44" i="117" s="1"/>
  <c r="D34" i="117"/>
  <c r="E34" i="117" s="1"/>
  <c r="D35" i="117"/>
  <c r="D23" i="117"/>
  <c r="E23" i="117" s="1"/>
  <c r="D13" i="117"/>
  <c r="D12" i="117"/>
  <c r="D36" i="131" l="1"/>
  <c r="D34" i="131"/>
  <c r="D23" i="131"/>
  <c r="C37" i="129" l="1"/>
  <c r="C36" i="131"/>
  <c r="C34" i="131"/>
  <c r="C38" i="131"/>
  <c r="C39" i="131"/>
  <c r="C24" i="131"/>
  <c r="C23" i="131"/>
  <c r="B17" i="29" l="1"/>
  <c r="F22" i="33" l="1"/>
  <c r="H33" i="129" l="1"/>
  <c r="O15" i="117"/>
  <c r="B37" i="129" l="1"/>
  <c r="Q11" i="134" l="1"/>
  <c r="B39" i="131" l="1"/>
  <c r="B36" i="131"/>
  <c r="B34" i="131"/>
  <c r="B24" i="131"/>
  <c r="B23" i="131"/>
  <c r="O19" i="35" l="1"/>
  <c r="N19" i="35"/>
  <c r="O18" i="35"/>
  <c r="N18" i="35"/>
  <c r="O17" i="35"/>
  <c r="N17" i="35"/>
  <c r="O16" i="35"/>
  <c r="N16" i="35"/>
  <c r="O15" i="35"/>
  <c r="N15" i="35"/>
  <c r="O14" i="35"/>
  <c r="N14" i="35"/>
  <c r="O13" i="35"/>
  <c r="N13" i="35"/>
  <c r="O12" i="35"/>
  <c r="N12" i="35"/>
  <c r="O11" i="35"/>
  <c r="N11" i="35"/>
  <c r="O10" i="35"/>
  <c r="N10" i="35"/>
  <c r="O9" i="35"/>
  <c r="N9" i="35"/>
  <c r="C34" i="119" l="1"/>
  <c r="D34" i="119"/>
  <c r="E34" i="119"/>
  <c r="F34" i="119"/>
  <c r="G34" i="119"/>
  <c r="H34" i="119"/>
  <c r="I34" i="119"/>
  <c r="J34" i="119"/>
  <c r="K34" i="119"/>
  <c r="L34" i="119"/>
  <c r="M34" i="119"/>
  <c r="M31" i="134" l="1"/>
  <c r="O36" i="33" l="1"/>
  <c r="C4" i="57" l="1"/>
  <c r="L13" i="131"/>
  <c r="K13" i="131" l="1"/>
  <c r="N12" i="134"/>
  <c r="O12" i="134" s="1"/>
  <c r="N13" i="134"/>
  <c r="N14" i="134"/>
  <c r="O14" i="134" s="1"/>
  <c r="N15" i="134"/>
  <c r="O15" i="134" s="1"/>
  <c r="N16" i="134"/>
  <c r="O16" i="134" s="1"/>
  <c r="N17" i="134"/>
  <c r="O17" i="134" s="1"/>
  <c r="N18" i="134"/>
  <c r="O18" i="134" s="1"/>
  <c r="N19" i="134"/>
  <c r="O19" i="134" s="1"/>
  <c r="N20" i="134"/>
  <c r="O20" i="134" s="1"/>
  <c r="N21" i="134"/>
  <c r="O21" i="134" s="1"/>
  <c r="N22" i="134"/>
  <c r="O22" i="134" s="1"/>
  <c r="N11" i="134"/>
  <c r="O11" i="134" s="1"/>
  <c r="N23" i="134" l="1"/>
  <c r="I40" i="33" l="1"/>
  <c r="J13" i="131" l="1"/>
  <c r="J38" i="134" l="1"/>
  <c r="N10" i="119" l="1"/>
  <c r="N11" i="119"/>
  <c r="N12" i="119"/>
  <c r="N13" i="119"/>
  <c r="N14" i="119"/>
  <c r="N15" i="119"/>
  <c r="N16" i="119"/>
  <c r="N17" i="119"/>
  <c r="N18" i="119"/>
  <c r="N19" i="119"/>
  <c r="N20" i="119"/>
  <c r="N21" i="119"/>
  <c r="N22" i="119"/>
  <c r="N23" i="119"/>
  <c r="N24" i="119"/>
  <c r="N25" i="119"/>
  <c r="N26" i="119"/>
  <c r="N27" i="119"/>
  <c r="N28" i="119"/>
  <c r="N29" i="119"/>
  <c r="N30" i="119"/>
  <c r="N31" i="119"/>
  <c r="N32" i="119"/>
  <c r="N33" i="119"/>
  <c r="N37" i="119"/>
  <c r="N38" i="119"/>
  <c r="N39" i="119"/>
  <c r="N40" i="119"/>
  <c r="N41" i="119"/>
  <c r="N42" i="119"/>
  <c r="N43" i="119"/>
  <c r="N44" i="119"/>
  <c r="N48" i="119"/>
  <c r="P46" i="117"/>
  <c r="P45" i="117"/>
  <c r="P44" i="117"/>
  <c r="L30" i="117"/>
  <c r="K30" i="117"/>
  <c r="J30" i="117"/>
  <c r="P48" i="117" l="1"/>
  <c r="N49" i="119"/>
  <c r="O13" i="134" l="1"/>
  <c r="O23" i="134" s="1"/>
  <c r="S44" i="33" l="1"/>
  <c r="R44" i="33"/>
  <c r="S43" i="33"/>
  <c r="R43" i="33"/>
  <c r="S42" i="33"/>
  <c r="R42" i="33"/>
  <c r="S41" i="33"/>
  <c r="R41" i="33"/>
  <c r="S40" i="33"/>
  <c r="R40" i="33"/>
  <c r="S39" i="33"/>
  <c r="R39" i="33"/>
  <c r="S38" i="33"/>
  <c r="R38" i="33"/>
  <c r="S37" i="33"/>
  <c r="R37" i="33"/>
  <c r="S36" i="33"/>
  <c r="R36" i="33"/>
  <c r="S34" i="33"/>
  <c r="R34" i="33"/>
  <c r="P44" i="33"/>
  <c r="O44" i="33"/>
  <c r="P43" i="33"/>
  <c r="O43" i="33"/>
  <c r="P42" i="33"/>
  <c r="O42" i="33"/>
  <c r="P41" i="33"/>
  <c r="O41" i="33"/>
  <c r="P40" i="33"/>
  <c r="O40" i="33"/>
  <c r="P39" i="33"/>
  <c r="O39" i="33"/>
  <c r="P38" i="33"/>
  <c r="O38" i="33"/>
  <c r="P37" i="33"/>
  <c r="O37" i="33"/>
  <c r="P36" i="33"/>
  <c r="L25" i="131" s="1"/>
  <c r="P34" i="33"/>
  <c r="O34" i="33"/>
  <c r="M44" i="33"/>
  <c r="L44" i="33"/>
  <c r="M43" i="33"/>
  <c r="L43" i="33"/>
  <c r="M42" i="33"/>
  <c r="L42" i="33"/>
  <c r="M41" i="33"/>
  <c r="L41" i="33"/>
  <c r="M40" i="33"/>
  <c r="L40" i="33"/>
  <c r="M39" i="33"/>
  <c r="L39" i="33"/>
  <c r="M38" i="33"/>
  <c r="L38" i="33"/>
  <c r="M37" i="33"/>
  <c r="L37" i="33"/>
  <c r="M36" i="33"/>
  <c r="K25" i="131" s="1"/>
  <c r="L36" i="33"/>
  <c r="M34" i="33"/>
  <c r="L34" i="33"/>
  <c r="J44" i="33"/>
  <c r="I44" i="33"/>
  <c r="J43" i="33"/>
  <c r="I43" i="33"/>
  <c r="J42" i="33"/>
  <c r="I42" i="33"/>
  <c r="J41" i="33"/>
  <c r="I41" i="33"/>
  <c r="J40" i="33"/>
  <c r="J39" i="33"/>
  <c r="J40" i="131" s="1"/>
  <c r="I39" i="33"/>
  <c r="J38" i="33"/>
  <c r="I38" i="33"/>
  <c r="J37" i="33"/>
  <c r="I37" i="33"/>
  <c r="J36" i="33"/>
  <c r="J25" i="131" s="1"/>
  <c r="I36" i="33"/>
  <c r="J34" i="33"/>
  <c r="I34" i="33"/>
  <c r="S31" i="33"/>
  <c r="R31" i="33"/>
  <c r="P31" i="33"/>
  <c r="O31" i="33"/>
  <c r="M31" i="33"/>
  <c r="L31" i="33"/>
  <c r="J31" i="33"/>
  <c r="I31" i="33"/>
  <c r="F31" i="33"/>
  <c r="C31" i="33"/>
  <c r="G31" i="33"/>
  <c r="L40" i="131" l="1"/>
  <c r="K40" i="131"/>
  <c r="G44" i="33"/>
  <c r="F44" i="33"/>
  <c r="G43" i="33"/>
  <c r="F43" i="33"/>
  <c r="G42" i="33"/>
  <c r="F42" i="33"/>
  <c r="G41" i="33"/>
  <c r="F41" i="33"/>
  <c r="G40" i="33"/>
  <c r="F40" i="33"/>
  <c r="G39" i="33"/>
  <c r="F39" i="33"/>
  <c r="G38" i="33"/>
  <c r="F38" i="33"/>
  <c r="G37" i="33"/>
  <c r="F37" i="33"/>
  <c r="G36" i="33"/>
  <c r="I25" i="131" s="1"/>
  <c r="F36" i="33"/>
  <c r="G34" i="33"/>
  <c r="F34" i="33"/>
  <c r="D36" i="33"/>
  <c r="H22" i="131" s="1"/>
  <c r="D37" i="33"/>
  <c r="H33" i="131" s="1"/>
  <c r="D38" i="33"/>
  <c r="D39" i="33"/>
  <c r="D40" i="33"/>
  <c r="D41" i="33"/>
  <c r="D42" i="33"/>
  <c r="D43" i="33"/>
  <c r="D44" i="33"/>
  <c r="C36" i="33"/>
  <c r="C37" i="33"/>
  <c r="C38" i="33"/>
  <c r="C39" i="33"/>
  <c r="C40" i="33"/>
  <c r="C41" i="33"/>
  <c r="C42" i="33"/>
  <c r="C43" i="33"/>
  <c r="C44" i="33"/>
  <c r="D34" i="33"/>
  <c r="C34" i="33"/>
  <c r="D31" i="33"/>
  <c r="S45" i="33" l="1"/>
  <c r="R45" i="33"/>
  <c r="S32" i="33"/>
  <c r="R32" i="33"/>
  <c r="P45" i="33"/>
  <c r="O45" i="33"/>
  <c r="P32" i="33"/>
  <c r="O32" i="33"/>
  <c r="L45" i="33"/>
  <c r="M32" i="33"/>
  <c r="L32" i="33"/>
  <c r="J45" i="33"/>
  <c r="J32" i="33"/>
  <c r="I32" i="33"/>
  <c r="F45" i="33"/>
  <c r="G32" i="33"/>
  <c r="F32" i="33"/>
  <c r="D45" i="33"/>
  <c r="D32" i="33"/>
  <c r="C32" i="33"/>
  <c r="R46" i="33" l="1"/>
  <c r="S46" i="33"/>
  <c r="O46" i="33"/>
  <c r="G45" i="33"/>
  <c r="G46" i="33" s="1"/>
  <c r="M45" i="33"/>
  <c r="M46" i="33" s="1"/>
  <c r="C45" i="33"/>
  <c r="C46" i="33" s="1"/>
  <c r="I45" i="33"/>
  <c r="I46" i="33" s="1"/>
  <c r="P46" i="33"/>
  <c r="L46" i="33"/>
  <c r="J46" i="33"/>
  <c r="F46" i="33"/>
  <c r="D46" i="33"/>
  <c r="N13" i="129" l="1"/>
  <c r="N14" i="129"/>
  <c r="N15" i="129"/>
  <c r="N16" i="129"/>
  <c r="S22" i="33" l="1"/>
  <c r="R22" i="33"/>
  <c r="S21" i="33"/>
  <c r="R21" i="33"/>
  <c r="S20" i="33"/>
  <c r="R20" i="33"/>
  <c r="S19" i="33"/>
  <c r="R19" i="33"/>
  <c r="S18" i="33"/>
  <c r="R18" i="33"/>
  <c r="S17" i="33"/>
  <c r="R17" i="33"/>
  <c r="S16" i="33"/>
  <c r="R16" i="33"/>
  <c r="S15" i="33"/>
  <c r="G33" i="131" s="1"/>
  <c r="R15" i="33"/>
  <c r="S14" i="33"/>
  <c r="G22" i="131" s="1"/>
  <c r="R14" i="33"/>
  <c r="S12" i="33"/>
  <c r="R12" i="33"/>
  <c r="S9" i="33"/>
  <c r="S10" i="33" s="1"/>
  <c r="R9" i="33"/>
  <c r="R10" i="33" s="1"/>
  <c r="G23" i="134" l="1"/>
  <c r="N15" i="117" l="1"/>
  <c r="N14" i="117"/>
  <c r="O14" i="117" s="1"/>
  <c r="N13" i="117"/>
  <c r="N12" i="117"/>
  <c r="O12" i="117" s="1"/>
  <c r="O13" i="117" l="1"/>
  <c r="D24" i="131"/>
  <c r="P9" i="33" l="1"/>
  <c r="O9" i="33"/>
  <c r="P22" i="33" l="1"/>
  <c r="O22" i="33"/>
  <c r="P21" i="33"/>
  <c r="O21" i="33"/>
  <c r="P20" i="33"/>
  <c r="O20" i="33"/>
  <c r="P19" i="33"/>
  <c r="O19" i="33"/>
  <c r="P18" i="33"/>
  <c r="O18" i="33"/>
  <c r="P17" i="33"/>
  <c r="O17" i="33"/>
  <c r="P16" i="33"/>
  <c r="O16" i="33"/>
  <c r="P15" i="33"/>
  <c r="O15" i="33"/>
  <c r="P14" i="33"/>
  <c r="O14" i="33"/>
  <c r="P12" i="33"/>
  <c r="O12" i="33"/>
  <c r="F33" i="131" l="1"/>
  <c r="F40" i="131" s="1"/>
  <c r="F22" i="131"/>
  <c r="F25" i="131" s="1"/>
  <c r="N23" i="33"/>
  <c r="F23" i="134" l="1"/>
  <c r="M40" i="131" l="1"/>
  <c r="I40" i="131"/>
  <c r="H40" i="131"/>
  <c r="G40" i="131"/>
  <c r="P10" i="33"/>
  <c r="M22" i="33" l="1"/>
  <c r="L22" i="33"/>
  <c r="M21" i="33"/>
  <c r="L21" i="33"/>
  <c r="M20" i="33"/>
  <c r="L20" i="33"/>
  <c r="M19" i="33"/>
  <c r="L19" i="33"/>
  <c r="M18" i="33"/>
  <c r="L18" i="33"/>
  <c r="M17" i="33"/>
  <c r="L17" i="33"/>
  <c r="M16" i="33"/>
  <c r="L16" i="33"/>
  <c r="M15" i="33"/>
  <c r="E33" i="131" s="1"/>
  <c r="L15" i="33"/>
  <c r="M14" i="33"/>
  <c r="E22" i="131" s="1"/>
  <c r="E25" i="131" s="1"/>
  <c r="L14" i="33"/>
  <c r="M12" i="33"/>
  <c r="L12" i="33"/>
  <c r="M9" i="33"/>
  <c r="M10" i="33" s="1"/>
  <c r="L9" i="33"/>
  <c r="L10" i="33" s="1"/>
  <c r="M23" i="33" l="1"/>
  <c r="M24" i="33" s="1"/>
  <c r="L23" i="33"/>
  <c r="L24" i="33" s="1"/>
  <c r="D39" i="131" l="1"/>
  <c r="J22" i="33" l="1"/>
  <c r="J21" i="33"/>
  <c r="J20" i="33"/>
  <c r="J19" i="33"/>
  <c r="J18" i="33"/>
  <c r="J17" i="33"/>
  <c r="J16" i="33"/>
  <c r="J15" i="33"/>
  <c r="D33" i="131" s="1"/>
  <c r="J14" i="33"/>
  <c r="D22" i="131" s="1"/>
  <c r="D25" i="131" s="1"/>
  <c r="J12" i="33"/>
  <c r="J9" i="33"/>
  <c r="I22" i="33"/>
  <c r="I21" i="33"/>
  <c r="I20" i="33"/>
  <c r="I19" i="33"/>
  <c r="I18" i="33"/>
  <c r="I17" i="33"/>
  <c r="I16" i="33"/>
  <c r="I15" i="33"/>
  <c r="I14" i="33"/>
  <c r="I12" i="33"/>
  <c r="I9" i="33"/>
  <c r="D23" i="134" l="1"/>
  <c r="B38" i="131" l="1"/>
  <c r="D17" i="33" l="1"/>
  <c r="C14" i="33"/>
  <c r="D16" i="33"/>
  <c r="M49" i="119" l="1"/>
  <c r="L49" i="119"/>
  <c r="K49" i="119"/>
  <c r="J49" i="119"/>
  <c r="I49" i="119"/>
  <c r="H49" i="119"/>
  <c r="G49" i="119"/>
  <c r="F49" i="119"/>
  <c r="E49" i="119"/>
  <c r="D49" i="119"/>
  <c r="C49" i="119"/>
  <c r="B49" i="119"/>
  <c r="B23" i="134"/>
  <c r="N37" i="134" l="1"/>
  <c r="O37" i="134" s="1"/>
  <c r="N36" i="134"/>
  <c r="O36" i="134" s="1"/>
  <c r="N35" i="134"/>
  <c r="O35" i="134" s="1"/>
  <c r="N34" i="134"/>
  <c r="O34" i="134" s="1"/>
  <c r="N30" i="134"/>
  <c r="O30" i="134" s="1"/>
  <c r="N29" i="134"/>
  <c r="O29" i="134" s="1"/>
  <c r="N28" i="134"/>
  <c r="O28" i="134" s="1"/>
  <c r="N27" i="134"/>
  <c r="O27" i="134" s="1"/>
  <c r="N26" i="134"/>
  <c r="O26" i="134" s="1"/>
  <c r="N38" i="134" l="1"/>
  <c r="N31" i="134"/>
  <c r="N29" i="117" l="1"/>
  <c r="O29" i="117" s="1"/>
  <c r="M13" i="131" l="1"/>
  <c r="G145" i="136" l="1"/>
  <c r="G132" i="136"/>
  <c r="G119" i="136"/>
  <c r="G106" i="136"/>
  <c r="G93" i="136"/>
  <c r="G80" i="136"/>
  <c r="G67" i="136"/>
  <c r="G54" i="136"/>
  <c r="G41" i="136"/>
  <c r="G28" i="136"/>
  <c r="G2" i="136"/>
  <c r="G15" i="136"/>
  <c r="H69" i="136" l="1"/>
  <c r="H70" i="136"/>
  <c r="H71" i="136"/>
  <c r="H56" i="136"/>
  <c r="H57" i="136"/>
  <c r="H58" i="136"/>
  <c r="H43" i="136"/>
  <c r="H44" i="136"/>
  <c r="H45" i="136"/>
  <c r="H30" i="136"/>
  <c r="H31" i="136"/>
  <c r="H32" i="136"/>
  <c r="H17" i="136"/>
  <c r="H18" i="136"/>
  <c r="H19" i="136"/>
  <c r="H4" i="136" l="1"/>
  <c r="H5" i="136"/>
  <c r="H6" i="136"/>
  <c r="G3" i="136" l="1"/>
  <c r="G146" i="136" l="1"/>
  <c r="G133" i="136"/>
  <c r="G120" i="136"/>
  <c r="G107" i="136"/>
  <c r="G94" i="136"/>
  <c r="G81" i="136"/>
  <c r="G69" i="136"/>
  <c r="G70" i="136"/>
  <c r="G71" i="136"/>
  <c r="G72" i="136"/>
  <c r="G73" i="136"/>
  <c r="G74" i="136"/>
  <c r="G75" i="136"/>
  <c r="G76" i="136"/>
  <c r="G77" i="136"/>
  <c r="G78" i="136"/>
  <c r="G79" i="136"/>
  <c r="G68" i="136"/>
  <c r="G56" i="136"/>
  <c r="G57" i="136"/>
  <c r="G58" i="136"/>
  <c r="G59" i="136"/>
  <c r="G60" i="136"/>
  <c r="G61" i="136"/>
  <c r="G62" i="136"/>
  <c r="G63" i="136"/>
  <c r="G64" i="136"/>
  <c r="G65" i="136"/>
  <c r="G66" i="136"/>
  <c r="G55" i="136"/>
  <c r="G43" i="136"/>
  <c r="G44" i="136"/>
  <c r="G45" i="136"/>
  <c r="G46" i="136"/>
  <c r="G47" i="136"/>
  <c r="G48" i="136"/>
  <c r="G49" i="136"/>
  <c r="G50" i="136"/>
  <c r="G51" i="136"/>
  <c r="G52" i="136"/>
  <c r="G53" i="136"/>
  <c r="G42" i="136"/>
  <c r="G30" i="136"/>
  <c r="G31" i="136"/>
  <c r="G32" i="136"/>
  <c r="G33" i="136"/>
  <c r="G34" i="136"/>
  <c r="G35" i="136"/>
  <c r="G36" i="136"/>
  <c r="G37" i="136"/>
  <c r="G38" i="136"/>
  <c r="G39" i="136"/>
  <c r="G40" i="136"/>
  <c r="G29" i="136"/>
  <c r="G17" i="136"/>
  <c r="G18" i="136"/>
  <c r="G19" i="136"/>
  <c r="G20" i="136"/>
  <c r="G21" i="136"/>
  <c r="G22" i="136"/>
  <c r="G23" i="136"/>
  <c r="G24" i="136"/>
  <c r="G25" i="136"/>
  <c r="G26" i="136"/>
  <c r="G27" i="136"/>
  <c r="G16" i="136"/>
  <c r="G4" i="136"/>
  <c r="G5" i="136"/>
  <c r="G6" i="136"/>
  <c r="G7" i="136"/>
  <c r="G8" i="136"/>
  <c r="G9" i="136"/>
  <c r="G10" i="136"/>
  <c r="G11" i="136"/>
  <c r="G12" i="136"/>
  <c r="G13" i="136"/>
  <c r="G14" i="136"/>
  <c r="N22" i="129" l="1"/>
  <c r="N21" i="129"/>
  <c r="K32" i="131" l="1"/>
  <c r="N8" i="35" l="1"/>
  <c r="E23" i="33"/>
  <c r="C31" i="134"/>
  <c r="C16" i="33"/>
  <c r="H9" i="136" s="1"/>
  <c r="C17" i="33"/>
  <c r="H10" i="136" s="1"/>
  <c r="H7" i="136"/>
  <c r="E32" i="33"/>
  <c r="C15" i="33"/>
  <c r="H8" i="136" s="1"/>
  <c r="B34" i="119"/>
  <c r="B50" i="119" s="1"/>
  <c r="B52" i="119" s="1"/>
  <c r="Q15" i="134"/>
  <c r="Q23" i="134" s="1"/>
  <c r="P30" i="117"/>
  <c r="P16" i="117"/>
  <c r="B20" i="117"/>
  <c r="C20" i="117"/>
  <c r="D20" i="117"/>
  <c r="E20" i="117"/>
  <c r="F20" i="117"/>
  <c r="G20" i="117"/>
  <c r="H20" i="117"/>
  <c r="I20" i="117"/>
  <c r="J20" i="117"/>
  <c r="K20" i="117"/>
  <c r="L20" i="117"/>
  <c r="M20" i="117"/>
  <c r="N47" i="117"/>
  <c r="O47" i="117" s="1"/>
  <c r="N34" i="117"/>
  <c r="O34" i="117" s="1"/>
  <c r="N33" i="117"/>
  <c r="N35" i="117"/>
  <c r="O35" i="117" s="1"/>
  <c r="N36" i="117"/>
  <c r="P37" i="117"/>
  <c r="N19" i="117"/>
  <c r="N16" i="117"/>
  <c r="F15" i="33"/>
  <c r="G15" i="33"/>
  <c r="F16" i="33"/>
  <c r="G16" i="33"/>
  <c r="F17" i="33"/>
  <c r="G17" i="33"/>
  <c r="F18" i="33"/>
  <c r="D37" i="131" s="1"/>
  <c r="F19" i="33"/>
  <c r="D38" i="131" s="1"/>
  <c r="G18" i="33"/>
  <c r="E37" i="131" s="1"/>
  <c r="G19" i="33"/>
  <c r="E38" i="131" s="1"/>
  <c r="D14" i="33"/>
  <c r="B22" i="131" s="1"/>
  <c r="F14" i="33"/>
  <c r="H20" i="136" s="1"/>
  <c r="G14" i="33"/>
  <c r="C22" i="131" s="1"/>
  <c r="H33" i="136"/>
  <c r="H46" i="136"/>
  <c r="M25" i="131"/>
  <c r="M17" i="129"/>
  <c r="M24" i="129"/>
  <c r="M28" i="129"/>
  <c r="M33" i="129"/>
  <c r="B33" i="129"/>
  <c r="C33" i="129"/>
  <c r="D33" i="129"/>
  <c r="E33" i="129"/>
  <c r="F33" i="129"/>
  <c r="G33" i="129"/>
  <c r="I33" i="129"/>
  <c r="J33" i="129"/>
  <c r="K33" i="129"/>
  <c r="L33" i="129"/>
  <c r="N46" i="117"/>
  <c r="O46" i="117" s="1"/>
  <c r="N45" i="117"/>
  <c r="O45" i="117" s="1"/>
  <c r="N44" i="117"/>
  <c r="O44" i="117" s="1"/>
  <c r="H120" i="136"/>
  <c r="K16" i="117"/>
  <c r="H107" i="136"/>
  <c r="N9" i="119"/>
  <c r="B17" i="129"/>
  <c r="B24" i="129"/>
  <c r="B28" i="129"/>
  <c r="C24" i="129"/>
  <c r="D24" i="129"/>
  <c r="E24" i="129"/>
  <c r="F24" i="129"/>
  <c r="G24" i="129"/>
  <c r="H24" i="129"/>
  <c r="I24" i="129"/>
  <c r="J24" i="129"/>
  <c r="K24" i="129"/>
  <c r="L24" i="129"/>
  <c r="D17" i="129"/>
  <c r="D28" i="129"/>
  <c r="F17" i="129"/>
  <c r="F28" i="129"/>
  <c r="L17" i="129"/>
  <c r="L28" i="129"/>
  <c r="N20" i="129"/>
  <c r="Q48" i="117"/>
  <c r="Q16" i="117"/>
  <c r="G13" i="131"/>
  <c r="E13" i="131"/>
  <c r="G48" i="117"/>
  <c r="G41" i="117"/>
  <c r="G37" i="117"/>
  <c r="G30" i="117"/>
  <c r="G24" i="117"/>
  <c r="G16" i="117"/>
  <c r="D13" i="131"/>
  <c r="D38" i="134"/>
  <c r="C13" i="131"/>
  <c r="M16" i="117"/>
  <c r="L16" i="117"/>
  <c r="J16" i="117"/>
  <c r="I16" i="117"/>
  <c r="H16" i="117"/>
  <c r="F16" i="117"/>
  <c r="E16" i="117"/>
  <c r="D16" i="117"/>
  <c r="C16" i="117"/>
  <c r="P41" i="117"/>
  <c r="P24" i="117"/>
  <c r="P20" i="117"/>
  <c r="Q20" i="117"/>
  <c r="P38" i="134"/>
  <c r="M38" i="134"/>
  <c r="L38" i="134"/>
  <c r="K38" i="134"/>
  <c r="I38" i="134"/>
  <c r="H38" i="134"/>
  <c r="G38" i="134"/>
  <c r="F38" i="134"/>
  <c r="E38" i="134"/>
  <c r="C38" i="134"/>
  <c r="B38" i="134"/>
  <c r="L31" i="134"/>
  <c r="K31" i="134"/>
  <c r="J31" i="134"/>
  <c r="I31" i="134"/>
  <c r="H31" i="134"/>
  <c r="F31" i="134"/>
  <c r="E31" i="134"/>
  <c r="D31" i="134"/>
  <c r="B31" i="134"/>
  <c r="M23" i="134"/>
  <c r="L23" i="134"/>
  <c r="K23" i="134"/>
  <c r="J23" i="134"/>
  <c r="I23" i="134"/>
  <c r="E23" i="134"/>
  <c r="C23" i="134"/>
  <c r="M48" i="117"/>
  <c r="L48" i="117"/>
  <c r="K48" i="117"/>
  <c r="B48" i="117"/>
  <c r="B41" i="117"/>
  <c r="B37" i="117"/>
  <c r="B30" i="117"/>
  <c r="B24" i="117"/>
  <c r="B16" i="117"/>
  <c r="C48" i="117"/>
  <c r="D48" i="117"/>
  <c r="E48" i="117"/>
  <c r="F48" i="117"/>
  <c r="F41" i="117"/>
  <c r="F37" i="117"/>
  <c r="F30" i="117"/>
  <c r="F24" i="117"/>
  <c r="H48" i="117"/>
  <c r="I48" i="117"/>
  <c r="J48" i="117"/>
  <c r="J41" i="117"/>
  <c r="J37" i="117"/>
  <c r="J24" i="117"/>
  <c r="R15" i="117"/>
  <c r="H73" i="136"/>
  <c r="H68" i="136"/>
  <c r="H72" i="136"/>
  <c r="H74" i="136"/>
  <c r="H75" i="136"/>
  <c r="H76" i="136"/>
  <c r="H77" i="136"/>
  <c r="H78" i="136"/>
  <c r="H79" i="136"/>
  <c r="D15" i="33"/>
  <c r="B33" i="131" s="1"/>
  <c r="D32" i="131"/>
  <c r="F32" i="131" s="1"/>
  <c r="H32" i="131" s="1"/>
  <c r="J32" i="131" s="1"/>
  <c r="C32" i="131"/>
  <c r="E32" i="131" s="1"/>
  <c r="G32" i="131" s="1"/>
  <c r="M32" i="131"/>
  <c r="C18" i="33"/>
  <c r="H11" i="136" s="1"/>
  <c r="D18" i="33"/>
  <c r="D21" i="131"/>
  <c r="F21" i="131" s="1"/>
  <c r="H21" i="131" s="1"/>
  <c r="J21" i="131" s="1"/>
  <c r="L21" i="131" s="1"/>
  <c r="C21" i="131"/>
  <c r="E21" i="131" s="1"/>
  <c r="G21" i="131" s="1"/>
  <c r="I21" i="131" s="1"/>
  <c r="K21" i="131" s="1"/>
  <c r="M21" i="131" s="1"/>
  <c r="C4" i="134"/>
  <c r="L24" i="117"/>
  <c r="E28" i="129"/>
  <c r="E17" i="129"/>
  <c r="I41" i="117"/>
  <c r="I37" i="117"/>
  <c r="I30" i="117"/>
  <c r="I24" i="117"/>
  <c r="H41" i="117"/>
  <c r="H37" i="117"/>
  <c r="H30" i="117"/>
  <c r="H24" i="117"/>
  <c r="E41" i="117"/>
  <c r="D41" i="117"/>
  <c r="D37" i="117"/>
  <c r="D30" i="117"/>
  <c r="D24" i="117"/>
  <c r="C41" i="117"/>
  <c r="C37" i="117"/>
  <c r="C30" i="117"/>
  <c r="C24" i="117"/>
  <c r="E37" i="117"/>
  <c r="E30" i="117"/>
  <c r="E24" i="117"/>
  <c r="G4" i="117"/>
  <c r="N23" i="117"/>
  <c r="O23" i="117" s="1"/>
  <c r="K24" i="117"/>
  <c r="M24" i="117"/>
  <c r="Q24" i="117"/>
  <c r="N27" i="117"/>
  <c r="O27" i="117" s="1"/>
  <c r="N28" i="117"/>
  <c r="O28" i="117" s="1"/>
  <c r="M30" i="117"/>
  <c r="Q30" i="117"/>
  <c r="K37" i="117"/>
  <c r="L37" i="117"/>
  <c r="M37" i="117"/>
  <c r="M41" i="117"/>
  <c r="Q37" i="117"/>
  <c r="N40" i="117"/>
  <c r="O40" i="117" s="1"/>
  <c r="K41" i="117"/>
  <c r="L41" i="117"/>
  <c r="Q41" i="117"/>
  <c r="D9" i="33"/>
  <c r="D10" i="33" s="1"/>
  <c r="D12" i="33"/>
  <c r="D19" i="33"/>
  <c r="D21" i="33"/>
  <c r="D22" i="33"/>
  <c r="H81" i="136"/>
  <c r="H13" i="131"/>
  <c r="N35" i="129"/>
  <c r="N31" i="129"/>
  <c r="K28" i="129"/>
  <c r="K17" i="129"/>
  <c r="J28" i="129"/>
  <c r="I28" i="129"/>
  <c r="H28" i="129"/>
  <c r="G28" i="129"/>
  <c r="C28" i="129"/>
  <c r="N27" i="129"/>
  <c r="N23" i="129"/>
  <c r="J17" i="129"/>
  <c r="I17" i="129"/>
  <c r="H17" i="129"/>
  <c r="G17" i="129"/>
  <c r="C17" i="129"/>
  <c r="N12" i="129"/>
  <c r="E5" i="129"/>
  <c r="N30" i="120"/>
  <c r="M28" i="120"/>
  <c r="L28" i="120"/>
  <c r="K28" i="120"/>
  <c r="J28" i="120"/>
  <c r="I28" i="120"/>
  <c r="H28" i="120"/>
  <c r="G28" i="120"/>
  <c r="F28" i="120"/>
  <c r="E28" i="120"/>
  <c r="D28" i="120"/>
  <c r="D14" i="120"/>
  <c r="D18" i="120"/>
  <c r="D22" i="120"/>
  <c r="B14" i="120"/>
  <c r="B18" i="120"/>
  <c r="B22" i="120"/>
  <c r="B28" i="120"/>
  <c r="C14" i="120"/>
  <c r="C18" i="120"/>
  <c r="C22" i="120"/>
  <c r="C28" i="120"/>
  <c r="E14" i="120"/>
  <c r="E18" i="120"/>
  <c r="E22" i="120"/>
  <c r="F14" i="120"/>
  <c r="F18" i="120"/>
  <c r="F22" i="120"/>
  <c r="G14" i="120"/>
  <c r="G18" i="120"/>
  <c r="G22" i="120"/>
  <c r="H14" i="120"/>
  <c r="H18" i="120"/>
  <c r="H22" i="120"/>
  <c r="I14" i="120"/>
  <c r="I18" i="120"/>
  <c r="I22" i="120"/>
  <c r="J14" i="120"/>
  <c r="J18" i="120"/>
  <c r="J22" i="120"/>
  <c r="K14" i="120"/>
  <c r="K18" i="120"/>
  <c r="K22" i="120"/>
  <c r="L14" i="120"/>
  <c r="L18" i="120"/>
  <c r="L22" i="120"/>
  <c r="M14" i="120"/>
  <c r="M18" i="120"/>
  <c r="M22" i="120"/>
  <c r="N27" i="120"/>
  <c r="N26" i="120"/>
  <c r="N25" i="120"/>
  <c r="N21" i="120"/>
  <c r="N17" i="120"/>
  <c r="N13" i="120"/>
  <c r="N12" i="120"/>
  <c r="N11" i="120"/>
  <c r="E4" i="120"/>
  <c r="I50" i="119"/>
  <c r="E3" i="119"/>
  <c r="I13" i="131"/>
  <c r="B13" i="131"/>
  <c r="G4" i="131"/>
  <c r="U47" i="36"/>
  <c r="U49" i="36" s="1"/>
  <c r="Q47" i="36"/>
  <c r="Q49" i="36" s="1"/>
  <c r="M47" i="36"/>
  <c r="M49" i="36" s="1"/>
  <c r="I47" i="36"/>
  <c r="I49" i="36" s="1"/>
  <c r="F47" i="36"/>
  <c r="F49" i="36" s="1"/>
  <c r="B47" i="36"/>
  <c r="B49" i="36" s="1"/>
  <c r="V42" i="36"/>
  <c r="R42" i="36"/>
  <c r="N42" i="36"/>
  <c r="Y40" i="36"/>
  <c r="U40" i="36"/>
  <c r="Q40" i="36"/>
  <c r="L40" i="36"/>
  <c r="K40" i="36"/>
  <c r="K33" i="36"/>
  <c r="L33" i="36"/>
  <c r="H40" i="36"/>
  <c r="G40" i="36"/>
  <c r="E40" i="36"/>
  <c r="D40" i="36"/>
  <c r="C40" i="36"/>
  <c r="Y39" i="36"/>
  <c r="U39" i="36"/>
  <c r="Q39" i="36"/>
  <c r="M39" i="36"/>
  <c r="I39" i="36"/>
  <c r="Y38" i="36"/>
  <c r="U38" i="36"/>
  <c r="Q38" i="36"/>
  <c r="M38" i="36"/>
  <c r="I38" i="36"/>
  <c r="Y37" i="36"/>
  <c r="U37" i="36"/>
  <c r="Q37" i="36"/>
  <c r="M37" i="36"/>
  <c r="I37" i="36"/>
  <c r="Y36" i="36"/>
  <c r="U36" i="36"/>
  <c r="Q36" i="36"/>
  <c r="M36" i="36"/>
  <c r="I36" i="36"/>
  <c r="Y35" i="36"/>
  <c r="U35" i="36"/>
  <c r="Q35" i="36"/>
  <c r="M35" i="36"/>
  <c r="I35" i="36"/>
  <c r="X33" i="36"/>
  <c r="X42" i="36" s="1"/>
  <c r="W33" i="36"/>
  <c r="T33" i="36"/>
  <c r="T42" i="36" s="1"/>
  <c r="S33" i="36"/>
  <c r="P33" i="36"/>
  <c r="P42" i="36" s="1"/>
  <c r="O33" i="36"/>
  <c r="O42" i="36" s="1"/>
  <c r="H33" i="36"/>
  <c r="G33" i="36"/>
  <c r="D33" i="36"/>
  <c r="C33" i="36"/>
  <c r="Y32" i="36"/>
  <c r="U32" i="36"/>
  <c r="Q32" i="36"/>
  <c r="M32" i="36"/>
  <c r="I32" i="36"/>
  <c r="E32" i="36"/>
  <c r="E28" i="36"/>
  <c r="Q31" i="36"/>
  <c r="M31" i="36"/>
  <c r="I31" i="36"/>
  <c r="Q30" i="36"/>
  <c r="M30" i="36"/>
  <c r="I30" i="36"/>
  <c r="Q29" i="36"/>
  <c r="M29" i="36"/>
  <c r="I29" i="36"/>
  <c r="I28" i="36"/>
  <c r="Y28" i="36"/>
  <c r="U28" i="36"/>
  <c r="Q28" i="36"/>
  <c r="M28" i="36"/>
  <c r="V20" i="36"/>
  <c r="V22" i="36" s="1"/>
  <c r="R20" i="36"/>
  <c r="R22" i="36" s="1"/>
  <c r="N20" i="36"/>
  <c r="N22" i="36" s="1"/>
  <c r="J20" i="36"/>
  <c r="J22" i="36" s="1"/>
  <c r="F20" i="36"/>
  <c r="F22" i="36" s="1"/>
  <c r="B20" i="36"/>
  <c r="B22" i="36" s="1"/>
  <c r="U14" i="36"/>
  <c r="Q14" i="36"/>
  <c r="M14" i="36"/>
  <c r="X13" i="36"/>
  <c r="W13" i="36"/>
  <c r="U13" i="36"/>
  <c r="T13" i="36"/>
  <c r="S13" i="36"/>
  <c r="Q13" i="36"/>
  <c r="P13" i="36"/>
  <c r="O13" i="36"/>
  <c r="M13" i="36"/>
  <c r="L13" i="36"/>
  <c r="K13" i="36"/>
  <c r="I13" i="36"/>
  <c r="H13" i="36"/>
  <c r="G13" i="36"/>
  <c r="G7" i="36"/>
  <c r="E13" i="36"/>
  <c r="D13" i="36"/>
  <c r="Y11" i="36"/>
  <c r="Y9" i="36"/>
  <c r="Y10" i="36"/>
  <c r="Y5" i="36"/>
  <c r="Y6" i="36"/>
  <c r="X7" i="36"/>
  <c r="W7" i="36"/>
  <c r="T7" i="36"/>
  <c r="S7" i="36"/>
  <c r="P7" i="36"/>
  <c r="O7" i="36"/>
  <c r="L7" i="36"/>
  <c r="K7" i="36"/>
  <c r="H7" i="36"/>
  <c r="D7" i="36"/>
  <c r="C7" i="36"/>
  <c r="C15" i="36" s="1"/>
  <c r="U6" i="36"/>
  <c r="U5" i="36"/>
  <c r="Q6" i="36"/>
  <c r="Q5" i="36"/>
  <c r="M6" i="36"/>
  <c r="M5" i="36"/>
  <c r="I6" i="36"/>
  <c r="E6" i="36"/>
  <c r="E5" i="36"/>
  <c r="I5" i="36"/>
  <c r="H3" i="35"/>
  <c r="H3" i="34"/>
  <c r="Q45" i="33"/>
  <c r="Q32" i="33"/>
  <c r="N45" i="33"/>
  <c r="K45" i="33"/>
  <c r="K32" i="33"/>
  <c r="H45" i="33"/>
  <c r="E45" i="33"/>
  <c r="B45" i="33"/>
  <c r="B32" i="33"/>
  <c r="H146" i="136"/>
  <c r="H25" i="131"/>
  <c r="H133" i="136"/>
  <c r="H94" i="136"/>
  <c r="N32" i="33"/>
  <c r="H32" i="33"/>
  <c r="C27" i="33"/>
  <c r="Q23" i="33"/>
  <c r="Q10" i="33"/>
  <c r="K23" i="33"/>
  <c r="H23" i="33"/>
  <c r="H66" i="136"/>
  <c r="H53" i="136"/>
  <c r="H40" i="136"/>
  <c r="G22" i="33"/>
  <c r="H27" i="136"/>
  <c r="C22" i="33"/>
  <c r="H14" i="136" s="1"/>
  <c r="G21" i="33"/>
  <c r="F21" i="33"/>
  <c r="B23" i="33"/>
  <c r="B10" i="33"/>
  <c r="C19" i="33"/>
  <c r="H12" i="136" s="1"/>
  <c r="G25" i="131"/>
  <c r="H59" i="136"/>
  <c r="H55" i="136"/>
  <c r="H42" i="136"/>
  <c r="H29" i="136"/>
  <c r="G12" i="33"/>
  <c r="F12" i="33"/>
  <c r="H16" i="136" s="1"/>
  <c r="C12" i="33"/>
  <c r="H3" i="136" s="1"/>
  <c r="N10" i="33"/>
  <c r="K10" i="33"/>
  <c r="H10" i="33"/>
  <c r="E10" i="33"/>
  <c r="J10" i="33"/>
  <c r="G9" i="33"/>
  <c r="G10" i="33" s="1"/>
  <c r="F9" i="33"/>
  <c r="C9" i="33"/>
  <c r="C21" i="33"/>
  <c r="H13" i="136" s="1"/>
  <c r="F4" i="33"/>
  <c r="D4" i="33"/>
  <c r="D27" i="33" s="1"/>
  <c r="E40" i="131" l="1"/>
  <c r="O11" i="117"/>
  <c r="R11" i="117" s="1"/>
  <c r="P15" i="36"/>
  <c r="Q50" i="117"/>
  <c r="O19" i="117"/>
  <c r="O20" i="117" s="1"/>
  <c r="N20" i="117"/>
  <c r="N48" i="117"/>
  <c r="O24" i="117"/>
  <c r="R24" i="117" s="1"/>
  <c r="N24" i="117"/>
  <c r="N34" i="119"/>
  <c r="N50" i="119" s="1"/>
  <c r="P50" i="117"/>
  <c r="N24" i="33"/>
  <c r="D40" i="131"/>
  <c r="H147" i="136"/>
  <c r="H134" i="136"/>
  <c r="H82" i="136"/>
  <c r="H121" i="136"/>
  <c r="H108" i="136"/>
  <c r="H95" i="136"/>
  <c r="G147" i="136"/>
  <c r="G134" i="136"/>
  <c r="G121" i="136"/>
  <c r="G108" i="136"/>
  <c r="G95" i="136"/>
  <c r="G82" i="136"/>
  <c r="C25" i="131"/>
  <c r="C33" i="131"/>
  <c r="C40" i="131" s="1"/>
  <c r="N46" i="33"/>
  <c r="H85" i="136"/>
  <c r="D42" i="36"/>
  <c r="B50" i="117"/>
  <c r="O33" i="117"/>
  <c r="R33" i="117" s="1"/>
  <c r="R28" i="117"/>
  <c r="R34" i="117"/>
  <c r="R27" i="117"/>
  <c r="R13" i="117"/>
  <c r="R36" i="117"/>
  <c r="R47" i="117"/>
  <c r="R45" i="117"/>
  <c r="H23" i="136"/>
  <c r="H61" i="136"/>
  <c r="H34" i="136"/>
  <c r="H39" i="136"/>
  <c r="H65" i="136"/>
  <c r="H25" i="136"/>
  <c r="H37" i="136"/>
  <c r="H48" i="136"/>
  <c r="H64" i="136"/>
  <c r="H60" i="136"/>
  <c r="H52" i="136"/>
  <c r="H49" i="136"/>
  <c r="H24" i="136"/>
  <c r="H36" i="136"/>
  <c r="H51" i="136"/>
  <c r="H35" i="136"/>
  <c r="H63" i="136"/>
  <c r="H21" i="136"/>
  <c r="H38" i="136"/>
  <c r="H22" i="136"/>
  <c r="H26" i="136"/>
  <c r="H50" i="136"/>
  <c r="H62" i="136"/>
  <c r="H47" i="136"/>
  <c r="H98" i="136"/>
  <c r="H89" i="136"/>
  <c r="H100" i="136"/>
  <c r="H139" i="136"/>
  <c r="H141" i="136"/>
  <c r="H103" i="136"/>
  <c r="H155" i="136"/>
  <c r="H104" i="136"/>
  <c r="R29" i="117"/>
  <c r="H90" i="136"/>
  <c r="H116" i="136"/>
  <c r="H152" i="136"/>
  <c r="H91" i="136"/>
  <c r="H153" i="136"/>
  <c r="H99" i="136"/>
  <c r="H130" i="136"/>
  <c r="H126" i="136"/>
  <c r="H113" i="136"/>
  <c r="H111" i="136"/>
  <c r="H150" i="136"/>
  <c r="H143" i="136"/>
  <c r="H92" i="136"/>
  <c r="H157" i="136"/>
  <c r="H101" i="136"/>
  <c r="H129" i="136"/>
  <c r="H124" i="136"/>
  <c r="H151" i="136"/>
  <c r="H88" i="136"/>
  <c r="H117" i="136"/>
  <c r="H135" i="136"/>
  <c r="H123" i="136"/>
  <c r="H83" i="136"/>
  <c r="H148" i="136"/>
  <c r="H136" i="136"/>
  <c r="H96" i="136"/>
  <c r="H122" i="136"/>
  <c r="H149" i="136"/>
  <c r="H109" i="136"/>
  <c r="H97" i="136"/>
  <c r="H110" i="136"/>
  <c r="H84" i="136"/>
  <c r="H140" i="136"/>
  <c r="H86" i="136"/>
  <c r="H112" i="136"/>
  <c r="H128" i="136"/>
  <c r="H125" i="136"/>
  <c r="H87" i="136"/>
  <c r="H118" i="136"/>
  <c r="H137" i="136"/>
  <c r="H115" i="136"/>
  <c r="H142" i="136"/>
  <c r="H154" i="136"/>
  <c r="H156" i="136"/>
  <c r="H105" i="136"/>
  <c r="H144" i="136"/>
  <c r="S15" i="36"/>
  <c r="H102" i="136"/>
  <c r="H114" i="136"/>
  <c r="H131" i="136"/>
  <c r="H127" i="136"/>
  <c r="H138" i="136"/>
  <c r="H46" i="33"/>
  <c r="H132" i="136"/>
  <c r="C10" i="33"/>
  <c r="H2" i="136"/>
  <c r="H67" i="136"/>
  <c r="H80" i="136"/>
  <c r="F10" i="33"/>
  <c r="H15" i="136"/>
  <c r="H41" i="136"/>
  <c r="I10" i="33"/>
  <c r="H28" i="136"/>
  <c r="O10" i="33"/>
  <c r="H54" i="136"/>
  <c r="H119" i="136"/>
  <c r="H106" i="136"/>
  <c r="H93" i="136"/>
  <c r="H145" i="136"/>
  <c r="D36" i="129"/>
  <c r="D37" i="129" s="1"/>
  <c r="C42" i="36"/>
  <c r="L42" i="36"/>
  <c r="G151" i="136"/>
  <c r="G155" i="136"/>
  <c r="G138" i="136"/>
  <c r="G142" i="136"/>
  <c r="G149" i="136"/>
  <c r="G153" i="136"/>
  <c r="G157" i="136"/>
  <c r="G136" i="136"/>
  <c r="G140" i="136"/>
  <c r="G144" i="136"/>
  <c r="G123" i="136"/>
  <c r="G127" i="136"/>
  <c r="G131" i="136"/>
  <c r="G148" i="136"/>
  <c r="G156" i="136"/>
  <c r="G139" i="136"/>
  <c r="G122" i="136"/>
  <c r="G128" i="136"/>
  <c r="G112" i="136"/>
  <c r="G116" i="136"/>
  <c r="G99" i="136"/>
  <c r="G103" i="136"/>
  <c r="G86" i="136"/>
  <c r="G90" i="136"/>
  <c r="G150" i="136"/>
  <c r="G141" i="136"/>
  <c r="G124" i="136"/>
  <c r="G129" i="136"/>
  <c r="G109" i="136"/>
  <c r="G113" i="136"/>
  <c r="G117" i="136"/>
  <c r="G96" i="136"/>
  <c r="G100" i="136"/>
  <c r="G104" i="136"/>
  <c r="G83" i="136"/>
  <c r="G87" i="136"/>
  <c r="G91" i="136"/>
  <c r="G137" i="136"/>
  <c r="G111" i="136"/>
  <c r="G102" i="136"/>
  <c r="G89" i="136"/>
  <c r="G152" i="136"/>
  <c r="G135" i="136"/>
  <c r="G143" i="136"/>
  <c r="G125" i="136"/>
  <c r="G130" i="136"/>
  <c r="G110" i="136"/>
  <c r="G114" i="136"/>
  <c r="G118" i="136"/>
  <c r="G97" i="136"/>
  <c r="G101" i="136"/>
  <c r="G105" i="136"/>
  <c r="G84" i="136"/>
  <c r="G88" i="136"/>
  <c r="G92" i="136"/>
  <c r="G154" i="136"/>
  <c r="G126" i="136"/>
  <c r="G115" i="136"/>
  <c r="G98" i="136"/>
  <c r="G85" i="136"/>
  <c r="M7" i="36"/>
  <c r="M15" i="36" s="1"/>
  <c r="J50" i="117"/>
  <c r="L15" i="36"/>
  <c r="E24" i="33"/>
  <c r="Q33" i="36"/>
  <c r="Q42" i="36" s="1"/>
  <c r="H15" i="36"/>
  <c r="X15" i="36"/>
  <c r="G15" i="36"/>
  <c r="C50" i="119"/>
  <c r="C52" i="119" s="1"/>
  <c r="Y13" i="36"/>
  <c r="E33" i="36"/>
  <c r="E42" i="36" s="1"/>
  <c r="F50" i="119"/>
  <c r="F52" i="119" s="1"/>
  <c r="D15" i="36"/>
  <c r="O15" i="36"/>
  <c r="L31" i="120"/>
  <c r="E36" i="129"/>
  <c r="E7" i="36"/>
  <c r="E15" i="36" s="1"/>
  <c r="Q7" i="36"/>
  <c r="Q15" i="36" s="1"/>
  <c r="Y7" i="36"/>
  <c r="H42" i="36"/>
  <c r="B31" i="120"/>
  <c r="H36" i="129"/>
  <c r="H37" i="129" s="1"/>
  <c r="L50" i="117"/>
  <c r="R14" i="117"/>
  <c r="N33" i="129"/>
  <c r="L50" i="119"/>
  <c r="I33" i="36"/>
  <c r="K31" i="120"/>
  <c r="F31" i="120"/>
  <c r="E31" i="120"/>
  <c r="B36" i="129"/>
  <c r="M36" i="129"/>
  <c r="L36" i="129"/>
  <c r="N14" i="120"/>
  <c r="O38" i="134"/>
  <c r="I50" i="117"/>
  <c r="C23" i="33"/>
  <c r="M50" i="119"/>
  <c r="E50" i="119"/>
  <c r="E52" i="119" s="1"/>
  <c r="G50" i="119"/>
  <c r="G52" i="119" s="1"/>
  <c r="J50" i="119"/>
  <c r="D50" i="119"/>
  <c r="D52" i="119" s="1"/>
  <c r="K50" i="119"/>
  <c r="Q24" i="33"/>
  <c r="C31" i="120"/>
  <c r="I36" i="129"/>
  <c r="D50" i="117"/>
  <c r="G50" i="117"/>
  <c r="G23" i="33"/>
  <c r="G24" i="33" s="1"/>
  <c r="B24" i="33"/>
  <c r="Q46" i="33"/>
  <c r="I7" i="36"/>
  <c r="I15" i="36" s="1"/>
  <c r="T15" i="36"/>
  <c r="Y33" i="36"/>
  <c r="Y42" i="36" s="1"/>
  <c r="M40" i="36"/>
  <c r="H50" i="119"/>
  <c r="H52" i="119" s="1"/>
  <c r="M31" i="120"/>
  <c r="I31" i="120"/>
  <c r="N22" i="120"/>
  <c r="C36" i="129"/>
  <c r="J36" i="129"/>
  <c r="G36" i="129"/>
  <c r="G37" i="129" s="1"/>
  <c r="K36" i="129"/>
  <c r="H24" i="33"/>
  <c r="E50" i="117"/>
  <c r="N28" i="120"/>
  <c r="O23" i="33"/>
  <c r="K46" i="33"/>
  <c r="W15" i="36"/>
  <c r="G42" i="36"/>
  <c r="U33" i="36"/>
  <c r="U42" i="36" s="1"/>
  <c r="J31" i="120"/>
  <c r="F50" i="117"/>
  <c r="M50" i="117"/>
  <c r="K15" i="36"/>
  <c r="S42" i="36"/>
  <c r="W42" i="36"/>
  <c r="I40" i="36"/>
  <c r="N18" i="120"/>
  <c r="D31" i="120"/>
  <c r="N41" i="117"/>
  <c r="K50" i="117"/>
  <c r="I4" i="33"/>
  <c r="F27" i="33"/>
  <c r="G4" i="33"/>
  <c r="G27" i="33" s="1"/>
  <c r="N28" i="129"/>
  <c r="N17" i="129"/>
  <c r="M33" i="36"/>
  <c r="K42" i="36"/>
  <c r="K24" i="33"/>
  <c r="U7" i="36"/>
  <c r="U15" i="36" s="1"/>
  <c r="D23" i="33"/>
  <c r="D24" i="33" s="1"/>
  <c r="C50" i="117"/>
  <c r="F36" i="129"/>
  <c r="R46" i="117"/>
  <c r="J23" i="33"/>
  <c r="J24" i="33" s="1"/>
  <c r="P23" i="33"/>
  <c r="P24" i="33" s="1"/>
  <c r="E46" i="33"/>
  <c r="B46" i="33"/>
  <c r="H31" i="120"/>
  <c r="O31" i="134"/>
  <c r="F23" i="33"/>
  <c r="I23" i="33"/>
  <c r="R40" i="117"/>
  <c r="O41" i="117"/>
  <c r="R41" i="117" s="1"/>
  <c r="R35" i="117"/>
  <c r="N37" i="117"/>
  <c r="N30" i="117"/>
  <c r="R12" i="117"/>
  <c r="B25" i="131"/>
  <c r="G31" i="120"/>
  <c r="N24" i="129"/>
  <c r="R23" i="33"/>
  <c r="S23" i="33"/>
  <c r="S24" i="33" s="1"/>
  <c r="N36" i="129" l="1"/>
  <c r="N52" i="119"/>
  <c r="Y15" i="36"/>
  <c r="O48" i="117"/>
  <c r="R48" i="117" s="1"/>
  <c r="R44" i="117"/>
  <c r="R23" i="117"/>
  <c r="O16" i="117"/>
  <c r="I42" i="36"/>
  <c r="N50" i="117"/>
  <c r="O30" i="117"/>
  <c r="R30" i="117" s="1"/>
  <c r="B40" i="131"/>
  <c r="O37" i="117"/>
  <c r="R37" i="117" s="1"/>
  <c r="C24" i="33"/>
  <c r="O24" i="33"/>
  <c r="R24" i="33"/>
  <c r="I24" i="33"/>
  <c r="F24" i="33"/>
  <c r="N37" i="129"/>
  <c r="M42" i="36"/>
  <c r="N31" i="120"/>
  <c r="J4" i="33"/>
  <c r="J27" i="33" s="1"/>
  <c r="I27" i="33"/>
  <c r="L4" i="33"/>
  <c r="R16" i="117" l="1"/>
  <c r="O50" i="117"/>
  <c r="R50" i="117" s="1"/>
  <c r="M4" i="33"/>
  <c r="M27" i="33" s="1"/>
  <c r="O4" i="33"/>
  <c r="L27" i="33"/>
  <c r="O27" i="33" l="1"/>
  <c r="P4" i="33"/>
  <c r="P27" i="33" s="1"/>
  <c r="R4" i="33"/>
  <c r="S4" i="33" l="1"/>
  <c r="S27" i="33" s="1"/>
  <c r="R27" i="33"/>
</calcChain>
</file>

<file path=xl/sharedStrings.xml><?xml version="1.0" encoding="utf-8"?>
<sst xmlns="http://schemas.openxmlformats.org/spreadsheetml/2006/main" count="1447" uniqueCount="366">
  <si>
    <t>Group</t>
  </si>
  <si>
    <t>Program</t>
  </si>
  <si>
    <t>Desc</t>
  </si>
  <si>
    <t>Type</t>
  </si>
  <si>
    <t>Period</t>
  </si>
  <si>
    <t>Month</t>
  </si>
  <si>
    <t>Service Accounts</t>
  </si>
  <si>
    <t>Ex Ante Estimated MW</t>
  </si>
  <si>
    <t>BIP - (20 minute option)</t>
  </si>
  <si>
    <t>c</t>
  </si>
  <si>
    <t>Jan</t>
  </si>
  <si>
    <t>CPP-D (Large and Medium customers)</t>
  </si>
  <si>
    <t xml:space="preserve">Armed Forces Pilot </t>
  </si>
  <si>
    <t>Active but no participants</t>
  </si>
  <si>
    <t>Over Generation Pilot</t>
  </si>
  <si>
    <t>Small Business Energy Management Pilot</t>
  </si>
  <si>
    <t>Closed</t>
  </si>
  <si>
    <t>AC Saver Day-Ahead Residential</t>
  </si>
  <si>
    <t>Thermostats</t>
  </si>
  <si>
    <t>r</t>
  </si>
  <si>
    <t>AC Saver Day-Ahead Commercial</t>
  </si>
  <si>
    <t>AC Saver Day-Of Residential</t>
  </si>
  <si>
    <t>Switches</t>
  </si>
  <si>
    <t>AC Saver Day-Of Commercial</t>
  </si>
  <si>
    <t xml:space="preserve">CBP - Day-Ahead </t>
  </si>
  <si>
    <t xml:space="preserve">CBP - Day-Of </t>
  </si>
  <si>
    <t>TOU-A-P Small Commercial</t>
  </si>
  <si>
    <t>TOU-DR-P Voluntary Residential</t>
  </si>
  <si>
    <t>Feb</t>
  </si>
  <si>
    <t>Mar</t>
  </si>
  <si>
    <t>Apr</t>
  </si>
  <si>
    <t>May</t>
  </si>
  <si>
    <t>Jun</t>
  </si>
  <si>
    <t>Jul</t>
  </si>
  <si>
    <t>Aug</t>
  </si>
  <si>
    <t>Sep</t>
  </si>
  <si>
    <t>Oct</t>
  </si>
  <si>
    <t>Nov</t>
  </si>
  <si>
    <t>Dec</t>
  </si>
  <si>
    <t xml:space="preserve">SAN DIEGO GAS &amp; ELECTRIC COMPANY REPORT ON INTERRUPTIBLE LOAD AND DEMAND RESPONSE PROGRAMS </t>
  </si>
  <si>
    <t>SUBSCRIPTION STATISTICS - ENROLLED MWs</t>
  </si>
  <si>
    <t>January</t>
  </si>
  <si>
    <t>February</t>
  </si>
  <si>
    <t>March</t>
  </si>
  <si>
    <t>April</t>
  </si>
  <si>
    <t>June</t>
  </si>
  <si>
    <t>Programs</t>
  </si>
  <si>
    <t xml:space="preserve">Service Accounts </t>
  </si>
  <si>
    <r>
      <t xml:space="preserve">Ex Ante Estimated MW </t>
    </r>
    <r>
      <rPr>
        <vertAlign val="superscript"/>
        <sz val="11"/>
        <color rgb="FFFF0000"/>
        <rFont val="Arial"/>
        <family val="2"/>
      </rPr>
      <t>1</t>
    </r>
  </si>
  <si>
    <r>
      <t xml:space="preserve">Ex Post Estimated MW </t>
    </r>
    <r>
      <rPr>
        <vertAlign val="superscript"/>
        <sz val="11"/>
        <color rgb="FFFF0000"/>
        <rFont val="Arial"/>
        <family val="2"/>
      </rPr>
      <t>2</t>
    </r>
  </si>
  <si>
    <t>Eligible Accounts as of Aug 31, 2012</t>
  </si>
  <si>
    <t>Interruptible/Reliability</t>
  </si>
  <si>
    <t xml:space="preserve">  Sub-Total Interruptible</t>
  </si>
  <si>
    <t>Demand Response Programs</t>
  </si>
  <si>
    <r>
      <t>Armed Forces Pilot</t>
    </r>
    <r>
      <rPr>
        <vertAlign val="superscript"/>
        <sz val="9"/>
        <rFont val="Arial"/>
        <family val="2"/>
      </rPr>
      <t xml:space="preserve"> </t>
    </r>
    <r>
      <rPr>
        <vertAlign val="superscript"/>
        <sz val="9"/>
        <color rgb="FFFF0000"/>
        <rFont val="Arial"/>
        <family val="2"/>
      </rPr>
      <t>3</t>
    </r>
  </si>
  <si>
    <t>TOU-PA-P Agricultural</t>
  </si>
  <si>
    <t xml:space="preserve"> </t>
  </si>
  <si>
    <t>Sub-Total Demand Response Programs</t>
  </si>
  <si>
    <t>Total All Programs</t>
  </si>
  <si>
    <t>July</t>
  </si>
  <si>
    <t xml:space="preserve">August </t>
  </si>
  <si>
    <t>October</t>
  </si>
  <si>
    <t>December</t>
  </si>
  <si>
    <t>Notes:</t>
  </si>
  <si>
    <t>(End of page)</t>
  </si>
  <si>
    <t>Average Ex Ante Load Impact kW / Customer</t>
  </si>
  <si>
    <t>August</t>
  </si>
  <si>
    <t>September</t>
  </si>
  <si>
    <t>November</t>
  </si>
  <si>
    <t>Eligible Accounts as of January</t>
  </si>
  <si>
    <t>Eligibility Criteria (Refer to tariff for specifics)</t>
  </si>
  <si>
    <t>This Schedule is the default commodity rate for customers currently receiving bundled utility service on a commercial/industrial rate schedule for customers whose Maximum Monthly Demand is equal to or exceeds or is expected to equal or exceed 20 kW for twelve consecutive months. This Schedule is not applicable to Direct Access (DA) or Community Choice Aggregation (CCA) customers.</t>
  </si>
  <si>
    <t>AC Saver Day Ahead (thermostats) is a voluntary demand response program available to all commercial customers with air conditioner (AC) units installed at their premise with SDG&amp;E approved technology capable of curtailing the customers’ AC unit. This schedule is available to customers receiving Bundled Utility Service or, Direct Access (DA) service and billed by the Utility. Service on this schedule must be taken in combination with the customer’s otherwise applicable rate schedule. Note: AC Saver Day Of we used 85% based on commercial estimates.</t>
  </si>
  <si>
    <t xml:space="preserve">This schedule is available to commercial and industrial Utility customers receiving Bundled Utility service, Direct Access (“DA”) service or Community Choice Aggregation (“CCA”) service, and being billed on a Utility commercial, industrial or agricultural rate schedule. </t>
  </si>
  <si>
    <t xml:space="preserve">This optional tariff provides residential customers with the opportunity to manage their electric costs by either reducing load during high cost pricing periods defined as a Reduce Your Use (RYU) Event Day, or shifting load from high cost pricing periods to lower cost pricing periods. This Schedule is not applicable to commercial customers. This Schedule is not applicable to Direct Access (DA), Transitional Bundled Service (TBS) or Community Choice Aggregation (CCA) customers. </t>
  </si>
  <si>
    <t>This Schedule is the standard Schedule for customers whose monthly maximum demand does not exceed 20kW for no more than 3 out of 12 consecutive months for general power service utilized to pump water, or in the production of agricultural products including feed choppers, milking machines, heaters for incubators, brooders, poultry house and flower production lighting, but excluding power service used for the processing of agricultural products, general or protective lighting, or domestic household uses. This schedule is available to agricultural and water pumping customers.</t>
  </si>
  <si>
    <t>-  The Estimated Average Ex-Ante Load Impact kW/Customer = Average kW / Customer, under 1-in-2 weather conditions, of an event that would occur from 4 - 9 pm year around.</t>
  </si>
  <si>
    <t>-  The Resource Adequacy measurement hours were modified to HE17-HE21 (4:00 p.m. – 9:00 p.m.) for each month of the year beginning in 2019.</t>
  </si>
  <si>
    <t>-  CPP-D, TOU-DR-P (Voluntary Residential) and TOU-A-P (Small Commercial) include Technology Deployment (TD).</t>
  </si>
  <si>
    <t> </t>
  </si>
  <si>
    <t>Average Ex Post Load Impact kW / Customer</t>
  </si>
  <si>
    <t xml:space="preserve">Notes: </t>
  </si>
  <si>
    <t xml:space="preserve">-  Estimated Average Ex-Post Load Impact kW / Customer = Average kW / Customer service account over all actual event hours for the preceding year if events occurred. </t>
  </si>
  <si>
    <t>Detailed Breakdown of MWs To Date in TA/Auto DR/TI Programs (A)</t>
  </si>
  <si>
    <t>Price Responsive</t>
  </si>
  <si>
    <t>TA Identified MWs</t>
  </si>
  <si>
    <t>Auto DR Verified MWs</t>
  </si>
  <si>
    <t>TI Verified MWs</t>
  </si>
  <si>
    <t>Total Technology MWs</t>
  </si>
  <si>
    <t>CPP-D</t>
  </si>
  <si>
    <t>CBP</t>
  </si>
  <si>
    <t>Total</t>
  </si>
  <si>
    <t>BIP</t>
  </si>
  <si>
    <t>SLRP</t>
  </si>
  <si>
    <t>General Program</t>
  </si>
  <si>
    <t>TA (may also be enrolled in TI and AutoDR)</t>
  </si>
  <si>
    <t>Total TA MWs</t>
  </si>
  <si>
    <t>AMP</t>
  </si>
  <si>
    <t>DBP</t>
  </si>
  <si>
    <t>Peak Choice - Best Effort</t>
  </si>
  <si>
    <t>Peak Choice - Committed</t>
  </si>
  <si>
    <t xml:space="preserve">CPP-D </t>
  </si>
  <si>
    <t>OBMC</t>
  </si>
  <si>
    <t>ddd</t>
  </si>
  <si>
    <t>·         TA Identified MW</t>
  </si>
  <si>
    <t>Represents identified MW for service accounts from completed TA in accumulative value (may or may not be enrolled in DR).</t>
  </si>
  <si>
    <t>·         AutoDR Verified MW</t>
  </si>
  <si>
    <t>Represents verified/tested MW for service accounts from complete TI (i.e. must be enrolled in DR) and must be Auto DR in accumulative value.</t>
  </si>
  <si>
    <t>·         TI Verified MW</t>
  </si>
  <si>
    <t>Represents verified MW for service accounts from completed TI (i.e. must be enrolled in DR) but not AutoDR in accumulative value; MW reported here not necessarily amount enrolled in DR.</t>
  </si>
  <si>
    <t>·         Total Technology MW</t>
  </si>
  <si>
    <t>Represents the sum of verified MW associated with the service accounts from the completed TI (i.e. must be enrolled in DR), including Auto DR and non-Auto DR.</t>
  </si>
  <si>
    <t>Auto-DR (TI) and Technology Deployment (TD)  Programs Breakdown of MWs</t>
  </si>
  <si>
    <t xml:space="preserve">May </t>
  </si>
  <si>
    <t>Eligible Programs</t>
  </si>
  <si>
    <t xml:space="preserve">Auto DR Verified MWs </t>
  </si>
  <si>
    <t>AFP</t>
  </si>
  <si>
    <t>DRAM</t>
  </si>
  <si>
    <t>-  Auto DR Verified MWs: Represent the verified/tested MW for service accounts from completed TI (i.e. must be enrolled in DR).</t>
  </si>
  <si>
    <t>Technology Deployment- Residential MWs</t>
  </si>
  <si>
    <t>-  Technology Deployment (TD) Verified MWs: Represents the average load reduction expected on an event day based on the ex-post results for customers with qualifying technology.</t>
  </si>
  <si>
    <t>Technology Deployment- Commercial MWs</t>
  </si>
  <si>
    <t xml:space="preserve">Technology Deployment- Commercial MWs </t>
  </si>
  <si>
    <t>MARKETING, EDUCATION &amp; OUTREACH</t>
  </si>
  <si>
    <r>
      <t xml:space="preserve">Authorized Budget (if Applicable) </t>
    </r>
    <r>
      <rPr>
        <b/>
        <vertAlign val="superscript"/>
        <sz val="10"/>
        <color rgb="FFFF0000"/>
        <rFont val="Calibri"/>
        <family val="2"/>
      </rPr>
      <t>1</t>
    </r>
  </si>
  <si>
    <t xml:space="preserve">October </t>
  </si>
  <si>
    <t>Carryover Expenditures to Date 2012 - 2014</t>
  </si>
  <si>
    <t>I. UTILITY MARKETING BY ACTIVITY</t>
  </si>
  <si>
    <r>
      <t>PROGRAMS, RATES &amp; ACTIVITES WHICH DO NOT REQUIRE ITEMIZED ACCOUNTING</t>
    </r>
    <r>
      <rPr>
        <b/>
        <vertAlign val="superscript"/>
        <sz val="10"/>
        <rFont val="Arial"/>
        <family val="2"/>
      </rPr>
      <t xml:space="preserve"> </t>
    </r>
  </si>
  <si>
    <t xml:space="preserve">Local IDSM Marketing </t>
  </si>
  <si>
    <t xml:space="preserve">Back Up Generators (BUGs) </t>
  </si>
  <si>
    <t xml:space="preserve">Small Customer Technology Deployment (SCTD) </t>
  </si>
  <si>
    <t xml:space="preserve">Small Business Energy Management Pilot (SBEMP) </t>
  </si>
  <si>
    <t>I. TOTAL UTILITY MARKETING BY ACTIVITY</t>
  </si>
  <si>
    <t xml:space="preserve">II. UTILITY MARKETING BY ITEMIZED COST </t>
  </si>
  <si>
    <t>Customer Research</t>
  </si>
  <si>
    <t xml:space="preserve">II. TOTAL UTILITY MARKETING BY ITEMIZED COST </t>
  </si>
  <si>
    <t>III. UTILITY MARKETING BY CUSTOMER SEGMENT</t>
  </si>
  <si>
    <r>
      <t>Agricultural</t>
    </r>
    <r>
      <rPr>
        <vertAlign val="superscript"/>
        <sz val="10"/>
        <color rgb="FFFF0000"/>
        <rFont val="Arial"/>
        <family val="2"/>
      </rPr>
      <t xml:space="preserve"> </t>
    </r>
  </si>
  <si>
    <t xml:space="preserve">Large Commercial and Industrial </t>
  </si>
  <si>
    <t xml:space="preserve">Small and Medium Commercial </t>
  </si>
  <si>
    <t xml:space="preserve">Residential </t>
  </si>
  <si>
    <t>III. TOTAL UTILITY MARKETING BY CUSTOMER SEGMENT</t>
  </si>
  <si>
    <t xml:space="preserve">SAN DIEGO GAS &amp; ELECTRIC REPORT COMPANY ON INTERRUPTIBLE LOAD AND DEMAND RESPONSE PROGRAMS </t>
  </si>
  <si>
    <t>YEAR TO DATE PROGRAM EXPENDITURES</t>
  </si>
  <si>
    <t>Cost Item</t>
  </si>
  <si>
    <t>5-Year Funding (2018-2022)</t>
  </si>
  <si>
    <t xml:space="preserve">Fund shift Adjustments </t>
  </si>
  <si>
    <t>Percent Funding</t>
  </si>
  <si>
    <t>Category 1: Supply Side DR Programs</t>
  </si>
  <si>
    <t>AC Saver Day-Ahead</t>
  </si>
  <si>
    <t xml:space="preserve">AC Saver Day-Of </t>
  </si>
  <si>
    <r>
      <t>Peak Time Rebate (PTR)</t>
    </r>
    <r>
      <rPr>
        <vertAlign val="superscript"/>
        <sz val="10"/>
        <color rgb="FFFF0000"/>
        <rFont val="Arial"/>
        <family val="2"/>
      </rPr>
      <t xml:space="preserve"> </t>
    </r>
  </si>
  <si>
    <t xml:space="preserve"> Budget Category 1 Total</t>
  </si>
  <si>
    <t>Category 2:  Load Modifying Demand Response Program</t>
  </si>
  <si>
    <t xml:space="preserve"> Budget Category 2 Total</t>
  </si>
  <si>
    <t>Category 3:  Demand Response Auction Mechanism (DRAM)</t>
  </si>
  <si>
    <t xml:space="preserve"> Budget Category 3 Total</t>
  </si>
  <si>
    <t>Category 4:  Emerging &amp; Enabling Technologies</t>
  </si>
  <si>
    <t>Emerging Technology (ET)</t>
  </si>
  <si>
    <t xml:space="preserve">Technology Deployment (TD) </t>
  </si>
  <si>
    <t xml:space="preserve">Technology Incentives (TI) </t>
  </si>
  <si>
    <t xml:space="preserve"> Budget Category 4 Total</t>
  </si>
  <si>
    <t xml:space="preserve">Category 5:  Pilots </t>
  </si>
  <si>
    <t xml:space="preserve">Armed Forces Pilot (AFP) </t>
  </si>
  <si>
    <t xml:space="preserve">Constrained Local Capacity Program (CLCP) </t>
  </si>
  <si>
    <t xml:space="preserve">   Small Business Energy Management Pilot (SBEMP)</t>
  </si>
  <si>
    <t>Category 6:  Marketing, Education, and Outreach</t>
  </si>
  <si>
    <t xml:space="preserve"> Budget Category 6 Total</t>
  </si>
  <si>
    <t>Category 7:  Portfolio Support</t>
  </si>
  <si>
    <t>Regulatory Policy &amp; Program Support (Gen. Admin.)</t>
  </si>
  <si>
    <t>DR Potential Study</t>
  </si>
  <si>
    <t xml:space="preserve"> Budget Category 7 Total</t>
  </si>
  <si>
    <t>Total Incremental Cost</t>
  </si>
  <si>
    <t>FUND SHIFT LOG</t>
  </si>
  <si>
    <t>Program Category</t>
  </si>
  <si>
    <t>Fund Shift</t>
  </si>
  <si>
    <t>Programs Impacted</t>
  </si>
  <si>
    <t>Date</t>
  </si>
  <si>
    <t xml:space="preserve">Rationale for Fund Shift </t>
  </si>
  <si>
    <t>-  All Fund Shifting Rules remain in effect as adopted in D.12-04-045 as referenced in D.17-12-003 at page 131.</t>
  </si>
  <si>
    <t>EVENT SUMMARY</t>
  </si>
  <si>
    <t>Year-to-Date Event Summary</t>
  </si>
  <si>
    <t>Event No.</t>
  </si>
  <si>
    <t>Event Trigger</t>
  </si>
  <si>
    <r>
      <t xml:space="preserve">Load Reduction     MW </t>
    </r>
    <r>
      <rPr>
        <vertAlign val="superscript"/>
        <sz val="10"/>
        <color rgb="FFFF0000"/>
        <rFont val="Arial"/>
        <family val="2"/>
      </rPr>
      <t>1</t>
    </r>
  </si>
  <si>
    <t>Event Beginning to End</t>
  </si>
  <si>
    <r>
      <t>Program Total Hours (Annual)</t>
    </r>
    <r>
      <rPr>
        <b/>
        <sz val="10"/>
        <color rgb="FFFF0000"/>
        <rFont val="Arial"/>
        <family val="2"/>
      </rPr>
      <t xml:space="preserve"> </t>
    </r>
    <r>
      <rPr>
        <vertAlign val="superscript"/>
        <sz val="10"/>
        <color rgb="FFFF0000"/>
        <rFont val="Arial"/>
        <family val="2"/>
      </rPr>
      <t>2</t>
    </r>
  </si>
  <si>
    <t>TOTAL COST AND AMDRMA ACCOUNT BALANCES ($000)</t>
  </si>
  <si>
    <t>Annual Total Cost</t>
  </si>
  <si>
    <t>Year-to-Date Cost</t>
  </si>
  <si>
    <t>Administrative (O&amp;M)</t>
  </si>
  <si>
    <t>AC Saver Day‐Ahead</t>
  </si>
  <si>
    <r>
      <t>AC Saver Day‐Of</t>
    </r>
    <r>
      <rPr>
        <vertAlign val="superscript"/>
        <sz val="9"/>
        <color rgb="FFFF0000"/>
        <rFont val="Arial"/>
        <family val="2"/>
      </rPr>
      <t xml:space="preserve"> </t>
    </r>
  </si>
  <si>
    <r>
      <t>Base Interruptible Program (BIP)</t>
    </r>
    <r>
      <rPr>
        <vertAlign val="superscript"/>
        <sz val="10"/>
        <rFont val="Arial"/>
        <family val="2"/>
      </rPr>
      <t xml:space="preserve"> </t>
    </r>
  </si>
  <si>
    <t>Back Up Generators (BUGs)</t>
  </si>
  <si>
    <t xml:space="preserve">Capacity Bidding Program (CBP) </t>
  </si>
  <si>
    <t>Demand Response Auction Mechanism (DRAM)</t>
  </si>
  <si>
    <t>Emerging Tech (ET)</t>
  </si>
  <si>
    <t>Armed Forces Pilot</t>
  </si>
  <si>
    <t>Constrained Local Capacity Program (CLCP)</t>
  </si>
  <si>
    <t>General Admin</t>
  </si>
  <si>
    <r>
      <t>SW-AG</t>
    </r>
    <r>
      <rPr>
        <vertAlign val="superscript"/>
        <sz val="9"/>
        <color rgb="FFFF0000"/>
        <rFont val="Arial"/>
        <family val="2"/>
      </rPr>
      <t xml:space="preserve"> </t>
    </r>
  </si>
  <si>
    <t xml:space="preserve">Local Marketing Res and Non-Res </t>
  </si>
  <si>
    <t xml:space="preserve">  Total Administrative (O&amp;M) </t>
  </si>
  <si>
    <t>Customer Incentives</t>
  </si>
  <si>
    <r>
      <t>AC Saver Day‐Of</t>
    </r>
    <r>
      <rPr>
        <vertAlign val="superscript"/>
        <sz val="10"/>
        <color rgb="FFFF0000"/>
        <rFont val="Arial"/>
        <family val="2"/>
      </rPr>
      <t xml:space="preserve"> </t>
    </r>
  </si>
  <si>
    <t>Capacity Bidding Program (CBP)</t>
  </si>
  <si>
    <t>Technology Deployment (TD)</t>
  </si>
  <si>
    <t>Small Business Energy Management Pilot (SBEMP)</t>
  </si>
  <si>
    <t>CPPD</t>
  </si>
  <si>
    <t>Total Customer Incentives</t>
  </si>
  <si>
    <t xml:space="preserve">Total </t>
  </si>
  <si>
    <t>AMDRMA Account End of Month Balance for Monthly Activity with Interest</t>
  </si>
  <si>
    <t>GENERAL RATE CASE PROGRAMS ($000)</t>
  </si>
  <si>
    <t>Year-to-Date Total Cost</t>
  </si>
  <si>
    <t>Programs in General Rate Case</t>
  </si>
  <si>
    <t>Peak Generation (RBRP)</t>
  </si>
  <si>
    <t xml:space="preserve">  Total Administrative (O&amp;M)</t>
  </si>
  <si>
    <t>Capital</t>
  </si>
  <si>
    <r>
      <t>Peak Generation (RBRP)</t>
    </r>
    <r>
      <rPr>
        <b/>
        <vertAlign val="superscript"/>
        <sz val="10"/>
        <color rgb="FFFF0000"/>
        <rFont val="Arial"/>
        <family val="2"/>
      </rPr>
      <t xml:space="preserve"> </t>
    </r>
  </si>
  <si>
    <t xml:space="preserve">  Total Capital</t>
  </si>
  <si>
    <t>Measurement and Evaluation</t>
  </si>
  <si>
    <t xml:space="preserve">Peak Generation (RBRP) </t>
  </si>
  <si>
    <t>Total M&amp;E</t>
  </si>
  <si>
    <t xml:space="preserve">Revenue from Penalties </t>
  </si>
  <si>
    <t>Total GRC Program Costs</t>
  </si>
  <si>
    <t>DIRECT PARTICIPATION DR MEMO ACCOUNT ($000)</t>
  </si>
  <si>
    <t>Programs in Direct Participation Demand Response Memorandum Account (DPDRMA)</t>
  </si>
  <si>
    <r>
      <t xml:space="preserve">Rule 32 Operations </t>
    </r>
    <r>
      <rPr>
        <vertAlign val="superscript"/>
        <sz val="10"/>
        <color rgb="FFFF0000"/>
        <rFont val="Arial"/>
        <family val="2"/>
      </rPr>
      <t>2</t>
    </r>
  </si>
  <si>
    <r>
      <t>Rule 32 CISR Enhancement</t>
    </r>
    <r>
      <rPr>
        <b/>
        <vertAlign val="superscript"/>
        <sz val="10"/>
        <color rgb="FFFF0000"/>
        <rFont val="Arial"/>
        <family val="2"/>
      </rPr>
      <t xml:space="preserve"> </t>
    </r>
    <r>
      <rPr>
        <vertAlign val="superscript"/>
        <sz val="10"/>
        <color rgb="FFFF0000"/>
        <rFont val="Arial"/>
        <family val="2"/>
      </rPr>
      <t>3</t>
    </r>
  </si>
  <si>
    <t>Capital Related Costs</t>
  </si>
  <si>
    <t>Depreciation</t>
  </si>
  <si>
    <t>DPDRMA Tax</t>
  </si>
  <si>
    <t>DPDRMA Property Tax</t>
  </si>
  <si>
    <t>Return on Rate Base</t>
  </si>
  <si>
    <t>Total DPDRMA Program Costs</t>
  </si>
  <si>
    <t>Total DPDRMA Program Costs with Interest</t>
  </si>
  <si>
    <t xml:space="preserve">IT Infrastructure &amp; Systems Support </t>
  </si>
  <si>
    <t xml:space="preserve">EM&amp;V </t>
  </si>
  <si>
    <t>Shifting the funds to IT will allow SDG&amp;E to properly maintain systems to ensure compliance and customer experience. IT is projected to be overspent; M&amp;E and Policy (Gen Admin) have unspent dollars that can be applied towards the IT shortfall.</t>
  </si>
  <si>
    <t>Year-to Date 2021 Expenditures</t>
  </si>
  <si>
    <t>Program Cycle-to-Date Total Expenditures (2018-2021)</t>
  </si>
  <si>
    <t>Program Cycle-to Date 2018-2021 Expenditures</t>
  </si>
  <si>
    <t>Applicable to all non-residential time-of-use metered customers who either: 1) commit to curtail at least 15% of Monthly Average Peak Demand, with a minimum load reduction of 100 kW, or b) sign up through an aggregator. This tariff is available to bundled, Direct Access, and Community Choice Aggregation (CCA) customers.</t>
  </si>
  <si>
    <t>AC Saver Day Ahead (thermostats) is a voluntary demand response program available to all residential customers with air conditioner (AC) units installed at their premise with SDG&amp;E approved technology capable of curtailing the customers’ AC unit. Residential customers with Net Energy Metering are not eligible for this schedule. This schedule is available to customers receiving Bundled Utility Service or, Direct Access (DA) service and billed by the Utility. Service on this schedule must be taken in combination with the customer’s otherwise applicable rate schedule. Note: AC Saver Day Of we used 54% based on 2019 California Residential Appliance Saturation Survey (RASS) report.</t>
  </si>
  <si>
    <t>AC Saver is a voluntary demand response program available to all residential customers with air conditioner (AC) units installed at their premise with SDG&amp;E approved technology capable of curtailing the customers’ AC unit. Residential customers with Net Energy Metering are not eligible for this schedule. This schedule is available to customers receiving Bundled Utility Service or, Direct Access (DA) or Community Choice Aggregation (CCA) service and billed by the Utility. Service on this schedule must be taken in combination with the customer’s otherwise applicable rate schedule. Note: AC Saver Day Of in the past we used 54% based on 2019 California Residential Appliance Saturation Survey (RASS) report.</t>
  </si>
  <si>
    <t>AC Saver Day Of (switches) is a voluntary demand response program available to all commercial customers with air conditioner (AC) units installed at their premise with SDG&amp;E approved technology capable of curtailing the customers’ AC unit. This schedule is available to customers receiving Bundled Utility Service or, Direct Access (DA) or Community Choice Aggregation (CCA) service and billed by the Utility. Service on this schedule must be taken in combination with the customer’s otherwise applicable rate schedule. Note: AC Saver Day Of we used 85% based on commercial estimates</t>
  </si>
  <si>
    <r>
      <rPr>
        <vertAlign val="superscript"/>
        <sz val="11"/>
        <color rgb="FFFF0000"/>
        <rFont val="Arial"/>
        <family val="2"/>
      </rPr>
      <t xml:space="preserve">3 </t>
    </r>
    <r>
      <rPr>
        <vertAlign val="superscript"/>
        <sz val="11"/>
        <rFont val="Arial"/>
        <family val="2"/>
      </rPr>
      <t xml:space="preserve"> </t>
    </r>
    <r>
      <rPr>
        <sz val="11"/>
        <rFont val="Arial"/>
        <family val="2"/>
      </rPr>
      <t xml:space="preserve">On March 27, 2020 SDG&amp;E filed Advice Letter 3522-E (Tier 3) proposed to close the Armed Forces Pilot. SDG&amp;E is awaiting a Decision.  </t>
    </r>
  </si>
  <si>
    <t>-  CPP-D, TOU-DR-P (Voluntary Residential) and TOU-A-P (Small Commercial) ex-ante estimates include Technology Deployment (TD).</t>
  </si>
  <si>
    <t>2021 Expenditures for Marketing, Education and Outreach</t>
  </si>
  <si>
    <r>
      <t>Base Interruptible Program</t>
    </r>
    <r>
      <rPr>
        <vertAlign val="superscript"/>
        <sz val="10"/>
        <color rgb="FFFF0000"/>
        <rFont val="Arial"/>
        <family val="2"/>
      </rPr>
      <t xml:space="preserve"> </t>
    </r>
  </si>
  <si>
    <t xml:space="preserve">Capacity Bidding Program </t>
  </si>
  <si>
    <r>
      <t>AC Saver Day Ahead</t>
    </r>
    <r>
      <rPr>
        <vertAlign val="superscript"/>
        <sz val="10"/>
        <color rgb="FFFF0000"/>
        <rFont val="Arial"/>
        <family val="2"/>
      </rPr>
      <t xml:space="preserve"> </t>
    </r>
  </si>
  <si>
    <t>AC Saver Day Of</t>
  </si>
  <si>
    <t xml:space="preserve">Technology Deployment </t>
  </si>
  <si>
    <t xml:space="preserve">Collateral- Development, Printing, Distribution etc. (all non-labor costs) </t>
  </si>
  <si>
    <r>
      <t>Paid Media</t>
    </r>
    <r>
      <rPr>
        <vertAlign val="superscript"/>
        <sz val="10"/>
        <color rgb="FFFF0000"/>
        <rFont val="Arial"/>
        <family val="2"/>
      </rPr>
      <t xml:space="preserve"> </t>
    </r>
  </si>
  <si>
    <r>
      <t>Other Costs</t>
    </r>
    <r>
      <rPr>
        <b/>
        <vertAlign val="superscript"/>
        <sz val="10"/>
        <color rgb="FFFF0000"/>
        <rFont val="Arial"/>
        <family val="2"/>
      </rPr>
      <t xml:space="preserve"> 2</t>
    </r>
  </si>
  <si>
    <r>
      <t>IT Infrastructure &amp; Systems Support</t>
    </r>
    <r>
      <rPr>
        <vertAlign val="superscript"/>
        <sz val="10"/>
        <rFont val="Arial"/>
        <family val="2"/>
      </rPr>
      <t xml:space="preserve"> </t>
    </r>
  </si>
  <si>
    <r>
      <t>Regulatory Policy &amp; Program Support (Gen. Admin.)</t>
    </r>
    <r>
      <rPr>
        <vertAlign val="superscript"/>
        <sz val="10"/>
        <color rgb="FFFF0000"/>
        <rFont val="Arial"/>
        <family val="2"/>
      </rPr>
      <t xml:space="preserve"> </t>
    </r>
  </si>
  <si>
    <t xml:space="preserve">Local Marketing Education &amp; Outreach (LME&amp;O) </t>
  </si>
  <si>
    <t xml:space="preserve"> Budget Category 5 Total</t>
  </si>
  <si>
    <r>
      <t>Local Marketing Education &amp; Outreach (LMEO)</t>
    </r>
    <r>
      <rPr>
        <vertAlign val="superscript"/>
        <sz val="10"/>
        <color rgb="FFFF0000"/>
        <rFont val="Arial"/>
        <family val="2"/>
      </rPr>
      <t xml:space="preserve"> </t>
    </r>
  </si>
  <si>
    <t xml:space="preserve">IT </t>
  </si>
  <si>
    <r>
      <t>EM&amp;V</t>
    </r>
    <r>
      <rPr>
        <vertAlign val="superscript"/>
        <sz val="9"/>
        <color rgb="FFFF0000"/>
        <rFont val="Arial"/>
        <family val="2"/>
      </rPr>
      <t xml:space="preserve"> </t>
    </r>
  </si>
  <si>
    <r>
      <t>SW-IND</t>
    </r>
    <r>
      <rPr>
        <b/>
        <vertAlign val="superscript"/>
        <sz val="9"/>
        <color rgb="FFFF0000"/>
        <rFont val="Arial"/>
        <family val="2"/>
      </rPr>
      <t xml:space="preserve"> </t>
    </r>
  </si>
  <si>
    <t xml:space="preserve">Behavioral </t>
  </si>
  <si>
    <t xml:space="preserve">Rule 32 </t>
  </si>
  <si>
    <r>
      <rPr>
        <vertAlign val="superscript"/>
        <sz val="11"/>
        <color rgb="FFFF0000"/>
        <rFont val="Arial"/>
        <family val="2"/>
      </rPr>
      <t>1</t>
    </r>
    <r>
      <rPr>
        <vertAlign val="superscript"/>
        <sz val="11"/>
        <rFont val="Arial"/>
        <family val="2"/>
      </rPr>
      <t xml:space="preserve"> </t>
    </r>
    <r>
      <rPr>
        <sz val="11"/>
        <rFont val="Arial"/>
        <family val="2"/>
      </rPr>
      <t>Rule 32 click-through was approved in Decision 17-06-005.</t>
    </r>
  </si>
  <si>
    <r>
      <rPr>
        <vertAlign val="superscript"/>
        <sz val="11"/>
        <color rgb="FFFF0000"/>
        <rFont val="Arial"/>
        <family val="2"/>
      </rPr>
      <t>2</t>
    </r>
    <r>
      <rPr>
        <sz val="11"/>
        <rFont val="Arial"/>
        <family val="2"/>
      </rPr>
      <t xml:space="preserve"> Rule 32 Operations was approved in AL 3191-E.</t>
    </r>
  </si>
  <si>
    <r>
      <rPr>
        <vertAlign val="superscript"/>
        <sz val="11"/>
        <color rgb="FFFF0000"/>
        <rFont val="Arial"/>
        <family val="2"/>
      </rPr>
      <t>3</t>
    </r>
    <r>
      <rPr>
        <sz val="11"/>
        <rFont val="Arial"/>
        <family val="2"/>
      </rPr>
      <t xml:space="preserve"> Rule 32 CISR Enhancement was approved in AL 3136-E.</t>
    </r>
  </si>
  <si>
    <t xml:space="preserve">Ex Ante Estimated MW </t>
  </si>
  <si>
    <t xml:space="preserve">Ex Post Estimated MW </t>
  </si>
  <si>
    <r>
      <rPr>
        <vertAlign val="superscript"/>
        <sz val="11"/>
        <color rgb="FFFF0000"/>
        <rFont val="Arial"/>
        <family val="2"/>
      </rPr>
      <t xml:space="preserve">4 </t>
    </r>
    <r>
      <rPr>
        <vertAlign val="superscript"/>
        <sz val="11"/>
        <rFont val="Arial"/>
        <family val="2"/>
      </rPr>
      <t xml:space="preserve"> </t>
    </r>
    <r>
      <rPr>
        <sz val="11"/>
        <rFont val="Arial"/>
        <family val="2"/>
      </rPr>
      <t>On March 27, 2020 SDG&amp;E filed Advice Letter 3522-E (Tier 3) proposed to close the Over Generation Pilot, SDG&amp;E is awaiting a Decision. The Over Generation Pilot close on December 31, 2020.</t>
    </r>
  </si>
  <si>
    <r>
      <rPr>
        <vertAlign val="superscript"/>
        <sz val="11"/>
        <color rgb="FFFF0000"/>
        <rFont val="Arial"/>
        <family val="2"/>
      </rPr>
      <t xml:space="preserve">1 </t>
    </r>
    <r>
      <rPr>
        <sz val="11"/>
        <rFont val="Arial"/>
        <family val="2"/>
      </rPr>
      <t>LME&amp;O Approved Budget is a Five (5) Year Program Cycle 2018-2022 with the exception of Local IDSM Marketing which is funded per the approved Advice Letter 3598-E_2898-G/3599-E_2897G.</t>
    </r>
  </si>
  <si>
    <r>
      <t>Rule 32 Meter</t>
    </r>
    <r>
      <rPr>
        <sz val="10"/>
        <rFont val="Arial"/>
        <family val="2"/>
      </rPr>
      <t xml:space="preserve"> </t>
    </r>
    <r>
      <rPr>
        <vertAlign val="superscript"/>
        <sz val="10"/>
        <color rgb="FFFF0000"/>
        <rFont val="Arial"/>
        <family val="2"/>
      </rPr>
      <t>4</t>
    </r>
  </si>
  <si>
    <r>
      <rPr>
        <vertAlign val="superscript"/>
        <sz val="11"/>
        <color rgb="FFFF0000"/>
        <rFont val="Arial"/>
        <family val="2"/>
      </rPr>
      <t>4</t>
    </r>
    <r>
      <rPr>
        <sz val="11"/>
        <rFont val="Arial"/>
        <family val="2"/>
      </rPr>
      <t xml:space="preserve"> January credit is related to labor corrections and labor accrual reversals related to a prior period expense (December 2020).</t>
    </r>
  </si>
  <si>
    <r>
      <rPr>
        <vertAlign val="superscript"/>
        <sz val="11"/>
        <color rgb="FFFF0000"/>
        <rFont val="Arial"/>
        <family val="2"/>
      </rPr>
      <t>2</t>
    </r>
    <r>
      <rPr>
        <sz val="11"/>
        <rFont val="Arial"/>
        <family val="2"/>
      </rPr>
      <t xml:space="preserve"> January credit is related to an accrual reversal. The expense accrual occurred in a prior period (December 2020).</t>
    </r>
  </si>
  <si>
    <t>Per Resolution E-4906 (issued 7/21/18), Ordering Paragraph 30 
approved a total fund shift of $934,498 of which $234,498 shifted from the Capacity Bidding Program to support the Back Up Generators (BUGs) prohibited resources restrictions.</t>
  </si>
  <si>
    <t>Technology Incentives (TI)</t>
  </si>
  <si>
    <t>Per Resolution  E-4906 (issued 7/21/18), Ordering Paragraph 30  approved a total fund shift of $934,498 of which $700,000 to be shifted from the Technology Incentives Program to support the Back Up Generators (BUGs) prohibited resources restrictions.</t>
  </si>
  <si>
    <t>EM&amp;V</t>
  </si>
  <si>
    <t xml:space="preserve">Per SDG&amp;E's AL 3031-E-B (filed July 23, 2018) a total of $194,400 to be shifted from EM&amp;V funds for the cost to test the installation of loggers, meters and the cost of the verification administrator to support the Back Up Generators (BUGs) prohibited resources restrictions.  </t>
  </si>
  <si>
    <t>Back Up Generation Resources (BUGs)</t>
  </si>
  <si>
    <t xml:space="preserve">Per Resolution E-4906 (issued 7/21/18), Ordering Paragraph 30 
approved a total fund shift of $934,498 to support the Back Up Generators (BUGs) prohibited resources restrictions.
Per SDG&amp;E's AL 3031-E-B (filed July 23, 2018) a total of $194,400 to be shifted from EM&amp;V funds for the cost to test the installation of loggers, meters and the cost of the verification administrator to support the Back Up Generators (BUGs) prohibited resources restrictions.  
</t>
  </si>
  <si>
    <t>AMDRMA</t>
  </si>
  <si>
    <t>Category 4: Emerging &amp; Enabling Technologies</t>
  </si>
  <si>
    <t>Category 7: Portfolio Support</t>
  </si>
  <si>
    <t>Program Cycle to Date (2018 - 2021)</t>
  </si>
  <si>
    <t>- The Ex-Ante average per customer estimates are based on Program Year 2019 SDG&amp;E DR Load Impacts report filed April 1st, 2020 for the months of January and February. The Ex-Ante average per customer estimates are based on Program Year 2020 SDG&amp;E DR Load Impacts report filed April 1st, 2021 for the months of March thru December.</t>
  </si>
  <si>
    <t xml:space="preserve">-  The Ex-Post average per customer estimates are based on Program Year 2020 draft SDG&amp;E DR Load Impacts report for the months of January and February. The Ex-Post average per customer estimates are based on Program Year 2020 SDG&amp;E DR Load Impacts report filed April 1st, 2021 for the months of March thru December. </t>
  </si>
  <si>
    <r>
      <rPr>
        <vertAlign val="superscript"/>
        <sz val="11"/>
        <color rgb="FFFF0000"/>
        <rFont val="Arial"/>
        <family val="2"/>
      </rPr>
      <t>1</t>
    </r>
    <r>
      <rPr>
        <sz val="11"/>
        <rFont val="Arial"/>
        <family val="2"/>
      </rPr>
      <t xml:space="preserve">  The Ex-Ante average per customer estimates are based on Program Year 2019 SDG&amp;E DR Load Impacts report filed April 1st, 2020 for the months of January and February. The Ex-Ante average per customer estimates are based on Program Year 2020 SDG&amp;E DR Load Impacts report filed April 1st, 2021 for the months of March thru December. </t>
    </r>
  </si>
  <si>
    <r>
      <rPr>
        <vertAlign val="superscript"/>
        <sz val="11"/>
        <color rgb="FFFF0000"/>
        <rFont val="Arial"/>
        <family val="2"/>
      </rPr>
      <t>2</t>
    </r>
    <r>
      <rPr>
        <sz val="11"/>
        <rFont val="Arial"/>
        <family val="2"/>
      </rPr>
      <t xml:space="preserve">  The Ex-Post average per customer estimates are based on Program Year 2020 draft SDG&amp;E DR Load Impacts report for the months of January and February. The Ex-Post average per customer estimates are based on Program Year 2020 SDG&amp;E DR Load Impacts report filed April 1st, 2021 for the months of March thru December. </t>
    </r>
  </si>
  <si>
    <r>
      <t xml:space="preserve">IDSM DR COM </t>
    </r>
    <r>
      <rPr>
        <vertAlign val="superscript"/>
        <sz val="9"/>
        <color rgb="FFFF0000"/>
        <rFont val="Arial"/>
        <family val="2"/>
      </rPr>
      <t>1,2</t>
    </r>
  </si>
  <si>
    <r>
      <t xml:space="preserve">Local Capacity Requirements (LCR) </t>
    </r>
    <r>
      <rPr>
        <vertAlign val="superscript"/>
        <sz val="9"/>
        <color rgb="FFFF0000"/>
        <rFont val="Arial"/>
        <family val="2"/>
      </rPr>
      <t>1</t>
    </r>
  </si>
  <si>
    <r>
      <rPr>
        <vertAlign val="superscript"/>
        <sz val="10"/>
        <color rgb="FFFF0000"/>
        <rFont val="Arial"/>
        <family val="2"/>
      </rPr>
      <t>1</t>
    </r>
    <r>
      <rPr>
        <vertAlign val="superscript"/>
        <sz val="10"/>
        <rFont val="Arial"/>
        <family val="2"/>
      </rPr>
      <t xml:space="preserve"> </t>
    </r>
    <r>
      <rPr>
        <sz val="10"/>
        <rFont val="Arial"/>
        <family val="2"/>
      </rPr>
      <t>February credits are related to accrual reversals related to a prior period expense (January 2021).</t>
    </r>
  </si>
  <si>
    <r>
      <rPr>
        <vertAlign val="superscript"/>
        <sz val="10"/>
        <color rgb="FFFF0000"/>
        <rFont val="Arial"/>
        <family val="2"/>
      </rPr>
      <t>2</t>
    </r>
    <r>
      <rPr>
        <sz val="10"/>
        <rFont val="Arial"/>
        <family val="2"/>
      </rPr>
      <t xml:space="preserve"> March Credit is related to a discount received on services purchased in a prior period.</t>
    </r>
  </si>
  <si>
    <t>-  Capacity Bidding Program reports the number of nominations not enrollments.</t>
  </si>
  <si>
    <r>
      <t>Technology Incentives</t>
    </r>
    <r>
      <rPr>
        <vertAlign val="superscript"/>
        <sz val="10"/>
        <color rgb="FFFF0000"/>
        <rFont val="Arial"/>
        <family val="2"/>
      </rPr>
      <t xml:space="preserve"> </t>
    </r>
    <r>
      <rPr>
        <b/>
        <vertAlign val="superscript"/>
        <sz val="10"/>
        <color rgb="FFFF0000"/>
        <rFont val="Arial"/>
        <family val="2"/>
      </rPr>
      <t>3</t>
    </r>
  </si>
  <si>
    <r>
      <t>Smart Pricing</t>
    </r>
    <r>
      <rPr>
        <vertAlign val="superscript"/>
        <sz val="10"/>
        <color rgb="FFFF0000"/>
        <rFont val="Arial"/>
        <family val="2"/>
      </rPr>
      <t xml:space="preserve"> </t>
    </r>
    <r>
      <rPr>
        <b/>
        <vertAlign val="superscript"/>
        <sz val="10"/>
        <color rgb="FFFF0000"/>
        <rFont val="Arial"/>
        <family val="2"/>
      </rPr>
      <t>3</t>
    </r>
  </si>
  <si>
    <r>
      <rPr>
        <vertAlign val="superscript"/>
        <sz val="10"/>
        <color rgb="FFFF0000"/>
        <rFont val="Arial"/>
        <family val="2"/>
      </rPr>
      <t>3</t>
    </r>
    <r>
      <rPr>
        <sz val="10"/>
        <rFont val="Arial"/>
        <family val="2"/>
      </rPr>
      <t xml:space="preserve"> April Bill credits for BIP were not posted as a result of Reporting outages related to Envision Cross Over.</t>
    </r>
  </si>
  <si>
    <r>
      <t xml:space="preserve">Labor </t>
    </r>
    <r>
      <rPr>
        <b/>
        <vertAlign val="superscript"/>
        <sz val="10"/>
        <color rgb="FFFF0000"/>
        <rFont val="Arial"/>
        <family val="2"/>
      </rPr>
      <t>4</t>
    </r>
  </si>
  <si>
    <r>
      <t>Demand Response Auction Mechanism Pilot (DRAM)</t>
    </r>
    <r>
      <rPr>
        <vertAlign val="superscript"/>
        <sz val="10"/>
        <color rgb="FFFF0000"/>
        <rFont val="Arial"/>
        <family val="2"/>
      </rPr>
      <t xml:space="preserve"> 3</t>
    </r>
  </si>
  <si>
    <r>
      <rPr>
        <b/>
        <vertAlign val="superscript"/>
        <sz val="11"/>
        <color rgb="FFFF0000"/>
        <rFont val="Arial"/>
        <family val="2"/>
      </rPr>
      <t>1</t>
    </r>
    <r>
      <rPr>
        <sz val="11"/>
        <rFont val="Arial"/>
        <family val="2"/>
      </rPr>
      <t xml:space="preserve"> BIP total does not include April bill credits as a result of Reporting outages related to Envision Cross Over.</t>
    </r>
  </si>
  <si>
    <r>
      <rPr>
        <vertAlign val="superscript"/>
        <sz val="11"/>
        <color rgb="FFFF0000"/>
        <rFont val="Arial"/>
        <family val="2"/>
      </rPr>
      <t>2</t>
    </r>
    <r>
      <rPr>
        <sz val="11"/>
        <rFont val="Arial"/>
        <family val="2"/>
      </rPr>
      <t xml:space="preserve"> BIP April total of $6,695 was revised to include April bill credits of $1,935 that were posted in a different reporting period as a result of the Envision Cross Over.</t>
    </r>
  </si>
  <si>
    <r>
      <rPr>
        <vertAlign val="superscript"/>
        <sz val="11"/>
        <color rgb="FFFF0000"/>
        <rFont val="Arial"/>
        <family val="2"/>
      </rPr>
      <t>3</t>
    </r>
    <r>
      <rPr>
        <sz val="11"/>
        <rFont val="Arial"/>
        <family val="2"/>
      </rPr>
      <t xml:space="preserve"> May credits are a result of accrual reversals that occurred in prior reporting period (April).</t>
    </r>
  </si>
  <si>
    <r>
      <rPr>
        <b/>
        <vertAlign val="superscript"/>
        <sz val="11"/>
        <color rgb="FFFF0000"/>
        <rFont val="Arial"/>
        <family val="2"/>
      </rPr>
      <t>3</t>
    </r>
    <r>
      <rPr>
        <sz val="11"/>
        <rFont val="Arial"/>
        <family val="2"/>
      </rPr>
      <t xml:space="preserve"> April credits are related to accrual reversals that occurred in a previous reporting period (March).</t>
    </r>
  </si>
  <si>
    <r>
      <rPr>
        <b/>
        <vertAlign val="superscript"/>
        <sz val="11"/>
        <color rgb="FFFF0000"/>
        <rFont val="Arial"/>
        <family val="2"/>
      </rPr>
      <t xml:space="preserve">4 </t>
    </r>
    <r>
      <rPr>
        <sz val="11"/>
        <rFont val="Arial"/>
        <family val="2"/>
      </rPr>
      <t>May credits are related to labor reversals to reflect proper labor allocation.</t>
    </r>
  </si>
  <si>
    <r>
      <t xml:space="preserve">EM&amp;V </t>
    </r>
    <r>
      <rPr>
        <vertAlign val="superscript"/>
        <sz val="9"/>
        <color rgb="FFFF0000"/>
        <rFont val="Arial"/>
        <family val="2"/>
      </rPr>
      <t>6</t>
    </r>
  </si>
  <si>
    <r>
      <t xml:space="preserve">Base Interruptible Program (BIP) </t>
    </r>
    <r>
      <rPr>
        <b/>
        <vertAlign val="superscript"/>
        <sz val="9"/>
        <color rgb="FFFF0000"/>
        <rFont val="Arial"/>
        <family val="2"/>
      </rPr>
      <t>3</t>
    </r>
    <r>
      <rPr>
        <vertAlign val="superscript"/>
        <sz val="9"/>
        <color rgb="FFFF0000"/>
        <rFont val="Arial"/>
        <family val="2"/>
      </rPr>
      <t>,4</t>
    </r>
  </si>
  <si>
    <r>
      <rPr>
        <vertAlign val="superscript"/>
        <sz val="10"/>
        <color rgb="FFFF0000"/>
        <rFont val="Arial"/>
        <family val="2"/>
      </rPr>
      <t>5</t>
    </r>
    <r>
      <rPr>
        <sz val="10"/>
        <rFont val="Arial"/>
        <family val="2"/>
      </rPr>
      <t xml:space="preserve"> May incentive credits are a result of accrual reversals that occurred in prior reporting period (April).</t>
    </r>
  </si>
  <si>
    <r>
      <rPr>
        <vertAlign val="superscript"/>
        <sz val="10"/>
        <color rgb="FFFF0000"/>
        <rFont val="Arial"/>
        <family val="2"/>
      </rPr>
      <t xml:space="preserve">6 </t>
    </r>
    <r>
      <rPr>
        <sz val="10"/>
        <rFont val="Arial"/>
        <family val="2"/>
      </rPr>
      <t>EM&amp;V charges for May include a misclassification of incentive payment.  This charge is pending a journal entry to reclassify $540 to the correct cost type and will be reflected in June Report.</t>
    </r>
  </si>
  <si>
    <t>AC Saver DO (Summer Saver) Commercial</t>
  </si>
  <si>
    <t>Heat Rate</t>
  </si>
  <si>
    <t>6:00pm-8:00pm</t>
  </si>
  <si>
    <t>AC Saver DO (Summer Saver) Residential</t>
  </si>
  <si>
    <t>CBP Day Ahead 11-7</t>
  </si>
  <si>
    <t>Market Price</t>
  </si>
  <si>
    <t>4:00pm-7:00pm</t>
  </si>
  <si>
    <t>CBP Day Ahead 1-9</t>
  </si>
  <si>
    <t>CBP Day Of 1-9</t>
  </si>
  <si>
    <t>Real Time Price</t>
  </si>
  <si>
    <t>5:00pm-7:00pm</t>
  </si>
  <si>
    <t>AC Saver DA Residential</t>
  </si>
  <si>
    <t>6:00pm-9:00pm</t>
  </si>
  <si>
    <t>Temperature and System Load</t>
  </si>
  <si>
    <t>3:00pm-7:00pm</t>
  </si>
  <si>
    <t>5:00pm-9:00pm</t>
  </si>
  <si>
    <t>7:00pm-9:00pm</t>
  </si>
  <si>
    <t>-  Count of Service Accounts reported for TOU-PA-P Agricultural, TOU-A-P Small Commercial and TOU-DR-P Voluntary Residential for April 2021 includes accounts enrolled through May 13, 2021 due to Envision cutover data validation activities.</t>
  </si>
  <si>
    <t>-  The reduction in the number of customers on AC Saver Day-Ahead Commercial in March is due to the un-enrollment of customer with thermostat that had been offline for more then 18 months.</t>
  </si>
  <si>
    <t>- The TOU-PA-P Agricultural Ex-Post average per customer estimates are based on Program Year 2020 draft SDG&amp;E DR Load Impacts report for the months of January and February. The draft ex-post estimates show an increase load impact of (-0.06kW), therefore the estimates were converted to zero.</t>
  </si>
  <si>
    <r>
      <t xml:space="preserve">General Admin </t>
    </r>
    <r>
      <rPr>
        <vertAlign val="superscript"/>
        <sz val="9"/>
        <color rgb="FFFF0000"/>
        <rFont val="Arial"/>
        <family val="2"/>
      </rPr>
      <t>7</t>
    </r>
  </si>
  <si>
    <r>
      <rPr>
        <vertAlign val="superscript"/>
        <sz val="10"/>
        <color rgb="FFFF0000"/>
        <rFont val="Arial"/>
        <family val="2"/>
      </rPr>
      <t>7</t>
    </r>
    <r>
      <rPr>
        <sz val="10"/>
        <rFont val="Arial"/>
        <family val="2"/>
      </rPr>
      <t xml:space="preserve"> EM&amp;V charges for May include a misclassification of incentive payment, charge was corrected using incorrect program IO to reclassify $540 to the correct cost type. Correction will be reflected in July Reporting.</t>
    </r>
  </si>
  <si>
    <t xml:space="preserve">-  The reduction in the number of customer on AC Saver day-ahead residential in June, is due to approximately 2,500 customers with Google-Nest devices did not agree to the new Google terms and conditions. </t>
  </si>
  <si>
    <t>July 2021</t>
  </si>
  <si>
    <r>
      <t>Base Interruptible Program (BIP)</t>
    </r>
    <r>
      <rPr>
        <b/>
        <vertAlign val="superscript"/>
        <sz val="10"/>
        <color rgb="FFFF0000"/>
        <rFont val="Arial"/>
        <family val="2"/>
      </rPr>
      <t xml:space="preserve"> 1</t>
    </r>
    <r>
      <rPr>
        <vertAlign val="superscript"/>
        <sz val="10"/>
        <color rgb="FFFF0000"/>
        <rFont val="Arial"/>
        <family val="2"/>
      </rPr>
      <t>,</t>
    </r>
    <r>
      <rPr>
        <b/>
        <vertAlign val="superscript"/>
        <sz val="10"/>
        <color rgb="FFFF0000"/>
        <rFont val="Arial"/>
        <family val="2"/>
      </rPr>
      <t>2</t>
    </r>
    <r>
      <rPr>
        <vertAlign val="superscript"/>
        <sz val="10"/>
        <color rgb="FFFF0000"/>
        <rFont val="Arial"/>
        <family val="2"/>
      </rPr>
      <t>,4</t>
    </r>
  </si>
  <si>
    <t>SAN DIEGO GAS &amp; ELECTRIC COMPANY REPORT ON INTERRUPTIBLE LOAD AND DEMAND RESPONSE EMERGENCY</t>
  </si>
  <si>
    <t>Program in Emergency Loadshed Reduction Balancing Account</t>
  </si>
  <si>
    <t>ELRP</t>
  </si>
  <si>
    <t>ELRP Tax</t>
  </si>
  <si>
    <t>ELRP Property Tax</t>
  </si>
  <si>
    <t>Total ELRP Program Costs</t>
  </si>
  <si>
    <t>Total ELRP Program Costs with Interest</t>
  </si>
  <si>
    <r>
      <t xml:space="preserve">   Over Generation Pilot (OGP) </t>
    </r>
    <r>
      <rPr>
        <vertAlign val="superscript"/>
        <sz val="10"/>
        <color rgb="FFFF0000"/>
        <rFont val="Arial"/>
        <family val="2"/>
      </rPr>
      <t>5</t>
    </r>
  </si>
  <si>
    <r>
      <t>Over Gen Pilot</t>
    </r>
    <r>
      <rPr>
        <vertAlign val="superscript"/>
        <sz val="9"/>
        <color rgb="FFFF0000"/>
        <rFont val="Arial"/>
        <family val="2"/>
      </rPr>
      <t xml:space="preserve"> 8</t>
    </r>
  </si>
  <si>
    <r>
      <t>SW-COM</t>
    </r>
    <r>
      <rPr>
        <vertAlign val="superscript"/>
        <sz val="9"/>
        <color rgb="FFFF0000"/>
        <rFont val="Arial"/>
        <family val="2"/>
      </rPr>
      <t xml:space="preserve"> 9</t>
    </r>
  </si>
  <si>
    <r>
      <t>Demand Response Auction Mechanism (DRAM)</t>
    </r>
    <r>
      <rPr>
        <vertAlign val="superscript"/>
        <sz val="9"/>
        <color rgb="FFFF0000"/>
        <rFont val="Arial"/>
        <family val="2"/>
      </rPr>
      <t xml:space="preserve"> </t>
    </r>
    <r>
      <rPr>
        <b/>
        <vertAlign val="superscript"/>
        <sz val="9"/>
        <color rgb="FFFF0000"/>
        <rFont val="Arial"/>
        <family val="2"/>
      </rPr>
      <t>5</t>
    </r>
    <r>
      <rPr>
        <vertAlign val="superscript"/>
        <sz val="9"/>
        <color rgb="FFFF0000"/>
        <rFont val="Arial"/>
        <family val="2"/>
      </rPr>
      <t>,9</t>
    </r>
  </si>
  <si>
    <r>
      <t>CPP-D</t>
    </r>
    <r>
      <rPr>
        <vertAlign val="superscript"/>
        <sz val="10"/>
        <color rgb="FFFF0000"/>
        <rFont val="Arial"/>
        <family val="2"/>
      </rPr>
      <t xml:space="preserve"> 1</t>
    </r>
  </si>
  <si>
    <r>
      <t xml:space="preserve">Rule 32 Click-Through </t>
    </r>
    <r>
      <rPr>
        <vertAlign val="superscript"/>
        <sz val="10"/>
        <color rgb="FFFF0000"/>
        <rFont val="Arial"/>
        <family val="2"/>
      </rPr>
      <t>1,5</t>
    </r>
  </si>
  <si>
    <r>
      <rPr>
        <vertAlign val="superscript"/>
        <sz val="11"/>
        <color rgb="FFFF0000"/>
        <rFont val="Arial"/>
        <family val="2"/>
      </rPr>
      <t>1</t>
    </r>
    <r>
      <rPr>
        <sz val="11"/>
        <color rgb="FF444444"/>
        <rFont val="Arial"/>
        <family val="2"/>
      </rPr>
      <t xml:space="preserve"> If the MW Load Reduction is 0.00, there was no actual load reduction. If the MW Load Reduction is negative, there was an increase of load during the event hours. If there is nothing there, there were no events.</t>
    </r>
  </si>
  <si>
    <r>
      <rPr>
        <vertAlign val="superscript"/>
        <sz val="11"/>
        <color rgb="FFFF0000"/>
        <rFont val="Arial"/>
        <family val="2"/>
      </rPr>
      <t>2</t>
    </r>
    <r>
      <rPr>
        <b/>
        <vertAlign val="superscript"/>
        <sz val="11"/>
        <color rgb="FFFF0000"/>
        <rFont val="Arial"/>
        <family val="2"/>
      </rPr>
      <t xml:space="preserve">  </t>
    </r>
    <r>
      <rPr>
        <sz val="11"/>
        <rFont val="Arial"/>
        <family val="2"/>
      </rPr>
      <t>Program Total Hours (Annual) is cumulative</t>
    </r>
    <r>
      <rPr>
        <b/>
        <sz val="11"/>
        <rFont val="Arial"/>
        <family val="2"/>
      </rPr>
      <t>.</t>
    </r>
  </si>
  <si>
    <r>
      <rPr>
        <sz val="8"/>
        <color rgb="FFFF0000"/>
        <rFont val="Arial"/>
        <family val="2"/>
      </rPr>
      <t xml:space="preserve">3 </t>
    </r>
    <r>
      <rPr>
        <sz val="11"/>
        <color rgb="FF444444"/>
        <rFont val="Arial"/>
        <family val="2"/>
      </rPr>
      <t xml:space="preserve"> Due to time differences in our new and old customer information systems event performance has been revised from June 2021 report.</t>
    </r>
  </si>
  <si>
    <t>-  CPP-D (Large and Medium Customers) service account numbers for Jan, Feb, and March 2021 are being rechecked. The reason is due to IT conversion data issues.  These should be corrected in next months Aug 2021 report.</t>
  </si>
  <si>
    <t>-  BIP service accounts for April and May were updated in August 2021 to denote a customer who unenrolled from the program.</t>
  </si>
  <si>
    <r>
      <rPr>
        <vertAlign val="superscript"/>
        <sz val="10"/>
        <color rgb="FFFF0000"/>
        <rFont val="Arial"/>
        <family val="2"/>
      </rPr>
      <t xml:space="preserve">8 </t>
    </r>
    <r>
      <rPr>
        <sz val="10"/>
        <rFont val="Arial"/>
        <family val="2"/>
      </rPr>
      <t>July Credits are due to labor reversals.</t>
    </r>
  </si>
  <si>
    <r>
      <rPr>
        <vertAlign val="superscript"/>
        <sz val="10"/>
        <color rgb="FFFF0000"/>
        <rFont val="Arial"/>
        <family val="2"/>
      </rPr>
      <t xml:space="preserve">9 </t>
    </r>
    <r>
      <rPr>
        <sz val="10"/>
        <rFont val="Arial"/>
        <family val="2"/>
      </rPr>
      <t>July Credits are due to accrual reversals.</t>
    </r>
  </si>
  <si>
    <r>
      <rPr>
        <vertAlign val="superscript"/>
        <sz val="11"/>
        <color rgb="FFFF0000"/>
        <rFont val="Arial"/>
        <family val="2"/>
      </rPr>
      <t xml:space="preserve">5 </t>
    </r>
    <r>
      <rPr>
        <sz val="11"/>
        <rFont val="Arial"/>
        <family val="2"/>
      </rPr>
      <t>July Credits are due to labor reversals.</t>
    </r>
  </si>
  <si>
    <r>
      <rPr>
        <vertAlign val="superscript"/>
        <sz val="11"/>
        <color rgb="FFFF0000"/>
        <rFont val="Arial"/>
        <family val="2"/>
      </rPr>
      <t>4</t>
    </r>
    <r>
      <rPr>
        <sz val="11"/>
        <rFont val="Arial"/>
        <family val="2"/>
      </rPr>
      <t xml:space="preserve"> June BIP incentives were adjusted to exclude $783.50 that was reversed in Envision.</t>
    </r>
  </si>
  <si>
    <r>
      <rPr>
        <vertAlign val="superscript"/>
        <sz val="11"/>
        <color rgb="FFFF0000"/>
        <rFont val="Arial"/>
        <family val="2"/>
      </rPr>
      <t xml:space="preserve">1 </t>
    </r>
    <r>
      <rPr>
        <sz val="11"/>
        <rFont val="Arial"/>
        <family val="2"/>
      </rPr>
      <t>July credits are due to accrual reversals and labor corrections.</t>
    </r>
  </si>
  <si>
    <r>
      <rPr>
        <vertAlign val="superscript"/>
        <sz val="11"/>
        <color rgb="FFFF0000"/>
        <rFont val="Arial"/>
        <family val="2"/>
      </rPr>
      <t xml:space="preserve">5 </t>
    </r>
    <r>
      <rPr>
        <sz val="11"/>
        <rFont val="Arial"/>
        <family val="2"/>
      </rPr>
      <t xml:space="preserve">July Credits are due to accrual reversals. </t>
    </r>
  </si>
  <si>
    <t>ELRP was approved in Decision 21.02.006.</t>
  </si>
  <si>
    <t>LOADSHED REDUCTION PROGRAM (ELRP) BALANCING ACCOUNT ($000)</t>
  </si>
  <si>
    <t xml:space="preserve"> - The "TOU-DR-P Voluntary Residential" and “TOU-A-P Small Commercial” service accounts numbers were inadvertently reported on the wrong row January through June.  This report has been corrected to reflect the service account numbers for both programs. </t>
  </si>
  <si>
    <r>
      <rPr>
        <vertAlign val="superscript"/>
        <sz val="10"/>
        <color rgb="FFFF0000"/>
        <rFont val="Arial"/>
        <family val="2"/>
      </rPr>
      <t>4</t>
    </r>
    <r>
      <rPr>
        <sz val="10"/>
        <rFont val="Arial"/>
        <family val="2"/>
      </rPr>
      <t xml:space="preserve"> BIP April Incentive total was revised to include April bill credits of $1,935 that were posted in a different reporting period as a result of the Envision Cross Over. June BIP incentives were adjusted to exclude $783.50 that was reversed in Envision.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</si>
</sst>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1">
    <numFmt numFmtId="6" formatCode="&quot;$&quot;#,##0_);[Red]\(&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quot;$&quot;#,##0.0_);[Red]\(&quot;$&quot;#,##0.0\)"/>
    <numFmt numFmtId="165" formatCode="#,##0.0_);[Red]\(#,##0.0\)"/>
    <numFmt numFmtId="166" formatCode="#,##0.0"/>
    <numFmt numFmtId="167" formatCode="0.0%"/>
    <numFmt numFmtId="168" formatCode="_(&quot;$&quot;* #,##0_);_(&quot;$&quot;* \(#,##0\);_(&quot;$&quot;* &quot;-&quot;??_);_(@_)"/>
    <numFmt numFmtId="169" formatCode="_(* #,##0.0_);_(* \(#,##0.0\);_(* &quot;-&quot;??_);_(@_)"/>
    <numFmt numFmtId="170" formatCode="_(* #,##0_);_(* \(#,##0\);_(* &quot;-&quot;??_);_(@_)"/>
    <numFmt numFmtId="171" formatCode="mm/dd/yy;@"/>
    <numFmt numFmtId="172" formatCode="0.0"/>
    <numFmt numFmtId="173" formatCode="0.0_);[Red]\(0.0\)"/>
    <numFmt numFmtId="174" formatCode="0.00_);[Red]\(0.00\)"/>
    <numFmt numFmtId="175" formatCode="[$-F800]dddd\,\ mmmm\ dd\,\ yyyy"/>
    <numFmt numFmtId="176" formatCode="0.0000"/>
    <numFmt numFmtId="177" formatCode="_(* #,##0.00_);_(* \(#,##0.00\);_(* &quot;-&quot;_);_(@_)"/>
    <numFmt numFmtId="178" formatCode="_(&quot;$&quot;* #,##0.0_);_(&quot;$&quot;* \(#,##0.0\);_(&quot;$&quot;* &quot;-&quot;?_);_(@_)"/>
    <numFmt numFmtId="179" formatCode="_(&quot;$&quot;* #,##0.00_);_(&quot;$&quot;* \(#,##0.00\);_(&quot;$&quot;* &quot;-&quot;_);_(@_)"/>
  </numFmts>
  <fonts count="139">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sz val="10"/>
      <color indexed="8"/>
      <name val="Arial"/>
      <family val="2"/>
    </font>
    <font>
      <b/>
      <i/>
      <sz val="10"/>
      <name val="Arial"/>
      <family val="2"/>
    </font>
    <font>
      <sz val="10"/>
      <color indexed="8"/>
      <name val="Arial"/>
      <family val="2"/>
    </font>
    <font>
      <sz val="10"/>
      <color indexed="9"/>
      <name val="Arial"/>
      <family val="2"/>
    </font>
    <font>
      <sz val="11"/>
      <color indexed="9"/>
      <name val="Calibri"/>
      <family val="2"/>
    </font>
    <font>
      <sz val="11"/>
      <color indexed="8"/>
      <name val="Calibri"/>
      <family val="2"/>
    </font>
    <font>
      <sz val="11"/>
      <color indexed="16"/>
      <name val="Calibri"/>
      <family val="2"/>
    </font>
    <font>
      <b/>
      <sz val="11"/>
      <color indexed="53"/>
      <name val="Calibri"/>
      <family val="2"/>
    </font>
    <font>
      <b/>
      <sz val="11"/>
      <color indexed="9"/>
      <name val="Calibri"/>
      <family val="2"/>
    </font>
    <font>
      <b/>
      <sz val="11"/>
      <color indexed="8"/>
      <name val="Calibri"/>
      <family val="2"/>
    </font>
    <font>
      <i/>
      <sz val="10"/>
      <color indexed="23"/>
      <name val="Arial"/>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sz val="11"/>
      <color indexed="48"/>
      <name val="Calibri"/>
      <family val="2"/>
    </font>
    <font>
      <sz val="11"/>
      <color indexed="53"/>
      <name val="Calibri"/>
      <family val="2"/>
    </font>
    <font>
      <sz val="11"/>
      <color indexed="60"/>
      <name val="Calibri"/>
      <family val="2"/>
    </font>
    <font>
      <b/>
      <sz val="11"/>
      <color indexed="63"/>
      <name val="Calibri"/>
      <family val="2"/>
    </font>
    <font>
      <b/>
      <sz val="10"/>
      <color indexed="8"/>
      <name val="Arial"/>
      <family val="2"/>
    </font>
    <font>
      <b/>
      <sz val="10"/>
      <color indexed="39"/>
      <name val="Arial"/>
      <family val="2"/>
    </font>
    <font>
      <b/>
      <sz val="12"/>
      <color indexed="8"/>
      <name val="Arial"/>
      <family val="2"/>
    </font>
    <font>
      <sz val="10"/>
      <color indexed="39"/>
      <name val="Arial"/>
      <family val="2"/>
    </font>
    <font>
      <sz val="19"/>
      <color indexed="48"/>
      <name val="Arial"/>
      <family val="2"/>
    </font>
    <font>
      <sz val="10"/>
      <color indexed="10"/>
      <name val="Arial"/>
      <family val="2"/>
    </font>
    <font>
      <b/>
      <sz val="18"/>
      <color indexed="62"/>
      <name val="Cambria"/>
      <family val="2"/>
    </font>
    <font>
      <sz val="11"/>
      <color indexed="10"/>
      <name val="Calibri"/>
      <family val="2"/>
    </font>
    <font>
      <sz val="8"/>
      <name val="Arial"/>
      <family val="2"/>
    </font>
    <font>
      <b/>
      <sz val="10"/>
      <color indexed="10"/>
      <name val="Arial"/>
      <family val="2"/>
    </font>
    <font>
      <b/>
      <sz val="13"/>
      <name val="Arial"/>
      <family val="2"/>
    </font>
    <font>
      <sz val="10"/>
      <color indexed="30"/>
      <name val="Arial"/>
      <family val="2"/>
    </font>
    <font>
      <b/>
      <strike/>
      <sz val="10"/>
      <color indexed="8"/>
      <name val="Arial"/>
      <family val="2"/>
    </font>
    <font>
      <strike/>
      <sz val="10"/>
      <color indexed="8"/>
      <name val="Arial"/>
      <family val="2"/>
    </font>
    <font>
      <sz val="10"/>
      <name val="Arial"/>
      <family val="2"/>
    </font>
    <font>
      <sz val="10"/>
      <name val="Arial"/>
      <family val="2"/>
    </font>
    <font>
      <sz val="9"/>
      <name val="Calibri"/>
      <family val="2"/>
    </font>
    <font>
      <sz val="10"/>
      <color indexed="8"/>
      <name val="Arial"/>
      <family val="2"/>
    </font>
    <font>
      <b/>
      <sz val="11"/>
      <color rgb="FF1F497D"/>
      <name val="Calibri"/>
      <family val="2"/>
    </font>
    <font>
      <sz val="10"/>
      <color rgb="FF0070C0"/>
      <name val="Arial"/>
      <family val="2"/>
    </font>
    <font>
      <b/>
      <sz val="12"/>
      <name val="Arial"/>
      <family val="2"/>
    </font>
    <font>
      <sz val="10"/>
      <name val="Arial"/>
      <family val="2"/>
    </font>
    <font>
      <sz val="10"/>
      <color theme="1"/>
      <name val="Arial"/>
      <family val="2"/>
    </font>
    <font>
      <sz val="10"/>
      <name val="Arial"/>
      <family val="2"/>
    </font>
    <font>
      <sz val="10"/>
      <name val="Arial"/>
      <family val="2"/>
    </font>
    <font>
      <i/>
      <sz val="11"/>
      <color rgb="FF1F497D"/>
      <name val="Calibri"/>
      <family val="2"/>
    </font>
    <font>
      <sz val="10"/>
      <name val="Arial"/>
      <family val="2"/>
    </font>
    <font>
      <sz val="11"/>
      <name val="Arial"/>
      <family val="2"/>
    </font>
    <font>
      <vertAlign val="superscript"/>
      <sz val="11"/>
      <color rgb="FFFF0000"/>
      <name val="Arial"/>
      <family val="2"/>
    </font>
    <font>
      <sz val="11"/>
      <color rgb="FF1F497D"/>
      <name val="Calibri"/>
      <family val="2"/>
    </font>
    <font>
      <b/>
      <vertAlign val="superscript"/>
      <sz val="10"/>
      <color rgb="FFFF0000"/>
      <name val="Arial"/>
      <family val="2"/>
    </font>
    <font>
      <b/>
      <sz val="9"/>
      <name val="Arial"/>
      <family val="2"/>
    </font>
    <font>
      <sz val="9"/>
      <name val="Arial"/>
      <family val="2"/>
    </font>
    <font>
      <vertAlign val="superscript"/>
      <sz val="10"/>
      <name val="Arial"/>
      <family val="2"/>
    </font>
    <font>
      <b/>
      <sz val="11"/>
      <name val="Arial"/>
      <family val="2"/>
    </font>
    <font>
      <sz val="11"/>
      <color indexed="8"/>
      <name val="Arial"/>
      <family val="2"/>
    </font>
    <font>
      <b/>
      <sz val="11"/>
      <color indexed="8"/>
      <name val="Arial"/>
      <family val="2"/>
    </font>
    <font>
      <b/>
      <sz val="10"/>
      <color rgb="FFFF0000"/>
      <name val="Arial"/>
      <family val="2"/>
    </font>
    <font>
      <sz val="10"/>
      <name val="Arial"/>
      <family val="2"/>
    </font>
    <font>
      <sz val="10"/>
      <name val="Calibri"/>
      <family val="2"/>
    </font>
    <font>
      <b/>
      <sz val="10"/>
      <name val="Calibri"/>
      <family val="2"/>
    </font>
    <font>
      <b/>
      <sz val="12"/>
      <name val="Calibri"/>
      <family val="2"/>
    </font>
    <font>
      <b/>
      <sz val="10"/>
      <color indexed="8"/>
      <name val="Calibri"/>
      <family val="2"/>
    </font>
    <font>
      <vertAlign val="superscript"/>
      <sz val="10"/>
      <color rgb="FFFF0000"/>
      <name val="Arial"/>
      <family val="2"/>
    </font>
    <font>
      <sz val="12"/>
      <color rgb="FF000000"/>
      <name val="Arial"/>
      <family val="2"/>
    </font>
    <font>
      <vertAlign val="superscript"/>
      <sz val="9"/>
      <color rgb="FFFF0000"/>
      <name val="Arial"/>
      <family val="2"/>
    </font>
    <font>
      <b/>
      <sz val="14"/>
      <color indexed="8"/>
      <name val="Arial"/>
      <family val="2"/>
    </font>
    <font>
      <b/>
      <sz val="16"/>
      <color indexed="8"/>
      <name val="Arial"/>
      <family val="2"/>
    </font>
    <font>
      <sz val="12"/>
      <color indexed="8"/>
      <name val="Arial"/>
      <family val="2"/>
    </font>
    <font>
      <b/>
      <vertAlign val="superscript"/>
      <sz val="10"/>
      <color rgb="FFFF0000"/>
      <name val="Calibri"/>
      <family val="2"/>
    </font>
    <font>
      <b/>
      <vertAlign val="superscript"/>
      <sz val="10"/>
      <name val="Arial"/>
      <family val="2"/>
    </font>
    <font>
      <b/>
      <sz val="12"/>
      <name val="Ariel"/>
    </font>
    <font>
      <b/>
      <sz val="10"/>
      <color rgb="FFFFFFFF"/>
      <name val="Arial"/>
      <family val="2"/>
    </font>
    <font>
      <b/>
      <vertAlign val="superscript"/>
      <sz val="9"/>
      <color rgb="FFFF0000"/>
      <name val="Arial"/>
      <family val="2"/>
    </font>
    <font>
      <vertAlign val="superscript"/>
      <sz val="9"/>
      <name val="Arial"/>
      <family val="2"/>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rgb="FF9C6500"/>
      <name val="Calibri"/>
      <family val="2"/>
      <scheme val="minor"/>
    </font>
    <font>
      <sz val="11"/>
      <color indexed="37"/>
      <name val="Calibri"/>
      <family val="2"/>
    </font>
    <font>
      <sz val="11"/>
      <color indexed="20"/>
      <name val="Calibri"/>
      <family val="2"/>
    </font>
    <font>
      <b/>
      <sz val="11"/>
      <color indexed="17"/>
      <name val="Calibri"/>
      <family val="2"/>
    </font>
    <font>
      <b/>
      <sz val="11"/>
      <color indexed="52"/>
      <name val="Calibri"/>
      <family val="2"/>
    </font>
    <font>
      <sz val="10"/>
      <name val="Times New Roman"/>
      <family val="1"/>
    </font>
    <font>
      <i/>
      <sz val="11"/>
      <color indexed="23"/>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8"/>
      <color indexed="62"/>
      <name val="Arial"/>
      <family val="2"/>
    </font>
    <font>
      <b/>
      <sz val="8"/>
      <color indexed="8"/>
      <name val="Arial"/>
      <family val="2"/>
    </font>
    <font>
      <b/>
      <sz val="8"/>
      <name val="Arial"/>
      <family val="2"/>
    </font>
    <font>
      <sz val="8"/>
      <color indexed="8"/>
      <name val="Arial"/>
      <family val="2"/>
    </font>
    <font>
      <b/>
      <sz val="16"/>
      <color indexed="23"/>
      <name val="Arial"/>
      <family val="2"/>
    </font>
    <font>
      <sz val="19"/>
      <name val="Arial"/>
      <family val="2"/>
    </font>
    <font>
      <sz val="8"/>
      <color indexed="14"/>
      <name val="Arial"/>
      <family val="2"/>
    </font>
    <font>
      <b/>
      <sz val="18"/>
      <color indexed="56"/>
      <name val="Cambria"/>
      <family val="2"/>
    </font>
    <font>
      <sz val="11"/>
      <color indexed="14"/>
      <name val="Calibri"/>
      <family val="2"/>
    </font>
    <font>
      <b/>
      <sz val="18"/>
      <color theme="3"/>
      <name val="Cambria"/>
      <family val="2"/>
      <scheme val="major"/>
    </font>
    <font>
      <strike/>
      <sz val="11"/>
      <name val="Arial"/>
      <family val="2"/>
    </font>
    <font>
      <strike/>
      <sz val="10"/>
      <name val="Arial"/>
      <family val="2"/>
    </font>
    <font>
      <vertAlign val="superscript"/>
      <sz val="11"/>
      <name val="Arial"/>
      <family val="2"/>
    </font>
    <font>
      <sz val="11"/>
      <name val="Cambria"/>
      <family val="1"/>
    </font>
    <font>
      <sz val="9"/>
      <name val="Cambria"/>
      <family val="1"/>
    </font>
    <font>
      <b/>
      <vertAlign val="superscript"/>
      <sz val="11"/>
      <color rgb="FFFF0000"/>
      <name val="Arial"/>
      <family val="2"/>
    </font>
    <font>
      <sz val="11"/>
      <color rgb="FF444444"/>
      <name val="Arial"/>
      <family val="2"/>
    </font>
    <font>
      <strike/>
      <sz val="11"/>
      <color indexed="8"/>
      <name val="Arial"/>
      <family val="2"/>
    </font>
    <font>
      <sz val="10"/>
      <name val="Arial"/>
    </font>
    <font>
      <sz val="8"/>
      <color rgb="FF444444"/>
      <name val="Arial"/>
      <family val="2"/>
    </font>
    <font>
      <sz val="8"/>
      <color rgb="FFFF0000"/>
      <name val="Arial"/>
      <family val="2"/>
    </font>
  </fonts>
  <fills count="125">
    <fill>
      <patternFill patternType="none"/>
    </fill>
    <fill>
      <patternFill patternType="gray125"/>
    </fill>
    <fill>
      <patternFill patternType="solid">
        <fgColor indexed="40"/>
      </patternFill>
    </fill>
    <fill>
      <patternFill patternType="solid">
        <fgColor indexed="29"/>
      </patternFill>
    </fill>
    <fill>
      <patternFill patternType="solid">
        <fgColor indexed="26"/>
      </patternFill>
    </fill>
    <fill>
      <patternFill patternType="solid">
        <fgColor indexed="9"/>
      </patternFill>
    </fill>
    <fill>
      <patternFill patternType="solid">
        <fgColor indexed="44"/>
      </patternFill>
    </fill>
    <fill>
      <patternFill patternType="solid">
        <fgColor indexed="45"/>
      </patternFill>
    </fill>
    <fill>
      <patternFill patternType="solid">
        <fgColor indexed="54"/>
      </patternFill>
    </fill>
    <fill>
      <patternFill patternType="solid">
        <fgColor indexed="57"/>
      </patternFill>
    </fill>
    <fill>
      <patternFill patternType="solid">
        <fgColor indexed="22"/>
      </patternFill>
    </fill>
    <fill>
      <patternFill patternType="solid">
        <fgColor indexed="47"/>
      </patternFill>
    </fill>
    <fill>
      <patternFill patternType="solid">
        <fgColor indexed="48"/>
        <bgColor indexed="48"/>
      </patternFill>
    </fill>
    <fill>
      <patternFill patternType="solid">
        <fgColor indexed="44"/>
        <bgColor indexed="44"/>
      </patternFill>
    </fill>
    <fill>
      <patternFill patternType="solid">
        <fgColor indexed="54"/>
        <bgColor indexed="54"/>
      </patternFill>
    </fill>
    <fill>
      <patternFill patternType="solid">
        <fgColor indexed="24"/>
        <bgColor indexed="24"/>
      </patternFill>
    </fill>
    <fill>
      <patternFill patternType="solid">
        <fgColor indexed="25"/>
        <bgColor indexed="25"/>
      </patternFill>
    </fill>
    <fill>
      <patternFill patternType="solid">
        <fgColor indexed="15"/>
        <bgColor indexed="15"/>
      </patternFill>
    </fill>
    <fill>
      <patternFill patternType="solid">
        <fgColor indexed="45"/>
        <bgColor indexed="45"/>
      </patternFill>
    </fill>
    <fill>
      <patternFill patternType="solid">
        <fgColor indexed="55"/>
        <bgColor indexed="55"/>
      </patternFill>
    </fill>
    <fill>
      <patternFill patternType="solid">
        <fgColor indexed="41"/>
        <bgColor indexed="41"/>
      </patternFill>
    </fill>
    <fill>
      <patternFill patternType="solid">
        <fgColor indexed="40"/>
        <bgColor indexed="40"/>
      </patternFill>
    </fill>
    <fill>
      <patternFill patternType="solid">
        <fgColor indexed="22"/>
        <bgColor indexed="22"/>
      </patternFill>
    </fill>
    <fill>
      <patternFill patternType="solid">
        <fgColor indexed="23"/>
        <bgColor indexed="23"/>
      </patternFill>
    </fill>
    <fill>
      <patternFill patternType="solid">
        <fgColor indexed="49"/>
        <bgColor indexed="49"/>
      </patternFill>
    </fill>
    <fill>
      <patternFill patternType="solid">
        <fgColor indexed="52"/>
        <bgColor indexed="52"/>
      </patternFill>
    </fill>
    <fill>
      <patternFill patternType="solid">
        <fgColor indexed="26"/>
        <bgColor indexed="26"/>
      </patternFill>
    </fill>
    <fill>
      <patternFill patternType="solid">
        <fgColor indexed="47"/>
        <bgColor indexed="47"/>
      </patternFill>
    </fill>
    <fill>
      <patternFill patternType="solid">
        <fgColor indexed="9"/>
        <bgColor indexed="9"/>
      </patternFill>
    </fill>
    <fill>
      <patternFill patternType="lightUp">
        <fgColor indexed="9"/>
        <bgColor indexed="55"/>
      </patternFill>
    </fill>
    <fill>
      <patternFill patternType="lightUp">
        <fgColor indexed="9"/>
        <bgColor indexed="29"/>
      </patternFill>
    </fill>
    <fill>
      <patternFill patternType="lightUp">
        <fgColor indexed="9"/>
        <bgColor indexed="57"/>
      </patternFill>
    </fill>
    <fill>
      <patternFill patternType="solid">
        <fgColor indexed="42"/>
        <bgColor indexed="42"/>
      </patternFill>
    </fill>
    <fill>
      <patternFill patternType="solid">
        <fgColor indexed="43"/>
      </patternFill>
    </fill>
    <fill>
      <patternFill patternType="solid">
        <fgColor indexed="10"/>
      </patternFill>
    </fill>
    <fill>
      <patternFill patternType="solid">
        <fgColor indexed="51"/>
      </patternFill>
    </fill>
    <fill>
      <patternFill patternType="solid">
        <fgColor indexed="52"/>
      </patternFill>
    </fill>
    <fill>
      <patternFill patternType="solid">
        <fgColor indexed="53"/>
      </patternFill>
    </fill>
    <fill>
      <patternFill patternType="solid">
        <fgColor indexed="50"/>
      </patternFill>
    </fill>
    <fill>
      <patternFill patternType="solid">
        <fgColor indexed="11"/>
      </patternFill>
    </fill>
    <fill>
      <patternFill patternType="lightUp">
        <fgColor indexed="48"/>
        <bgColor indexed="41"/>
      </patternFill>
    </fill>
    <fill>
      <patternFill patternType="solid">
        <fgColor indexed="41"/>
      </patternFill>
    </fill>
    <fill>
      <patternFill patternType="solid">
        <fgColor indexed="15"/>
      </patternFill>
    </fill>
    <fill>
      <patternFill patternType="solid">
        <fgColor indexed="9"/>
        <bgColor indexed="64"/>
      </patternFill>
    </fill>
    <fill>
      <patternFill patternType="solid">
        <fgColor indexed="65"/>
        <bgColor indexed="64"/>
      </patternFill>
    </fill>
    <fill>
      <patternFill patternType="solid">
        <fgColor indexed="55"/>
        <bgColor indexed="64"/>
      </patternFill>
    </fill>
    <fill>
      <patternFill patternType="solid">
        <fgColor indexed="23"/>
        <bgColor indexed="64"/>
      </patternFill>
    </fill>
    <fill>
      <patternFill patternType="solid">
        <fgColor theme="0"/>
        <bgColor indexed="64"/>
      </patternFill>
    </fill>
    <fill>
      <patternFill patternType="solid">
        <fgColor theme="0" tint="-0.14999847407452621"/>
        <bgColor indexed="64"/>
      </patternFill>
    </fill>
    <fill>
      <patternFill patternType="solid">
        <fgColor theme="2"/>
        <bgColor indexed="64"/>
      </patternFill>
    </fill>
    <fill>
      <patternFill patternType="solid">
        <fgColor theme="6" tint="0.59999389629810485"/>
        <bgColor indexed="64"/>
      </patternFill>
    </fill>
    <fill>
      <patternFill patternType="solid">
        <fgColor indexed="49"/>
      </patternFill>
    </fill>
    <fill>
      <patternFill patternType="solid">
        <fgColor rgb="FFFFFFFF"/>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2"/>
      </patternFill>
    </fill>
    <fill>
      <patternFill patternType="solid">
        <fgColor indexed="46"/>
      </patternFill>
    </fill>
    <fill>
      <patternFill patternType="solid">
        <fgColor indexed="27"/>
      </patternFill>
    </fill>
    <fill>
      <patternFill patternType="solid">
        <fgColor indexed="30"/>
      </patternFill>
    </fill>
    <fill>
      <patternFill patternType="solid">
        <fgColor indexed="36"/>
      </patternFill>
    </fill>
    <fill>
      <patternFill patternType="solid">
        <fgColor indexed="61"/>
        <bgColor indexed="61"/>
      </patternFill>
    </fill>
    <fill>
      <patternFill patternType="solid">
        <fgColor indexed="58"/>
        <bgColor indexed="58"/>
      </patternFill>
    </fill>
    <fill>
      <patternFill patternType="solid">
        <fgColor indexed="62"/>
      </patternFill>
    </fill>
    <fill>
      <patternFill patternType="solid">
        <fgColor indexed="31"/>
        <bgColor indexed="31"/>
      </patternFill>
    </fill>
    <fill>
      <patternFill patternType="solid">
        <fgColor indexed="60"/>
        <bgColor indexed="60"/>
      </patternFill>
    </fill>
    <fill>
      <patternFill patternType="solid">
        <fgColor indexed="11"/>
        <bgColor indexed="11"/>
      </patternFill>
    </fill>
    <fill>
      <patternFill patternType="solid">
        <fgColor indexed="50"/>
        <bgColor indexed="50"/>
      </patternFill>
    </fill>
    <fill>
      <patternFill patternType="solid">
        <fgColor indexed="57"/>
        <bgColor indexed="57"/>
      </patternFill>
    </fill>
    <fill>
      <patternFill patternType="solid">
        <fgColor indexed="18"/>
        <bgColor indexed="18"/>
      </patternFill>
    </fill>
    <fill>
      <patternFill patternType="solid">
        <fgColor indexed="51"/>
        <bgColor indexed="51"/>
      </patternFill>
    </fill>
    <fill>
      <patternFill patternType="solid">
        <fgColor indexed="53"/>
        <bgColor indexed="53"/>
      </patternFill>
    </fill>
    <fill>
      <patternFill patternType="solid">
        <fgColor indexed="35"/>
        <bgColor indexed="35"/>
      </patternFill>
    </fill>
    <fill>
      <patternFill patternType="solid">
        <fgColor indexed="55"/>
      </patternFill>
    </fill>
    <fill>
      <patternFill patternType="lightUp">
        <fgColor indexed="9"/>
        <bgColor indexed="24"/>
      </patternFill>
    </fill>
    <fill>
      <patternFill patternType="lightUp">
        <fgColor indexed="9"/>
        <bgColor indexed="12"/>
      </patternFill>
    </fill>
    <fill>
      <patternFill patternType="solid">
        <fgColor indexed="60"/>
      </patternFill>
    </fill>
    <fill>
      <patternFill patternType="solid">
        <fgColor indexed="43"/>
        <bgColor indexed="64"/>
      </patternFill>
    </fill>
    <fill>
      <patternFill patternType="solid">
        <fgColor indexed="31"/>
        <bgColor indexed="64"/>
      </patternFill>
    </fill>
    <fill>
      <patternFill patternType="solid">
        <fgColor indexed="45"/>
        <bgColor indexed="64"/>
      </patternFill>
    </fill>
    <fill>
      <patternFill patternType="solid">
        <fgColor indexed="29"/>
        <bgColor indexed="64"/>
      </patternFill>
    </fill>
    <fill>
      <patternFill patternType="solid">
        <fgColor indexed="12"/>
      </patternFill>
    </fill>
    <fill>
      <patternFill patternType="solid">
        <fgColor indexed="10"/>
        <bgColor indexed="64"/>
      </patternFill>
    </fill>
    <fill>
      <patternFill patternType="solid">
        <fgColor indexed="51"/>
        <bgColor indexed="64"/>
      </patternFill>
    </fill>
    <fill>
      <patternFill patternType="solid">
        <fgColor indexed="52"/>
        <bgColor indexed="64"/>
      </patternFill>
    </fill>
    <fill>
      <patternFill patternType="solid">
        <fgColor indexed="53"/>
        <bgColor indexed="64"/>
      </patternFill>
    </fill>
    <fill>
      <patternFill patternType="solid">
        <fgColor indexed="57"/>
        <bgColor indexed="64"/>
      </patternFill>
    </fill>
    <fill>
      <patternFill patternType="solid">
        <fgColor indexed="50"/>
        <bgColor indexed="64"/>
      </patternFill>
    </fill>
    <fill>
      <patternFill patternType="solid">
        <fgColor indexed="11"/>
        <bgColor indexed="64"/>
      </patternFill>
    </fill>
    <fill>
      <patternFill patternType="lightUp">
        <fgColor indexed="22"/>
        <bgColor indexed="35"/>
      </patternFill>
    </fill>
    <fill>
      <patternFill patternType="solid">
        <fgColor indexed="35"/>
        <bgColor indexed="64"/>
      </patternFill>
    </fill>
    <fill>
      <patternFill patternType="solid">
        <fgColor indexed="54"/>
        <bgColor indexed="64"/>
      </patternFill>
    </fill>
    <fill>
      <patternFill patternType="solid">
        <fgColor indexed="23"/>
      </patternFill>
    </fill>
    <fill>
      <patternFill patternType="solid">
        <fgColor indexed="22"/>
        <bgColor indexed="64"/>
      </patternFill>
    </fill>
    <fill>
      <patternFill patternType="solid">
        <fgColor indexed="26"/>
        <bgColor indexed="64"/>
      </patternFill>
    </fill>
    <fill>
      <patternFill patternType="solid">
        <fgColor indexed="20"/>
      </patternFill>
    </fill>
  </fills>
  <borders count="119">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8"/>
      </bottom>
      <diagonal/>
    </border>
    <border>
      <left/>
      <right/>
      <top/>
      <bottom style="thick">
        <color indexed="22"/>
      </bottom>
      <diagonal/>
    </border>
    <border>
      <left/>
      <right/>
      <top/>
      <bottom style="medium">
        <color indexed="24"/>
      </bottom>
      <diagonal/>
    </border>
    <border>
      <left/>
      <right/>
      <top/>
      <bottom style="double">
        <color indexed="5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style="thin">
        <color indexed="64"/>
      </left>
      <right style="thin">
        <color indexed="64"/>
      </right>
      <top style="thin">
        <color indexed="64"/>
      </top>
      <bottom style="thin">
        <color indexed="64"/>
      </bottom>
      <diagonal/>
    </border>
    <border>
      <left/>
      <right/>
      <top style="thin">
        <color indexed="48"/>
      </top>
      <bottom style="double">
        <color indexed="48"/>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style="double">
        <color indexed="64"/>
      </top>
      <bottom style="thin">
        <color indexed="64"/>
      </bottom>
      <diagonal/>
    </border>
    <border>
      <left/>
      <right/>
      <top style="thin">
        <color indexed="64"/>
      </top>
      <bottom/>
      <diagonal/>
    </border>
    <border>
      <left style="thin">
        <color indexed="64"/>
      </left>
      <right style="thin">
        <color indexed="64"/>
      </right>
      <top/>
      <bottom style="double">
        <color indexed="64"/>
      </bottom>
      <diagonal/>
    </border>
    <border>
      <left/>
      <right/>
      <top/>
      <bottom style="double">
        <color indexed="64"/>
      </bottom>
      <diagonal/>
    </border>
    <border>
      <left/>
      <right/>
      <top style="double">
        <color indexed="64"/>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top style="medium">
        <color indexed="64"/>
      </top>
      <bottom/>
      <diagonal/>
    </border>
    <border>
      <left/>
      <right style="thin">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top/>
      <bottom/>
      <diagonal/>
    </border>
    <border>
      <left/>
      <right style="thin">
        <color indexed="64"/>
      </right>
      <top/>
      <bottom/>
      <diagonal/>
    </border>
    <border>
      <left/>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right style="thin">
        <color indexed="64"/>
      </right>
      <top style="double">
        <color indexed="64"/>
      </top>
      <bottom style="thin">
        <color indexed="64"/>
      </bottom>
      <diagonal/>
    </border>
    <border>
      <left/>
      <right/>
      <top style="double">
        <color indexed="64"/>
      </top>
      <bottom/>
      <diagonal/>
    </border>
    <border>
      <left style="thin">
        <color indexed="64"/>
      </left>
      <right/>
      <top/>
      <bottom style="medium">
        <color indexed="64"/>
      </bottom>
      <diagonal/>
    </border>
    <border>
      <left style="medium">
        <color indexed="64"/>
      </left>
      <right style="thin">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medium">
        <color indexed="64"/>
      </right>
      <top style="medium">
        <color indexed="64"/>
      </top>
      <bottom/>
      <diagonal/>
    </border>
    <border>
      <left/>
      <right style="medium">
        <color indexed="64"/>
      </right>
      <top style="thin">
        <color indexed="64"/>
      </top>
      <bottom style="thin">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theme="0"/>
      </left>
      <right/>
      <top/>
      <bottom/>
      <diagonal/>
    </border>
    <border>
      <left/>
      <right/>
      <top style="thick">
        <color theme="0"/>
      </top>
      <bottom/>
      <diagonal/>
    </border>
    <border>
      <left style="thin">
        <color theme="0"/>
      </left>
      <right/>
      <top style="thick">
        <color theme="0"/>
      </top>
      <bottom/>
      <diagonal/>
    </border>
    <border>
      <left style="thin">
        <color indexed="18"/>
      </left>
      <right style="thin">
        <color indexed="18"/>
      </right>
      <top style="thin">
        <color indexed="18"/>
      </top>
      <bottom style="thin">
        <color indexed="18"/>
      </bottom>
      <diagonal/>
    </border>
    <border>
      <left style="medium">
        <color indexed="64"/>
      </left>
      <right/>
      <top/>
      <bottom style="thin">
        <color indexed="64"/>
      </bottom>
      <diagonal/>
    </border>
    <border>
      <left style="thin">
        <color rgb="FF000000"/>
      </left>
      <right style="thin">
        <color rgb="FF000000"/>
      </right>
      <top style="thin">
        <color rgb="FF000000"/>
      </top>
      <bottom style="thin">
        <color rgb="FF000000"/>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8"/>
      </left>
      <right style="thin">
        <color indexed="8"/>
      </right>
      <top style="thin">
        <color indexed="8"/>
      </top>
      <bottom style="thin">
        <color indexed="8"/>
      </bottom>
      <diagonal/>
    </border>
    <border>
      <left/>
      <right/>
      <top/>
      <bottom style="thick">
        <color indexed="62"/>
      </bottom>
      <diagonal/>
    </border>
    <border>
      <left/>
      <right/>
      <top/>
      <bottom style="thick">
        <color indexed="58"/>
      </bottom>
      <diagonal/>
    </border>
    <border>
      <left/>
      <right/>
      <top/>
      <bottom style="medium">
        <color indexed="58"/>
      </bottom>
      <diagonal/>
    </border>
    <border>
      <left/>
      <right/>
      <top/>
      <bottom style="medium">
        <color indexed="30"/>
      </bottom>
      <diagonal/>
    </border>
    <border>
      <left/>
      <right/>
      <top/>
      <bottom style="double">
        <color indexed="17"/>
      </bottom>
      <diagonal/>
    </border>
    <border>
      <left/>
      <right/>
      <top/>
      <bottom style="double">
        <color indexed="52"/>
      </bottom>
      <diagonal/>
    </border>
    <border>
      <left style="thin">
        <color indexed="63"/>
      </left>
      <right style="thin">
        <color indexed="63"/>
      </right>
      <top style="thin">
        <color indexed="64"/>
      </top>
      <bottom style="thin">
        <color indexed="63"/>
      </bottom>
      <diagonal/>
    </border>
    <border>
      <left style="thin">
        <color indexed="58"/>
      </left>
      <right style="medium">
        <color indexed="58"/>
      </right>
      <top style="medium">
        <color indexed="58"/>
      </top>
      <bottom style="thin">
        <color indexed="58"/>
      </bottom>
      <diagonal/>
    </border>
    <border>
      <left style="thin">
        <color indexed="54"/>
      </left>
      <right/>
      <top style="thin">
        <color indexed="54"/>
      </top>
      <bottom/>
      <diagonal/>
    </border>
    <border>
      <left/>
      <right/>
      <top style="thin">
        <color indexed="62"/>
      </top>
      <bottom style="double">
        <color indexed="62"/>
      </bottom>
      <diagonal/>
    </border>
    <border>
      <left style="thin">
        <color auto="1"/>
      </left>
      <right style="thin">
        <color auto="1"/>
      </right>
      <top style="thin">
        <color auto="1"/>
      </top>
      <bottom style="thin">
        <color auto="1"/>
      </bottom>
      <diagonal/>
    </border>
    <border>
      <left/>
      <right style="medium">
        <color indexed="64"/>
      </right>
      <top/>
      <bottom/>
      <diagonal/>
    </border>
    <border>
      <left/>
      <right/>
      <top style="thin">
        <color indexed="64"/>
      </top>
      <bottom style="thin">
        <color indexed="64"/>
      </bottom>
      <diagonal/>
    </border>
    <border>
      <left/>
      <right style="thin">
        <color indexed="64"/>
      </right>
      <top style="thin">
        <color indexed="64"/>
      </top>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medium">
        <color indexed="64"/>
      </left>
      <right style="medium">
        <color indexed="64"/>
      </right>
      <top style="thin">
        <color auto="1"/>
      </top>
      <bottom style="thin">
        <color auto="1"/>
      </bottom>
      <diagonal/>
    </border>
    <border>
      <left/>
      <right/>
      <top style="thin">
        <color indexed="64"/>
      </top>
      <bottom/>
      <diagonal/>
    </border>
    <border>
      <left style="medium">
        <color indexed="64"/>
      </left>
      <right style="medium">
        <color indexed="64"/>
      </right>
      <top style="thin">
        <color indexed="64"/>
      </top>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48"/>
      </left>
      <right style="thin">
        <color indexed="48"/>
      </right>
      <top style="thin">
        <color indexed="48"/>
      </top>
      <bottom style="thin">
        <color indexed="48"/>
      </bottom>
      <diagonal/>
    </border>
    <border>
      <left/>
      <right/>
      <top style="thin">
        <color indexed="48"/>
      </top>
      <bottom style="double">
        <color indexed="48"/>
      </bottom>
      <diagonal/>
    </border>
    <border>
      <left style="thin">
        <color indexed="18"/>
      </left>
      <right style="thin">
        <color indexed="18"/>
      </right>
      <top style="thin">
        <color indexed="18"/>
      </top>
      <bottom style="thin">
        <color indexed="18"/>
      </bottom>
      <diagonal/>
    </border>
    <border>
      <left style="thin">
        <color indexed="8"/>
      </left>
      <right style="thin">
        <color indexed="8"/>
      </right>
      <top style="thin">
        <color indexed="8"/>
      </top>
      <bottom style="thin">
        <color indexed="8"/>
      </bottom>
      <diagonal/>
    </border>
    <border>
      <left style="thin">
        <color indexed="63"/>
      </left>
      <right style="thin">
        <color indexed="63"/>
      </right>
      <top style="thin">
        <color indexed="64"/>
      </top>
      <bottom style="thin">
        <color indexed="63"/>
      </bottom>
      <diagonal/>
    </border>
    <border>
      <left style="thin">
        <color indexed="54"/>
      </left>
      <right/>
      <top style="thin">
        <color indexed="54"/>
      </top>
      <bottom/>
      <diagonal/>
    </border>
    <border>
      <left/>
      <right/>
      <top style="thin">
        <color indexed="62"/>
      </top>
      <bottom style="double">
        <color indexed="62"/>
      </bottom>
      <diagonal/>
    </border>
    <border>
      <left style="thin">
        <color auto="1"/>
      </left>
      <right style="thin">
        <color auto="1"/>
      </right>
      <top style="thin">
        <color auto="1"/>
      </top>
      <bottom style="thin">
        <color auto="1"/>
      </bottom>
      <diagonal/>
    </border>
    <border>
      <left style="medium">
        <color indexed="64"/>
      </left>
      <right style="medium">
        <color indexed="64"/>
      </right>
      <top style="thin">
        <color indexed="64"/>
      </top>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s>
  <cellStyleXfs count="5686">
    <xf numFmtId="175" fontId="0" fillId="0" borderId="0"/>
    <xf numFmtId="175" fontId="20" fillId="2" borderId="0" applyNumberFormat="0" applyBorder="0" applyAlignment="0" applyProtection="0"/>
    <xf numFmtId="175" fontId="20" fillId="3" borderId="0" applyNumberFormat="0" applyBorder="0" applyAlignment="0" applyProtection="0"/>
    <xf numFmtId="175" fontId="20" fillId="4" borderId="0" applyNumberFormat="0" applyBorder="0" applyAlignment="0" applyProtection="0"/>
    <xf numFmtId="175" fontId="20" fillId="5" borderId="0" applyNumberFormat="0" applyBorder="0" applyAlignment="0" applyProtection="0"/>
    <xf numFmtId="175" fontId="20" fillId="6" borderId="0" applyNumberFormat="0" applyBorder="0" applyAlignment="0" applyProtection="0"/>
    <xf numFmtId="175" fontId="20" fillId="7" borderId="0" applyNumberFormat="0" applyBorder="0" applyAlignment="0" applyProtection="0"/>
    <xf numFmtId="175" fontId="20" fillId="8" borderId="0" applyNumberFormat="0" applyBorder="0" applyAlignment="0" applyProtection="0"/>
    <xf numFmtId="175" fontId="20" fillId="3" borderId="0" applyNumberFormat="0" applyBorder="0" applyAlignment="0" applyProtection="0"/>
    <xf numFmtId="175" fontId="20" fillId="9" borderId="0" applyNumberFormat="0" applyBorder="0" applyAlignment="0" applyProtection="0"/>
    <xf numFmtId="175" fontId="20" fillId="10" borderId="0" applyNumberFormat="0" applyBorder="0" applyAlignment="0" applyProtection="0"/>
    <xf numFmtId="175" fontId="20" fillId="8" borderId="0" applyNumberFormat="0" applyBorder="0" applyAlignment="0" applyProtection="0"/>
    <xf numFmtId="175" fontId="20" fillId="11" borderId="0" applyNumberFormat="0" applyBorder="0" applyAlignment="0" applyProtection="0"/>
    <xf numFmtId="175" fontId="21" fillId="8" borderId="0" applyNumberFormat="0" applyBorder="0" applyAlignment="0" applyProtection="0"/>
    <xf numFmtId="175" fontId="21" fillId="3" borderId="0" applyNumberFormat="0" applyBorder="0" applyAlignment="0" applyProtection="0"/>
    <xf numFmtId="175" fontId="21" fillId="9" borderId="0" applyNumberFormat="0" applyBorder="0" applyAlignment="0" applyProtection="0"/>
    <xf numFmtId="175" fontId="21" fillId="10" borderId="0" applyNumberFormat="0" applyBorder="0" applyAlignment="0" applyProtection="0"/>
    <xf numFmtId="175" fontId="21" fillId="8" borderId="0" applyNumberFormat="0" applyBorder="0" applyAlignment="0" applyProtection="0"/>
    <xf numFmtId="175" fontId="21" fillId="11" borderId="0" applyNumberFormat="0" applyBorder="0" applyAlignment="0" applyProtection="0"/>
    <xf numFmtId="175" fontId="22" fillId="12" borderId="0" applyNumberFormat="0" applyBorder="0" applyAlignment="0" applyProtection="0"/>
    <xf numFmtId="175" fontId="23" fillId="13" borderId="0" applyNumberFormat="0" applyBorder="0" applyAlignment="0" applyProtection="0"/>
    <xf numFmtId="175" fontId="23" fillId="14" borderId="0" applyNumberFormat="0" applyBorder="0" applyAlignment="0" applyProtection="0"/>
    <xf numFmtId="175" fontId="22" fillId="15" borderId="0" applyNumberFormat="0" applyBorder="0" applyAlignment="0" applyProtection="0"/>
    <xf numFmtId="175" fontId="22" fillId="16" borderId="0" applyNumberFormat="0" applyBorder="0" applyAlignment="0" applyProtection="0"/>
    <xf numFmtId="175" fontId="23" fillId="17" borderId="0" applyNumberFormat="0" applyBorder="0" applyAlignment="0" applyProtection="0"/>
    <xf numFmtId="175" fontId="23" fillId="18" borderId="0" applyNumberFormat="0" applyBorder="0" applyAlignment="0" applyProtection="0"/>
    <xf numFmtId="175" fontId="22" fillId="19" borderId="0" applyNumberFormat="0" applyBorder="0" applyAlignment="0" applyProtection="0"/>
    <xf numFmtId="175" fontId="22" fillId="19" borderId="0" applyNumberFormat="0" applyBorder="0" applyAlignment="0" applyProtection="0"/>
    <xf numFmtId="175" fontId="23" fillId="20" borderId="0" applyNumberFormat="0" applyBorder="0" applyAlignment="0" applyProtection="0"/>
    <xf numFmtId="175" fontId="23" fillId="21" borderId="0" applyNumberFormat="0" applyBorder="0" applyAlignment="0" applyProtection="0"/>
    <xf numFmtId="175" fontId="22" fillId="22" borderId="0" applyNumberFormat="0" applyBorder="0" applyAlignment="0" applyProtection="0"/>
    <xf numFmtId="175" fontId="22" fillId="23" borderId="0" applyNumberFormat="0" applyBorder="0" applyAlignment="0" applyProtection="0"/>
    <xf numFmtId="175" fontId="23" fillId="21" borderId="0" applyNumberFormat="0" applyBorder="0" applyAlignment="0" applyProtection="0"/>
    <xf numFmtId="175" fontId="23" fillId="22" borderId="0" applyNumberFormat="0" applyBorder="0" applyAlignment="0" applyProtection="0"/>
    <xf numFmtId="175" fontId="22" fillId="22" borderId="0" applyNumberFormat="0" applyBorder="0" applyAlignment="0" applyProtection="0"/>
    <xf numFmtId="175" fontId="22" fillId="24" borderId="0" applyNumberFormat="0" applyBorder="0" applyAlignment="0" applyProtection="0"/>
    <xf numFmtId="175" fontId="23" fillId="13" borderId="0" applyNumberFormat="0" applyBorder="0" applyAlignment="0" applyProtection="0"/>
    <xf numFmtId="175" fontId="23" fillId="14" borderId="0" applyNumberFormat="0" applyBorder="0" applyAlignment="0" applyProtection="0"/>
    <xf numFmtId="175" fontId="22" fillId="14" borderId="0" applyNumberFormat="0" applyBorder="0" applyAlignment="0" applyProtection="0"/>
    <xf numFmtId="175" fontId="22" fillId="25" borderId="0" applyNumberFormat="0" applyBorder="0" applyAlignment="0" applyProtection="0"/>
    <xf numFmtId="175" fontId="23" fillId="26" borderId="0" applyNumberFormat="0" applyBorder="0" applyAlignment="0" applyProtection="0"/>
    <xf numFmtId="175" fontId="23" fillId="18" borderId="0" applyNumberFormat="0" applyBorder="0" applyAlignment="0" applyProtection="0"/>
    <xf numFmtId="175" fontId="22" fillId="27" borderId="0" applyNumberFormat="0" applyBorder="0" applyAlignment="0" applyProtection="0"/>
    <xf numFmtId="175" fontId="24" fillId="18" borderId="0" applyNumberFormat="0" applyBorder="0" applyAlignment="0" applyProtection="0"/>
    <xf numFmtId="175" fontId="25" fillId="28" borderId="1" applyNumberFormat="0" applyAlignment="0" applyProtection="0"/>
    <xf numFmtId="175" fontId="26" fillId="19" borderId="2" applyNumberFormat="0" applyAlignment="0" applyProtection="0"/>
    <xf numFmtId="43" fontId="16" fillId="0" borderId="0" applyFont="0" applyFill="0" applyBorder="0" applyAlignment="0" applyProtection="0"/>
    <xf numFmtId="43" fontId="51" fillId="0" borderId="0" applyFont="0" applyFill="0" applyBorder="0" applyAlignment="0" applyProtection="0"/>
    <xf numFmtId="43" fontId="16" fillId="0" borderId="0" applyFont="0" applyFill="0" applyBorder="0" applyAlignment="0" applyProtection="0"/>
    <xf numFmtId="44" fontId="51" fillId="0" borderId="0" applyFont="0" applyFill="0" applyBorder="0" applyAlignment="0" applyProtection="0"/>
    <xf numFmtId="44" fontId="16" fillId="0" borderId="0" applyFont="0" applyFill="0" applyBorder="0" applyAlignment="0" applyProtection="0"/>
    <xf numFmtId="44" fontId="52" fillId="0" borderId="0" applyFont="0" applyFill="0" applyBorder="0" applyAlignment="0" applyProtection="0"/>
    <xf numFmtId="44" fontId="16" fillId="0" borderId="0" applyFont="0" applyFill="0" applyBorder="0" applyAlignment="0" applyProtection="0"/>
    <xf numFmtId="44" fontId="52" fillId="0" borderId="0" applyFont="0" applyFill="0" applyBorder="0" applyAlignment="0" applyProtection="0"/>
    <xf numFmtId="175" fontId="27" fillId="29" borderId="0" applyNumberFormat="0" applyBorder="0" applyAlignment="0" applyProtection="0"/>
    <xf numFmtId="175" fontId="27" fillId="30" borderId="0" applyNumberFormat="0" applyBorder="0" applyAlignment="0" applyProtection="0"/>
    <xf numFmtId="175" fontId="27" fillId="31" borderId="0" applyNumberFormat="0" applyBorder="0" applyAlignment="0" applyProtection="0"/>
    <xf numFmtId="175" fontId="28" fillId="0" borderId="0" applyNumberFormat="0" applyFill="0" applyBorder="0" applyAlignment="0" applyProtection="0"/>
    <xf numFmtId="175" fontId="29" fillId="32" borderId="0" applyNumberFormat="0" applyBorder="0" applyAlignment="0" applyProtection="0"/>
    <xf numFmtId="175" fontId="30" fillId="0" borderId="3" applyNumberFormat="0" applyFill="0" applyAlignment="0" applyProtection="0"/>
    <xf numFmtId="175" fontId="31" fillId="0" borderId="4" applyNumberFormat="0" applyFill="0" applyAlignment="0" applyProtection="0"/>
    <xf numFmtId="175" fontId="32" fillId="0" borderId="5" applyNumberFormat="0" applyFill="0" applyAlignment="0" applyProtection="0"/>
    <xf numFmtId="175" fontId="32" fillId="0" borderId="0" applyNumberFormat="0" applyFill="0" applyBorder="0" applyAlignment="0" applyProtection="0"/>
    <xf numFmtId="175" fontId="33" fillId="27" borderId="1" applyNumberFormat="0" applyAlignment="0" applyProtection="0"/>
    <xf numFmtId="175" fontId="34" fillId="0" borderId="6" applyNumberFormat="0" applyFill="0" applyAlignment="0" applyProtection="0"/>
    <xf numFmtId="175" fontId="35" fillId="27" borderId="0" applyNumberFormat="0" applyBorder="0" applyAlignment="0" applyProtection="0"/>
    <xf numFmtId="175" fontId="16" fillId="0" borderId="0"/>
    <xf numFmtId="175" fontId="18" fillId="0" borderId="0"/>
    <xf numFmtId="175" fontId="16" fillId="26" borderId="7" applyNumberFormat="0" applyFont="0" applyAlignment="0" applyProtection="0"/>
    <xf numFmtId="175" fontId="36" fillId="28" borderId="8" applyNumberFormat="0" applyAlignment="0" applyProtection="0"/>
    <xf numFmtId="9" fontId="51" fillId="0" borderId="0" applyFont="0" applyFill="0" applyBorder="0" applyAlignment="0" applyProtection="0"/>
    <xf numFmtId="9" fontId="16" fillId="0" borderId="0" applyFont="0" applyFill="0" applyBorder="0" applyAlignment="0" applyProtection="0"/>
    <xf numFmtId="4" fontId="37" fillId="33" borderId="9" applyNumberFormat="0" applyProtection="0">
      <alignment vertical="center"/>
    </xf>
    <xf numFmtId="4" fontId="38" fillId="33" borderId="9" applyNumberFormat="0" applyProtection="0">
      <alignment vertical="center"/>
    </xf>
    <xf numFmtId="4" fontId="37" fillId="33" borderId="9" applyNumberFormat="0" applyProtection="0">
      <alignment horizontal="left" vertical="center" indent="1"/>
    </xf>
    <xf numFmtId="175" fontId="37" fillId="33" borderId="9" applyNumberFormat="0" applyProtection="0">
      <alignment horizontal="left" vertical="top" indent="1"/>
    </xf>
    <xf numFmtId="4" fontId="37" fillId="2" borderId="0" applyNumberFormat="0" applyProtection="0">
      <alignment horizontal="left" vertical="center" indent="1"/>
    </xf>
    <xf numFmtId="4" fontId="20" fillId="7" borderId="9" applyNumberFormat="0" applyProtection="0">
      <alignment horizontal="right" vertical="center"/>
    </xf>
    <xf numFmtId="4" fontId="20" fillId="3" borderId="9" applyNumberFormat="0" applyProtection="0">
      <alignment horizontal="right" vertical="center"/>
    </xf>
    <xf numFmtId="4" fontId="20" fillId="34" borderId="9" applyNumberFormat="0" applyProtection="0">
      <alignment horizontal="right" vertical="center"/>
    </xf>
    <xf numFmtId="4" fontId="20" fillId="35" borderId="9" applyNumberFormat="0" applyProtection="0">
      <alignment horizontal="right" vertical="center"/>
    </xf>
    <xf numFmtId="4" fontId="20" fillId="36" borderId="9" applyNumberFormat="0" applyProtection="0">
      <alignment horizontal="right" vertical="center"/>
    </xf>
    <xf numFmtId="4" fontId="20" fillId="37" borderId="9" applyNumberFormat="0" applyProtection="0">
      <alignment horizontal="right" vertical="center"/>
    </xf>
    <xf numFmtId="4" fontId="20" fillId="9" borderId="9" applyNumberFormat="0" applyProtection="0">
      <alignment horizontal="right" vertical="center"/>
    </xf>
    <xf numFmtId="4" fontId="20" fillId="38" borderId="9" applyNumberFormat="0" applyProtection="0">
      <alignment horizontal="right" vertical="center"/>
    </xf>
    <xf numFmtId="4" fontId="20" fillId="39" borderId="9" applyNumberFormat="0" applyProtection="0">
      <alignment horizontal="right" vertical="center"/>
    </xf>
    <xf numFmtId="4" fontId="37" fillId="40" borderId="10" applyNumberFormat="0" applyProtection="0">
      <alignment horizontal="left" vertical="center" indent="1"/>
    </xf>
    <xf numFmtId="4" fontId="20" fillId="41" borderId="0" applyNumberFormat="0" applyProtection="0">
      <alignment horizontal="left" vertical="center" indent="1"/>
    </xf>
    <xf numFmtId="4" fontId="39" fillId="8" borderId="0" applyNumberFormat="0" applyProtection="0">
      <alignment horizontal="left" vertical="center" indent="1"/>
    </xf>
    <xf numFmtId="4" fontId="20" fillId="2" borderId="9" applyNumberFormat="0" applyProtection="0">
      <alignment horizontal="right" vertical="center"/>
    </xf>
    <xf numFmtId="4" fontId="18" fillId="41" borderId="0" applyNumberFormat="0" applyProtection="0">
      <alignment horizontal="left" vertical="center" indent="1"/>
    </xf>
    <xf numFmtId="4" fontId="18" fillId="2" borderId="0" applyNumberFormat="0" applyProtection="0">
      <alignment horizontal="left" vertical="center" indent="1"/>
    </xf>
    <xf numFmtId="175" fontId="16" fillId="8" borderId="9" applyNumberFormat="0" applyProtection="0">
      <alignment horizontal="left" vertical="center" indent="1"/>
    </xf>
    <xf numFmtId="175" fontId="16" fillId="8" borderId="9" applyNumberFormat="0" applyProtection="0">
      <alignment horizontal="left" vertical="top" indent="1"/>
    </xf>
    <xf numFmtId="175" fontId="16" fillId="2" borderId="9" applyNumberFormat="0" applyProtection="0">
      <alignment horizontal="left" vertical="center" indent="1"/>
    </xf>
    <xf numFmtId="175" fontId="16" fillId="2" borderId="9" applyNumberFormat="0" applyProtection="0">
      <alignment horizontal="left" vertical="top" indent="1"/>
    </xf>
    <xf numFmtId="175" fontId="16" fillId="6" borderId="9" applyNumberFormat="0" applyProtection="0">
      <alignment horizontal="left" vertical="center" indent="1"/>
    </xf>
    <xf numFmtId="175" fontId="16" fillId="6" borderId="9" applyNumberFormat="0" applyProtection="0">
      <alignment horizontal="left" vertical="top" indent="1"/>
    </xf>
    <xf numFmtId="175" fontId="16" fillId="41" borderId="9" applyNumberFormat="0" applyProtection="0">
      <alignment horizontal="left" vertical="center" indent="1"/>
    </xf>
    <xf numFmtId="175" fontId="16" fillId="41" borderId="9" applyNumberFormat="0" applyProtection="0">
      <alignment horizontal="left" vertical="top" indent="1"/>
    </xf>
    <xf numFmtId="175" fontId="16" fillId="5" borderId="11" applyNumberFormat="0">
      <protection locked="0"/>
    </xf>
    <xf numFmtId="4" fontId="20" fillId="4" borderId="9" applyNumberFormat="0" applyProtection="0">
      <alignment vertical="center"/>
    </xf>
    <xf numFmtId="4" fontId="40" fillId="4" borderId="9" applyNumberFormat="0" applyProtection="0">
      <alignment vertical="center"/>
    </xf>
    <xf numFmtId="4" fontId="20" fillId="4" borderId="9" applyNumberFormat="0" applyProtection="0">
      <alignment horizontal="left" vertical="center" indent="1"/>
    </xf>
    <xf numFmtId="175" fontId="20" fillId="4" borderId="9" applyNumberFormat="0" applyProtection="0">
      <alignment horizontal="left" vertical="top" indent="1"/>
    </xf>
    <xf numFmtId="4" fontId="20" fillId="41" borderId="9" applyNumberFormat="0" applyProtection="0">
      <alignment horizontal="right" vertical="center"/>
    </xf>
    <xf numFmtId="4" fontId="40" fillId="41" borderId="9" applyNumberFormat="0" applyProtection="0">
      <alignment horizontal="right" vertical="center"/>
    </xf>
    <xf numFmtId="4" fontId="20" fillId="2" borderId="9" applyNumberFormat="0" applyProtection="0">
      <alignment horizontal="left" vertical="center" indent="1"/>
    </xf>
    <xf numFmtId="175" fontId="20" fillId="2" borderId="9" applyNumberFormat="0" applyProtection="0">
      <alignment horizontal="left" vertical="top" indent="1"/>
    </xf>
    <xf numFmtId="4" fontId="41" fillId="42" borderId="0" applyNumberFormat="0" applyProtection="0">
      <alignment horizontal="left" vertical="center" indent="1"/>
    </xf>
    <xf numFmtId="4" fontId="42" fillId="41" borderId="9" applyNumberFormat="0" applyProtection="0">
      <alignment horizontal="right" vertical="center"/>
    </xf>
    <xf numFmtId="175" fontId="43" fillId="0" borderId="0" applyNumberFormat="0" applyFill="0" applyBorder="0" applyAlignment="0" applyProtection="0"/>
    <xf numFmtId="175" fontId="43" fillId="0" borderId="0" applyNumberFormat="0" applyFill="0" applyBorder="0" applyAlignment="0" applyProtection="0"/>
    <xf numFmtId="175" fontId="27" fillId="0" borderId="12" applyNumberFormat="0" applyFill="0" applyAlignment="0" applyProtection="0"/>
    <xf numFmtId="175" fontId="44" fillId="0" borderId="0" applyNumberFormat="0" applyFill="0" applyBorder="0" applyAlignment="0" applyProtection="0"/>
    <xf numFmtId="175" fontId="18" fillId="2" borderId="0" applyNumberFormat="0" applyBorder="0" applyAlignment="0" applyProtection="0"/>
    <xf numFmtId="175" fontId="18" fillId="3" borderId="0" applyNumberFormat="0" applyBorder="0" applyAlignment="0" applyProtection="0"/>
    <xf numFmtId="175" fontId="18" fillId="4" borderId="0" applyNumberFormat="0" applyBorder="0" applyAlignment="0" applyProtection="0"/>
    <xf numFmtId="175" fontId="18" fillId="5" borderId="0" applyNumberFormat="0" applyBorder="0" applyAlignment="0" applyProtection="0"/>
    <xf numFmtId="175" fontId="18" fillId="6" borderId="0" applyNumberFormat="0" applyBorder="0" applyAlignment="0" applyProtection="0"/>
    <xf numFmtId="175" fontId="18" fillId="7" borderId="0" applyNumberFormat="0" applyBorder="0" applyAlignment="0" applyProtection="0"/>
    <xf numFmtId="175" fontId="18" fillId="8" borderId="0" applyNumberFormat="0" applyBorder="0" applyAlignment="0" applyProtection="0"/>
    <xf numFmtId="175" fontId="18" fillId="3" borderId="0" applyNumberFormat="0" applyBorder="0" applyAlignment="0" applyProtection="0"/>
    <xf numFmtId="175" fontId="18" fillId="9" borderId="0" applyNumberFormat="0" applyBorder="0" applyAlignment="0" applyProtection="0"/>
    <xf numFmtId="175" fontId="18" fillId="10" borderId="0" applyNumberFormat="0" applyBorder="0" applyAlignment="0" applyProtection="0"/>
    <xf numFmtId="175" fontId="18" fillId="8" borderId="0" applyNumberFormat="0" applyBorder="0" applyAlignment="0" applyProtection="0"/>
    <xf numFmtId="175" fontId="18" fillId="11" borderId="0" applyNumberFormat="0" applyBorder="0" applyAlignment="0" applyProtection="0"/>
    <xf numFmtId="44" fontId="16" fillId="0" borderId="0" applyFont="0" applyFill="0" applyBorder="0" applyAlignment="0" applyProtection="0"/>
    <xf numFmtId="4" fontId="18" fillId="7" borderId="9" applyNumberFormat="0" applyProtection="0">
      <alignment horizontal="right" vertical="center"/>
    </xf>
    <xf numFmtId="4" fontId="18" fillId="3" borderId="9" applyNumberFormat="0" applyProtection="0">
      <alignment horizontal="right" vertical="center"/>
    </xf>
    <xf numFmtId="4" fontId="18" fillId="34" borderId="9" applyNumberFormat="0" applyProtection="0">
      <alignment horizontal="right" vertical="center"/>
    </xf>
    <xf numFmtId="4" fontId="18" fillId="35" borderId="9" applyNumberFormat="0" applyProtection="0">
      <alignment horizontal="right" vertical="center"/>
    </xf>
    <xf numFmtId="4" fontId="18" fillId="36" borderId="9" applyNumberFormat="0" applyProtection="0">
      <alignment horizontal="right" vertical="center"/>
    </xf>
    <xf numFmtId="4" fontId="18" fillId="37" borderId="9" applyNumberFormat="0" applyProtection="0">
      <alignment horizontal="right" vertical="center"/>
    </xf>
    <xf numFmtId="4" fontId="18" fillId="9" borderId="9" applyNumberFormat="0" applyProtection="0">
      <alignment horizontal="right" vertical="center"/>
    </xf>
    <xf numFmtId="4" fontId="18" fillId="38" borderId="9" applyNumberFormat="0" applyProtection="0">
      <alignment horizontal="right" vertical="center"/>
    </xf>
    <xf numFmtId="4" fontId="18" fillId="39" borderId="9" applyNumberFormat="0" applyProtection="0">
      <alignment horizontal="right" vertical="center"/>
    </xf>
    <xf numFmtId="4" fontId="18" fillId="41" borderId="0" applyNumberFormat="0" applyProtection="0">
      <alignment horizontal="left" vertical="center" indent="1"/>
    </xf>
    <xf numFmtId="4" fontId="18" fillId="2" borderId="9" applyNumberFormat="0" applyProtection="0">
      <alignment horizontal="right" vertical="center"/>
    </xf>
    <xf numFmtId="4" fontId="18" fillId="4" borderId="9" applyNumberFormat="0" applyProtection="0">
      <alignment vertical="center"/>
    </xf>
    <xf numFmtId="4" fontId="18" fillId="4" borderId="9" applyNumberFormat="0" applyProtection="0">
      <alignment horizontal="left" vertical="center" indent="1"/>
    </xf>
    <xf numFmtId="175" fontId="18" fillId="4" borderId="9" applyNumberFormat="0" applyProtection="0">
      <alignment horizontal="left" vertical="top" indent="1"/>
    </xf>
    <xf numFmtId="4" fontId="18" fillId="41" borderId="9" applyNumberFormat="0" applyProtection="0">
      <alignment horizontal="right" vertical="center"/>
    </xf>
    <xf numFmtId="4" fontId="18" fillId="2" borderId="9" applyNumberFormat="0" applyProtection="0">
      <alignment horizontal="left" vertical="center" indent="1"/>
    </xf>
    <xf numFmtId="175" fontId="18" fillId="2" borderId="9" applyNumberFormat="0" applyProtection="0">
      <alignment horizontal="left" vertical="top" indent="1"/>
    </xf>
    <xf numFmtId="9" fontId="58" fillId="0" borderId="0" applyFont="0" applyFill="0" applyBorder="0" applyAlignment="0" applyProtection="0"/>
    <xf numFmtId="175" fontId="60" fillId="0" borderId="0"/>
    <xf numFmtId="175" fontId="15" fillId="0" borderId="0"/>
    <xf numFmtId="175" fontId="16" fillId="0" borderId="0"/>
    <xf numFmtId="175" fontId="18" fillId="2" borderId="0" applyNumberFormat="0" applyBorder="0" applyAlignment="0" applyProtection="0"/>
    <xf numFmtId="175" fontId="18" fillId="3" borderId="0" applyNumberFormat="0" applyBorder="0" applyAlignment="0" applyProtection="0"/>
    <xf numFmtId="175" fontId="18" fillId="4" borderId="0" applyNumberFormat="0" applyBorder="0" applyAlignment="0" applyProtection="0"/>
    <xf numFmtId="175" fontId="18" fillId="5" borderId="0" applyNumberFormat="0" applyBorder="0" applyAlignment="0" applyProtection="0"/>
    <xf numFmtId="175" fontId="18" fillId="6" borderId="0" applyNumberFormat="0" applyBorder="0" applyAlignment="0" applyProtection="0"/>
    <xf numFmtId="175" fontId="18" fillId="7" borderId="0" applyNumberFormat="0" applyBorder="0" applyAlignment="0" applyProtection="0"/>
    <xf numFmtId="175" fontId="18" fillId="8" borderId="0" applyNumberFormat="0" applyBorder="0" applyAlignment="0" applyProtection="0"/>
    <xf numFmtId="175" fontId="18" fillId="3" borderId="0" applyNumberFormat="0" applyBorder="0" applyAlignment="0" applyProtection="0"/>
    <xf numFmtId="175" fontId="18" fillId="9" borderId="0" applyNumberFormat="0" applyBorder="0" applyAlignment="0" applyProtection="0"/>
    <xf numFmtId="175" fontId="18" fillId="10" borderId="0" applyNumberFormat="0" applyBorder="0" applyAlignment="0" applyProtection="0"/>
    <xf numFmtId="175" fontId="18" fillId="8" borderId="0" applyNumberFormat="0" applyBorder="0" applyAlignment="0" applyProtection="0"/>
    <xf numFmtId="175" fontId="18" fillId="11" borderId="0" applyNumberFormat="0" applyBorder="0" applyAlignment="0" applyProtection="0"/>
    <xf numFmtId="175" fontId="21" fillId="8" borderId="0" applyNumberFormat="0" applyBorder="0" applyAlignment="0" applyProtection="0"/>
    <xf numFmtId="175" fontId="21" fillId="3" borderId="0" applyNumberFormat="0" applyBorder="0" applyAlignment="0" applyProtection="0"/>
    <xf numFmtId="175" fontId="21" fillId="9" borderId="0" applyNumberFormat="0" applyBorder="0" applyAlignment="0" applyProtection="0"/>
    <xf numFmtId="175" fontId="21" fillId="10" borderId="0" applyNumberFormat="0" applyBorder="0" applyAlignment="0" applyProtection="0"/>
    <xf numFmtId="175" fontId="21" fillId="8" borderId="0" applyNumberFormat="0" applyBorder="0" applyAlignment="0" applyProtection="0"/>
    <xf numFmtId="175" fontId="21" fillId="11" borderId="0" applyNumberFormat="0" applyBorder="0" applyAlignment="0" applyProtection="0"/>
    <xf numFmtId="175" fontId="22" fillId="12" borderId="0" applyNumberFormat="0" applyBorder="0" applyAlignment="0" applyProtection="0"/>
    <xf numFmtId="175" fontId="22" fillId="16" borderId="0" applyNumberFormat="0" applyBorder="0" applyAlignment="0" applyProtection="0"/>
    <xf numFmtId="175" fontId="22" fillId="19" borderId="0" applyNumberFormat="0" applyBorder="0" applyAlignment="0" applyProtection="0"/>
    <xf numFmtId="175" fontId="22" fillId="23" borderId="0" applyNumberFormat="0" applyBorder="0" applyAlignment="0" applyProtection="0"/>
    <xf numFmtId="175" fontId="22" fillId="24" borderId="0" applyNumberFormat="0" applyBorder="0" applyAlignment="0" applyProtection="0"/>
    <xf numFmtId="175" fontId="22" fillId="25" borderId="0" applyNumberFormat="0" applyBorder="0" applyAlignment="0" applyProtection="0"/>
    <xf numFmtId="175" fontId="24" fillId="18" borderId="0" applyNumberFormat="0" applyBorder="0" applyAlignment="0" applyProtection="0"/>
    <xf numFmtId="175" fontId="25" fillId="28" borderId="1" applyNumberFormat="0" applyAlignment="0" applyProtection="0"/>
    <xf numFmtId="175" fontId="26" fillId="19" borderId="2" applyNumberFormat="0" applyAlignment="0" applyProtection="0"/>
    <xf numFmtId="43" fontId="16" fillId="0" borderId="0" applyFont="0" applyFill="0" applyBorder="0" applyAlignment="0" applyProtection="0"/>
    <xf numFmtId="175" fontId="28" fillId="0" borderId="0" applyNumberFormat="0" applyFill="0" applyBorder="0" applyAlignment="0" applyProtection="0"/>
    <xf numFmtId="175" fontId="29" fillId="32" borderId="0" applyNumberFormat="0" applyBorder="0" applyAlignment="0" applyProtection="0"/>
    <xf numFmtId="175" fontId="30" fillId="0" borderId="3" applyNumberFormat="0" applyFill="0" applyAlignment="0" applyProtection="0"/>
    <xf numFmtId="175" fontId="31" fillId="0" borderId="4" applyNumberFormat="0" applyFill="0" applyAlignment="0" applyProtection="0"/>
    <xf numFmtId="175" fontId="32" fillId="0" borderId="5" applyNumberFormat="0" applyFill="0" applyAlignment="0" applyProtection="0"/>
    <xf numFmtId="175" fontId="32" fillId="0" borderId="0" applyNumberFormat="0" applyFill="0" applyBorder="0" applyAlignment="0" applyProtection="0"/>
    <xf numFmtId="175" fontId="33" fillId="27" borderId="1" applyNumberFormat="0" applyAlignment="0" applyProtection="0"/>
    <xf numFmtId="175" fontId="34" fillId="0" borderId="6" applyNumberFormat="0" applyFill="0" applyAlignment="0" applyProtection="0"/>
    <xf numFmtId="175" fontId="35" fillId="27" borderId="0" applyNumberFormat="0" applyBorder="0" applyAlignment="0" applyProtection="0"/>
    <xf numFmtId="175" fontId="16" fillId="26" borderId="7" applyNumberFormat="0" applyFont="0" applyAlignment="0" applyProtection="0"/>
    <xf numFmtId="175" fontId="36" fillId="28" borderId="8" applyNumberFormat="0" applyAlignment="0" applyProtection="0"/>
    <xf numFmtId="175" fontId="43" fillId="0" borderId="0" applyNumberFormat="0" applyFill="0" applyBorder="0" applyAlignment="0" applyProtection="0"/>
    <xf numFmtId="175" fontId="27" fillId="0" borderId="12" applyNumberFormat="0" applyFill="0" applyAlignment="0" applyProtection="0"/>
    <xf numFmtId="175" fontId="44" fillId="0" borderId="0" applyNumberFormat="0" applyFill="0" applyBorder="0" applyAlignment="0" applyProtection="0"/>
    <xf numFmtId="9" fontId="16" fillId="0" borderId="0" applyFont="0" applyFill="0" applyBorder="0" applyAlignment="0" applyProtection="0"/>
    <xf numFmtId="175" fontId="16" fillId="0" borderId="0"/>
    <xf numFmtId="175" fontId="14" fillId="0" borderId="0"/>
    <xf numFmtId="175" fontId="61" fillId="0" borderId="0"/>
    <xf numFmtId="175" fontId="18" fillId="2" borderId="0" applyNumberFormat="0" applyBorder="0" applyAlignment="0" applyProtection="0"/>
    <xf numFmtId="175" fontId="18" fillId="3" borderId="0" applyNumberFormat="0" applyBorder="0" applyAlignment="0" applyProtection="0"/>
    <xf numFmtId="175" fontId="18" fillId="4" borderId="0" applyNumberFormat="0" applyBorder="0" applyAlignment="0" applyProtection="0"/>
    <xf numFmtId="175" fontId="18" fillId="5" borderId="0" applyNumberFormat="0" applyBorder="0" applyAlignment="0" applyProtection="0"/>
    <xf numFmtId="175" fontId="18" fillId="6" borderId="0" applyNumberFormat="0" applyBorder="0" applyAlignment="0" applyProtection="0"/>
    <xf numFmtId="175" fontId="18" fillId="7" borderId="0" applyNumberFormat="0" applyBorder="0" applyAlignment="0" applyProtection="0"/>
    <xf numFmtId="175" fontId="18" fillId="8" borderId="0" applyNumberFormat="0" applyBorder="0" applyAlignment="0" applyProtection="0"/>
    <xf numFmtId="175" fontId="18" fillId="3" borderId="0" applyNumberFormat="0" applyBorder="0" applyAlignment="0" applyProtection="0"/>
    <xf numFmtId="175" fontId="18" fillId="9" borderId="0" applyNumberFormat="0" applyBorder="0" applyAlignment="0" applyProtection="0"/>
    <xf numFmtId="175" fontId="18" fillId="10" borderId="0" applyNumberFormat="0" applyBorder="0" applyAlignment="0" applyProtection="0"/>
    <xf numFmtId="175" fontId="18" fillId="8" borderId="0" applyNumberFormat="0" applyBorder="0" applyAlignment="0" applyProtection="0"/>
    <xf numFmtId="175" fontId="18" fillId="11" borderId="0" applyNumberFormat="0" applyBorder="0" applyAlignment="0" applyProtection="0"/>
    <xf numFmtId="175" fontId="21" fillId="8" borderId="0" applyNumberFormat="0" applyBorder="0" applyAlignment="0" applyProtection="0"/>
    <xf numFmtId="175" fontId="21" fillId="3" borderId="0" applyNumberFormat="0" applyBorder="0" applyAlignment="0" applyProtection="0"/>
    <xf numFmtId="175" fontId="21" fillId="9" borderId="0" applyNumberFormat="0" applyBorder="0" applyAlignment="0" applyProtection="0"/>
    <xf numFmtId="175" fontId="21" fillId="10" borderId="0" applyNumberFormat="0" applyBorder="0" applyAlignment="0" applyProtection="0"/>
    <xf numFmtId="175" fontId="21" fillId="8" borderId="0" applyNumberFormat="0" applyBorder="0" applyAlignment="0" applyProtection="0"/>
    <xf numFmtId="175" fontId="21" fillId="11" borderId="0" applyNumberFormat="0" applyBorder="0" applyAlignment="0" applyProtection="0"/>
    <xf numFmtId="175" fontId="22" fillId="12" borderId="0" applyNumberFormat="0" applyBorder="0" applyAlignment="0" applyProtection="0"/>
    <xf numFmtId="175" fontId="22" fillId="16" borderId="0" applyNumberFormat="0" applyBorder="0" applyAlignment="0" applyProtection="0"/>
    <xf numFmtId="175" fontId="22" fillId="19" borderId="0" applyNumberFormat="0" applyBorder="0" applyAlignment="0" applyProtection="0"/>
    <xf numFmtId="175" fontId="22" fillId="23" borderId="0" applyNumberFormat="0" applyBorder="0" applyAlignment="0" applyProtection="0"/>
    <xf numFmtId="175" fontId="22" fillId="24" borderId="0" applyNumberFormat="0" applyBorder="0" applyAlignment="0" applyProtection="0"/>
    <xf numFmtId="175" fontId="22" fillId="25" borderId="0" applyNumberFormat="0" applyBorder="0" applyAlignment="0" applyProtection="0"/>
    <xf numFmtId="175" fontId="24" fillId="18" borderId="0" applyNumberFormat="0" applyBorder="0" applyAlignment="0" applyProtection="0"/>
    <xf numFmtId="175" fontId="25" fillId="28" borderId="1" applyNumberFormat="0" applyAlignment="0" applyProtection="0"/>
    <xf numFmtId="175" fontId="26" fillId="19" borderId="2" applyNumberFormat="0" applyAlignment="0" applyProtection="0"/>
    <xf numFmtId="43" fontId="16" fillId="0" borderId="0" applyFont="0" applyFill="0" applyBorder="0" applyAlignment="0" applyProtection="0"/>
    <xf numFmtId="175" fontId="28" fillId="0" borderId="0" applyNumberFormat="0" applyFill="0" applyBorder="0" applyAlignment="0" applyProtection="0"/>
    <xf numFmtId="175" fontId="29" fillId="32" borderId="0" applyNumberFormat="0" applyBorder="0" applyAlignment="0" applyProtection="0"/>
    <xf numFmtId="175" fontId="30" fillId="0" borderId="3" applyNumberFormat="0" applyFill="0" applyAlignment="0" applyProtection="0"/>
    <xf numFmtId="175" fontId="31" fillId="0" borderId="4" applyNumberFormat="0" applyFill="0" applyAlignment="0" applyProtection="0"/>
    <xf numFmtId="175" fontId="32" fillId="0" borderId="5" applyNumberFormat="0" applyFill="0" applyAlignment="0" applyProtection="0"/>
    <xf numFmtId="175" fontId="32" fillId="0" borderId="0" applyNumberFormat="0" applyFill="0" applyBorder="0" applyAlignment="0" applyProtection="0"/>
    <xf numFmtId="175" fontId="33" fillId="27" borderId="1" applyNumberFormat="0" applyAlignment="0" applyProtection="0"/>
    <xf numFmtId="175" fontId="34" fillId="0" borderId="6" applyNumberFormat="0" applyFill="0" applyAlignment="0" applyProtection="0"/>
    <xf numFmtId="175" fontId="35" fillId="27" borderId="0" applyNumberFormat="0" applyBorder="0" applyAlignment="0" applyProtection="0"/>
    <xf numFmtId="175" fontId="16" fillId="26" borderId="7" applyNumberFormat="0" applyFont="0" applyAlignment="0" applyProtection="0"/>
    <xf numFmtId="175" fontId="36" fillId="28" borderId="8" applyNumberFormat="0" applyAlignment="0" applyProtection="0"/>
    <xf numFmtId="175" fontId="43" fillId="0" borderId="0" applyNumberFormat="0" applyFill="0" applyBorder="0" applyAlignment="0" applyProtection="0"/>
    <xf numFmtId="175" fontId="27" fillId="0" borderId="12" applyNumberFormat="0" applyFill="0" applyAlignment="0" applyProtection="0"/>
    <xf numFmtId="175" fontId="44" fillId="0" borderId="0" applyNumberFormat="0" applyFill="0" applyBorder="0" applyAlignment="0" applyProtection="0"/>
    <xf numFmtId="9" fontId="16" fillId="0" borderId="0" applyFont="0" applyFill="0" applyBorder="0" applyAlignment="0" applyProtection="0"/>
    <xf numFmtId="175" fontId="14" fillId="0" borderId="0"/>
    <xf numFmtId="175" fontId="13" fillId="0" borderId="0"/>
    <xf numFmtId="175" fontId="16" fillId="0" borderId="0"/>
    <xf numFmtId="175" fontId="18" fillId="2" borderId="0" applyNumberFormat="0" applyBorder="0" applyAlignment="0" applyProtection="0"/>
    <xf numFmtId="175" fontId="18" fillId="3" borderId="0" applyNumberFormat="0" applyBorder="0" applyAlignment="0" applyProtection="0"/>
    <xf numFmtId="175" fontId="18" fillId="4" borderId="0" applyNumberFormat="0" applyBorder="0" applyAlignment="0" applyProtection="0"/>
    <xf numFmtId="175" fontId="18" fillId="5" borderId="0" applyNumberFormat="0" applyBorder="0" applyAlignment="0" applyProtection="0"/>
    <xf numFmtId="175" fontId="18" fillId="6" borderId="0" applyNumberFormat="0" applyBorder="0" applyAlignment="0" applyProtection="0"/>
    <xf numFmtId="175" fontId="18" fillId="7" borderId="0" applyNumberFormat="0" applyBorder="0" applyAlignment="0" applyProtection="0"/>
    <xf numFmtId="175" fontId="18" fillId="8" borderId="0" applyNumberFormat="0" applyBorder="0" applyAlignment="0" applyProtection="0"/>
    <xf numFmtId="175" fontId="18" fillId="3" borderId="0" applyNumberFormat="0" applyBorder="0" applyAlignment="0" applyProtection="0"/>
    <xf numFmtId="175" fontId="18" fillId="9" borderId="0" applyNumberFormat="0" applyBorder="0" applyAlignment="0" applyProtection="0"/>
    <xf numFmtId="175" fontId="18" fillId="10" borderId="0" applyNumberFormat="0" applyBorder="0" applyAlignment="0" applyProtection="0"/>
    <xf numFmtId="175" fontId="18" fillId="8" borderId="0" applyNumberFormat="0" applyBorder="0" applyAlignment="0" applyProtection="0"/>
    <xf numFmtId="175" fontId="18" fillId="11" borderId="0" applyNumberFormat="0" applyBorder="0" applyAlignment="0" applyProtection="0"/>
    <xf numFmtId="175" fontId="21" fillId="8" borderId="0" applyNumberFormat="0" applyBorder="0" applyAlignment="0" applyProtection="0"/>
    <xf numFmtId="175" fontId="21" fillId="3" borderId="0" applyNumberFormat="0" applyBorder="0" applyAlignment="0" applyProtection="0"/>
    <xf numFmtId="175" fontId="21" fillId="9" borderId="0" applyNumberFormat="0" applyBorder="0" applyAlignment="0" applyProtection="0"/>
    <xf numFmtId="175" fontId="21" fillId="10" borderId="0" applyNumberFormat="0" applyBorder="0" applyAlignment="0" applyProtection="0"/>
    <xf numFmtId="175" fontId="21" fillId="8" borderId="0" applyNumberFormat="0" applyBorder="0" applyAlignment="0" applyProtection="0"/>
    <xf numFmtId="175" fontId="21" fillId="11" borderId="0" applyNumberFormat="0" applyBorder="0" applyAlignment="0" applyProtection="0"/>
    <xf numFmtId="175" fontId="22" fillId="12" borderId="0" applyNumberFormat="0" applyBorder="0" applyAlignment="0" applyProtection="0"/>
    <xf numFmtId="175" fontId="22" fillId="16" borderId="0" applyNumberFormat="0" applyBorder="0" applyAlignment="0" applyProtection="0"/>
    <xf numFmtId="175" fontId="22" fillId="19" borderId="0" applyNumberFormat="0" applyBorder="0" applyAlignment="0" applyProtection="0"/>
    <xf numFmtId="175" fontId="22" fillId="23" borderId="0" applyNumberFormat="0" applyBorder="0" applyAlignment="0" applyProtection="0"/>
    <xf numFmtId="175" fontId="22" fillId="24" borderId="0" applyNumberFormat="0" applyBorder="0" applyAlignment="0" applyProtection="0"/>
    <xf numFmtId="175" fontId="22" fillId="25" borderId="0" applyNumberFormat="0" applyBorder="0" applyAlignment="0" applyProtection="0"/>
    <xf numFmtId="175" fontId="24" fillId="18" borderId="0" applyNumberFormat="0" applyBorder="0" applyAlignment="0" applyProtection="0"/>
    <xf numFmtId="175" fontId="25" fillId="28" borderId="1" applyNumberFormat="0" applyAlignment="0" applyProtection="0"/>
    <xf numFmtId="175" fontId="26" fillId="19" borderId="2" applyNumberFormat="0" applyAlignment="0" applyProtection="0"/>
    <xf numFmtId="43" fontId="16" fillId="0" borderId="0" applyFont="0" applyFill="0" applyBorder="0" applyAlignment="0" applyProtection="0"/>
    <xf numFmtId="175" fontId="28" fillId="0" borderId="0" applyNumberFormat="0" applyFill="0" applyBorder="0" applyAlignment="0" applyProtection="0"/>
    <xf numFmtId="175" fontId="29" fillId="32" borderId="0" applyNumberFormat="0" applyBorder="0" applyAlignment="0" applyProtection="0"/>
    <xf numFmtId="175" fontId="30" fillId="0" borderId="3" applyNumberFormat="0" applyFill="0" applyAlignment="0" applyProtection="0"/>
    <xf numFmtId="175" fontId="31" fillId="0" borderId="4" applyNumberFormat="0" applyFill="0" applyAlignment="0" applyProtection="0"/>
    <xf numFmtId="175" fontId="32" fillId="0" borderId="5" applyNumberFormat="0" applyFill="0" applyAlignment="0" applyProtection="0"/>
    <xf numFmtId="175" fontId="32" fillId="0" borderId="0" applyNumberFormat="0" applyFill="0" applyBorder="0" applyAlignment="0" applyProtection="0"/>
    <xf numFmtId="175" fontId="33" fillId="27" borderId="1" applyNumberFormat="0" applyAlignment="0" applyProtection="0"/>
    <xf numFmtId="175" fontId="34" fillId="0" borderId="6" applyNumberFormat="0" applyFill="0" applyAlignment="0" applyProtection="0"/>
    <xf numFmtId="175" fontId="35" fillId="27" borderId="0" applyNumberFormat="0" applyBorder="0" applyAlignment="0" applyProtection="0"/>
    <xf numFmtId="175" fontId="16" fillId="26" borderId="7" applyNumberFormat="0" applyFont="0" applyAlignment="0" applyProtection="0"/>
    <xf numFmtId="175" fontId="36" fillId="28" borderId="8" applyNumberFormat="0" applyAlignment="0" applyProtection="0"/>
    <xf numFmtId="175" fontId="43" fillId="0" borderId="0" applyNumberFormat="0" applyFill="0" applyBorder="0" applyAlignment="0" applyProtection="0"/>
    <xf numFmtId="175" fontId="27" fillId="0" borderId="12" applyNumberFormat="0" applyFill="0" applyAlignment="0" applyProtection="0"/>
    <xf numFmtId="175" fontId="44" fillId="0" borderId="0" applyNumberFormat="0" applyFill="0" applyBorder="0" applyAlignment="0" applyProtection="0"/>
    <xf numFmtId="9" fontId="16" fillId="0" borderId="0" applyFont="0" applyFill="0" applyBorder="0" applyAlignment="0" applyProtection="0"/>
    <xf numFmtId="175" fontId="13" fillId="0" borderId="0"/>
    <xf numFmtId="175" fontId="13" fillId="0" borderId="0"/>
    <xf numFmtId="175" fontId="16" fillId="0" borderId="0"/>
    <xf numFmtId="175" fontId="13" fillId="0" borderId="0"/>
    <xf numFmtId="175" fontId="12" fillId="0" borderId="0"/>
    <xf numFmtId="175" fontId="16" fillId="0" borderId="0"/>
    <xf numFmtId="175" fontId="18" fillId="2" borderId="0" applyNumberFormat="0" applyBorder="0" applyAlignment="0" applyProtection="0"/>
    <xf numFmtId="175" fontId="18" fillId="3" borderId="0" applyNumberFormat="0" applyBorder="0" applyAlignment="0" applyProtection="0"/>
    <xf numFmtId="175" fontId="18" fillId="4" borderId="0" applyNumberFormat="0" applyBorder="0" applyAlignment="0" applyProtection="0"/>
    <xf numFmtId="175" fontId="18" fillId="5" borderId="0" applyNumberFormat="0" applyBorder="0" applyAlignment="0" applyProtection="0"/>
    <xf numFmtId="175" fontId="18" fillId="6" borderId="0" applyNumberFormat="0" applyBorder="0" applyAlignment="0" applyProtection="0"/>
    <xf numFmtId="175" fontId="18" fillId="7" borderId="0" applyNumberFormat="0" applyBorder="0" applyAlignment="0" applyProtection="0"/>
    <xf numFmtId="175" fontId="18" fillId="8" borderId="0" applyNumberFormat="0" applyBorder="0" applyAlignment="0" applyProtection="0"/>
    <xf numFmtId="175" fontId="18" fillId="3" borderId="0" applyNumberFormat="0" applyBorder="0" applyAlignment="0" applyProtection="0"/>
    <xf numFmtId="175" fontId="18" fillId="9" borderId="0" applyNumberFormat="0" applyBorder="0" applyAlignment="0" applyProtection="0"/>
    <xf numFmtId="175" fontId="18" fillId="10" borderId="0" applyNumberFormat="0" applyBorder="0" applyAlignment="0" applyProtection="0"/>
    <xf numFmtId="175" fontId="18" fillId="8" borderId="0" applyNumberFormat="0" applyBorder="0" applyAlignment="0" applyProtection="0"/>
    <xf numFmtId="175" fontId="18" fillId="11" borderId="0" applyNumberFormat="0" applyBorder="0" applyAlignment="0" applyProtection="0"/>
    <xf numFmtId="175" fontId="21" fillId="8" borderId="0" applyNumberFormat="0" applyBorder="0" applyAlignment="0" applyProtection="0"/>
    <xf numFmtId="175" fontId="21" fillId="3" borderId="0" applyNumberFormat="0" applyBorder="0" applyAlignment="0" applyProtection="0"/>
    <xf numFmtId="175" fontId="21" fillId="9" borderId="0" applyNumberFormat="0" applyBorder="0" applyAlignment="0" applyProtection="0"/>
    <xf numFmtId="175" fontId="21" fillId="10" borderId="0" applyNumberFormat="0" applyBorder="0" applyAlignment="0" applyProtection="0"/>
    <xf numFmtId="175" fontId="21" fillId="8" borderId="0" applyNumberFormat="0" applyBorder="0" applyAlignment="0" applyProtection="0"/>
    <xf numFmtId="175" fontId="21" fillId="11" borderId="0" applyNumberFormat="0" applyBorder="0" applyAlignment="0" applyProtection="0"/>
    <xf numFmtId="175" fontId="22" fillId="12" borderId="0" applyNumberFormat="0" applyBorder="0" applyAlignment="0" applyProtection="0"/>
    <xf numFmtId="175" fontId="22" fillId="16" borderId="0" applyNumberFormat="0" applyBorder="0" applyAlignment="0" applyProtection="0"/>
    <xf numFmtId="175" fontId="22" fillId="19" borderId="0" applyNumberFormat="0" applyBorder="0" applyAlignment="0" applyProtection="0"/>
    <xf numFmtId="175" fontId="22" fillId="23" borderId="0" applyNumberFormat="0" applyBorder="0" applyAlignment="0" applyProtection="0"/>
    <xf numFmtId="175" fontId="22" fillId="24" borderId="0" applyNumberFormat="0" applyBorder="0" applyAlignment="0" applyProtection="0"/>
    <xf numFmtId="175" fontId="22" fillId="25" borderId="0" applyNumberFormat="0" applyBorder="0" applyAlignment="0" applyProtection="0"/>
    <xf numFmtId="175" fontId="24" fillId="18" borderId="0" applyNumberFormat="0" applyBorder="0" applyAlignment="0" applyProtection="0"/>
    <xf numFmtId="175" fontId="25" fillId="28" borderId="1" applyNumberFormat="0" applyAlignment="0" applyProtection="0"/>
    <xf numFmtId="175" fontId="26" fillId="19" borderId="2" applyNumberFormat="0" applyAlignment="0" applyProtection="0"/>
    <xf numFmtId="43" fontId="16" fillId="0" borderId="0" applyFont="0" applyFill="0" applyBorder="0" applyAlignment="0" applyProtection="0"/>
    <xf numFmtId="175" fontId="28" fillId="0" borderId="0" applyNumberFormat="0" applyFill="0" applyBorder="0" applyAlignment="0" applyProtection="0"/>
    <xf numFmtId="175" fontId="29" fillId="32" borderId="0" applyNumberFormat="0" applyBorder="0" applyAlignment="0" applyProtection="0"/>
    <xf numFmtId="175" fontId="30" fillId="0" borderId="3" applyNumberFormat="0" applyFill="0" applyAlignment="0" applyProtection="0"/>
    <xf numFmtId="175" fontId="31" fillId="0" borderId="4" applyNumberFormat="0" applyFill="0" applyAlignment="0" applyProtection="0"/>
    <xf numFmtId="175" fontId="32" fillId="0" borderId="5" applyNumberFormat="0" applyFill="0" applyAlignment="0" applyProtection="0"/>
    <xf numFmtId="175" fontId="32" fillId="0" borderId="0" applyNumberFormat="0" applyFill="0" applyBorder="0" applyAlignment="0" applyProtection="0"/>
    <xf numFmtId="175" fontId="33" fillId="27" borderId="1" applyNumberFormat="0" applyAlignment="0" applyProtection="0"/>
    <xf numFmtId="175" fontId="34" fillId="0" borderId="6" applyNumberFormat="0" applyFill="0" applyAlignment="0" applyProtection="0"/>
    <xf numFmtId="175" fontId="35" fillId="27" borderId="0" applyNumberFormat="0" applyBorder="0" applyAlignment="0" applyProtection="0"/>
    <xf numFmtId="175" fontId="16" fillId="26" borderId="7" applyNumberFormat="0" applyFont="0" applyAlignment="0" applyProtection="0"/>
    <xf numFmtId="175" fontId="36" fillId="28" borderId="8" applyNumberFormat="0" applyAlignment="0" applyProtection="0"/>
    <xf numFmtId="175" fontId="43" fillId="0" borderId="0" applyNumberFormat="0" applyFill="0" applyBorder="0" applyAlignment="0" applyProtection="0"/>
    <xf numFmtId="175" fontId="27" fillId="0" borderId="12" applyNumberFormat="0" applyFill="0" applyAlignment="0" applyProtection="0"/>
    <xf numFmtId="175" fontId="44" fillId="0" borderId="0" applyNumberFormat="0" applyFill="0" applyBorder="0" applyAlignment="0" applyProtection="0"/>
    <xf numFmtId="9" fontId="16" fillId="0" borderId="0" applyFont="0" applyFill="0" applyBorder="0" applyAlignment="0" applyProtection="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1" fillId="0" borderId="0"/>
    <xf numFmtId="175" fontId="10" fillId="0" borderId="0"/>
    <xf numFmtId="175" fontId="63" fillId="0" borderId="0"/>
    <xf numFmtId="175" fontId="10" fillId="0" borderId="0"/>
    <xf numFmtId="175" fontId="10" fillId="0" borderId="0"/>
    <xf numFmtId="175" fontId="10" fillId="0" borderId="0"/>
    <xf numFmtId="175" fontId="10" fillId="0" borderId="0"/>
    <xf numFmtId="175" fontId="10" fillId="0" borderId="0"/>
    <xf numFmtId="175" fontId="10" fillId="0" borderId="0"/>
    <xf numFmtId="175" fontId="10" fillId="0" borderId="0"/>
    <xf numFmtId="175" fontId="16" fillId="0" borderId="0"/>
    <xf numFmtId="175" fontId="9" fillId="0" borderId="0"/>
    <xf numFmtId="0" fontId="8" fillId="0" borderId="0"/>
    <xf numFmtId="175" fontId="16" fillId="0" borderId="0"/>
    <xf numFmtId="175" fontId="18" fillId="2" borderId="0" applyNumberFormat="0" applyBorder="0" applyAlignment="0" applyProtection="0"/>
    <xf numFmtId="175" fontId="18" fillId="3" borderId="0" applyNumberFormat="0" applyBorder="0" applyAlignment="0" applyProtection="0"/>
    <xf numFmtId="175" fontId="18" fillId="4" borderId="0" applyNumberFormat="0" applyBorder="0" applyAlignment="0" applyProtection="0"/>
    <xf numFmtId="175" fontId="18" fillId="5" borderId="0" applyNumberFormat="0" applyBorder="0" applyAlignment="0" applyProtection="0"/>
    <xf numFmtId="175" fontId="18" fillId="6" borderId="0" applyNumberFormat="0" applyBorder="0" applyAlignment="0" applyProtection="0"/>
    <xf numFmtId="175" fontId="18" fillId="7" borderId="0" applyNumberFormat="0" applyBorder="0" applyAlignment="0" applyProtection="0"/>
    <xf numFmtId="175" fontId="18" fillId="8" borderId="0" applyNumberFormat="0" applyBorder="0" applyAlignment="0" applyProtection="0"/>
    <xf numFmtId="175" fontId="18" fillId="3" borderId="0" applyNumberFormat="0" applyBorder="0" applyAlignment="0" applyProtection="0"/>
    <xf numFmtId="175" fontId="18" fillId="9" borderId="0" applyNumberFormat="0" applyBorder="0" applyAlignment="0" applyProtection="0"/>
    <xf numFmtId="175" fontId="18" fillId="10" borderId="0" applyNumberFormat="0" applyBorder="0" applyAlignment="0" applyProtection="0"/>
    <xf numFmtId="175" fontId="18" fillId="8" borderId="0" applyNumberFormat="0" applyBorder="0" applyAlignment="0" applyProtection="0"/>
    <xf numFmtId="175" fontId="18" fillId="11" borderId="0" applyNumberFormat="0" applyBorder="0" applyAlignment="0" applyProtection="0"/>
    <xf numFmtId="175" fontId="21" fillId="8" borderId="0" applyNumberFormat="0" applyBorder="0" applyAlignment="0" applyProtection="0"/>
    <xf numFmtId="175" fontId="21" fillId="3" borderId="0" applyNumberFormat="0" applyBorder="0" applyAlignment="0" applyProtection="0"/>
    <xf numFmtId="175" fontId="21" fillId="9" borderId="0" applyNumberFormat="0" applyBorder="0" applyAlignment="0" applyProtection="0"/>
    <xf numFmtId="175" fontId="21" fillId="10" borderId="0" applyNumberFormat="0" applyBorder="0" applyAlignment="0" applyProtection="0"/>
    <xf numFmtId="175" fontId="21" fillId="8" borderId="0" applyNumberFormat="0" applyBorder="0" applyAlignment="0" applyProtection="0"/>
    <xf numFmtId="175" fontId="21" fillId="11" borderId="0" applyNumberFormat="0" applyBorder="0" applyAlignment="0" applyProtection="0"/>
    <xf numFmtId="175" fontId="22" fillId="12" borderId="0" applyNumberFormat="0" applyBorder="0" applyAlignment="0" applyProtection="0"/>
    <xf numFmtId="175" fontId="22" fillId="16" borderId="0" applyNumberFormat="0" applyBorder="0" applyAlignment="0" applyProtection="0"/>
    <xf numFmtId="175" fontId="22" fillId="19" borderId="0" applyNumberFormat="0" applyBorder="0" applyAlignment="0" applyProtection="0"/>
    <xf numFmtId="175" fontId="22" fillId="23" borderId="0" applyNumberFormat="0" applyBorder="0" applyAlignment="0" applyProtection="0"/>
    <xf numFmtId="175" fontId="22" fillId="24" borderId="0" applyNumberFormat="0" applyBorder="0" applyAlignment="0" applyProtection="0"/>
    <xf numFmtId="175" fontId="22" fillId="25" borderId="0" applyNumberFormat="0" applyBorder="0" applyAlignment="0" applyProtection="0"/>
    <xf numFmtId="175" fontId="24" fillId="18" borderId="0" applyNumberFormat="0" applyBorder="0" applyAlignment="0" applyProtection="0"/>
    <xf numFmtId="175" fontId="25" fillId="28" borderId="1" applyNumberFormat="0" applyAlignment="0" applyProtection="0"/>
    <xf numFmtId="175" fontId="26" fillId="19" borderId="2" applyNumberFormat="0" applyAlignment="0" applyProtection="0"/>
    <xf numFmtId="43" fontId="16" fillId="0" borderId="0" applyFont="0" applyFill="0" applyBorder="0" applyAlignment="0" applyProtection="0"/>
    <xf numFmtId="175" fontId="28" fillId="0" borderId="0" applyNumberFormat="0" applyFill="0" applyBorder="0" applyAlignment="0" applyProtection="0"/>
    <xf numFmtId="175" fontId="29" fillId="32" borderId="0" applyNumberFormat="0" applyBorder="0" applyAlignment="0" applyProtection="0"/>
    <xf numFmtId="175" fontId="30" fillId="0" borderId="3" applyNumberFormat="0" applyFill="0" applyAlignment="0" applyProtection="0"/>
    <xf numFmtId="175" fontId="31" fillId="0" borderId="4" applyNumberFormat="0" applyFill="0" applyAlignment="0" applyProtection="0"/>
    <xf numFmtId="175" fontId="32" fillId="0" borderId="5" applyNumberFormat="0" applyFill="0" applyAlignment="0" applyProtection="0"/>
    <xf numFmtId="175" fontId="32" fillId="0" borderId="0" applyNumberFormat="0" applyFill="0" applyBorder="0" applyAlignment="0" applyProtection="0"/>
    <xf numFmtId="175" fontId="33" fillId="27" borderId="1" applyNumberFormat="0" applyAlignment="0" applyProtection="0"/>
    <xf numFmtId="175" fontId="34" fillId="0" borderId="6" applyNumberFormat="0" applyFill="0" applyAlignment="0" applyProtection="0"/>
    <xf numFmtId="175" fontId="35" fillId="27" borderId="0" applyNumberFormat="0" applyBorder="0" applyAlignment="0" applyProtection="0"/>
    <xf numFmtId="175" fontId="16" fillId="26" borderId="7" applyNumberFormat="0" applyFont="0" applyAlignment="0" applyProtection="0"/>
    <xf numFmtId="175" fontId="36" fillId="28" borderId="8" applyNumberFormat="0" applyAlignment="0" applyProtection="0"/>
    <xf numFmtId="175" fontId="43" fillId="0" borderId="0" applyNumberFormat="0" applyFill="0" applyBorder="0" applyAlignment="0" applyProtection="0"/>
    <xf numFmtId="175" fontId="27" fillId="0" borderId="12" applyNumberFormat="0" applyFill="0" applyAlignment="0" applyProtection="0"/>
    <xf numFmtId="175" fontId="44" fillId="0" borderId="0" applyNumberFormat="0" applyFill="0" applyBorder="0" applyAlignment="0" applyProtection="0"/>
    <xf numFmtId="9" fontId="16" fillId="0" borderId="0" applyFont="0" applyFill="0" applyBorder="0" applyAlignment="0" applyProtection="0"/>
    <xf numFmtId="175" fontId="8" fillId="0" borderId="0"/>
    <xf numFmtId="175" fontId="8" fillId="0" borderId="0"/>
    <xf numFmtId="175" fontId="8" fillId="0" borderId="0"/>
    <xf numFmtId="175" fontId="8" fillId="0" borderId="0"/>
    <xf numFmtId="175" fontId="8" fillId="0" borderId="0"/>
    <xf numFmtId="175" fontId="8" fillId="0" borderId="0"/>
    <xf numFmtId="175" fontId="8" fillId="0" borderId="0"/>
    <xf numFmtId="175" fontId="8" fillId="0" borderId="0"/>
    <xf numFmtId="175" fontId="8" fillId="0" borderId="0"/>
    <xf numFmtId="175" fontId="8" fillId="0" borderId="0"/>
    <xf numFmtId="175" fontId="8" fillId="0" borderId="0"/>
    <xf numFmtId="175" fontId="8" fillId="0" borderId="0"/>
    <xf numFmtId="175" fontId="8" fillId="0" borderId="0"/>
    <xf numFmtId="175" fontId="8" fillId="0" borderId="0"/>
    <xf numFmtId="175" fontId="8" fillId="0" borderId="0"/>
    <xf numFmtId="175" fontId="8" fillId="0" borderId="0"/>
    <xf numFmtId="175" fontId="8" fillId="0" borderId="0"/>
    <xf numFmtId="175" fontId="16" fillId="0" borderId="0"/>
    <xf numFmtId="175" fontId="8" fillId="0" borderId="0"/>
    <xf numFmtId="175" fontId="8" fillId="0" borderId="0"/>
    <xf numFmtId="175" fontId="8" fillId="0" borderId="0"/>
    <xf numFmtId="175" fontId="8" fillId="0" borderId="0"/>
    <xf numFmtId="175" fontId="8" fillId="0" borderId="0"/>
    <xf numFmtId="175" fontId="8" fillId="0" borderId="0"/>
    <xf numFmtId="175" fontId="8" fillId="0" borderId="0"/>
    <xf numFmtId="175" fontId="8" fillId="0" borderId="0"/>
    <xf numFmtId="0" fontId="7" fillId="0" borderId="0"/>
    <xf numFmtId="175" fontId="16" fillId="0" borderId="0"/>
    <xf numFmtId="175" fontId="18" fillId="2" borderId="0" applyNumberFormat="0" applyBorder="0" applyAlignment="0" applyProtection="0"/>
    <xf numFmtId="175" fontId="18" fillId="3" borderId="0" applyNumberFormat="0" applyBorder="0" applyAlignment="0" applyProtection="0"/>
    <xf numFmtId="175" fontId="18" fillId="4" borderId="0" applyNumberFormat="0" applyBorder="0" applyAlignment="0" applyProtection="0"/>
    <xf numFmtId="175" fontId="18" fillId="5" borderId="0" applyNumberFormat="0" applyBorder="0" applyAlignment="0" applyProtection="0"/>
    <xf numFmtId="175" fontId="18" fillId="6" borderId="0" applyNumberFormat="0" applyBorder="0" applyAlignment="0" applyProtection="0"/>
    <xf numFmtId="175" fontId="18" fillId="7" borderId="0" applyNumberFormat="0" applyBorder="0" applyAlignment="0" applyProtection="0"/>
    <xf numFmtId="175" fontId="18" fillId="8" borderId="0" applyNumberFormat="0" applyBorder="0" applyAlignment="0" applyProtection="0"/>
    <xf numFmtId="175" fontId="18" fillId="3" borderId="0" applyNumberFormat="0" applyBorder="0" applyAlignment="0" applyProtection="0"/>
    <xf numFmtId="175" fontId="18" fillId="9" borderId="0" applyNumberFormat="0" applyBorder="0" applyAlignment="0" applyProtection="0"/>
    <xf numFmtId="175" fontId="18" fillId="10" borderId="0" applyNumberFormat="0" applyBorder="0" applyAlignment="0" applyProtection="0"/>
    <xf numFmtId="175" fontId="18" fillId="8" borderId="0" applyNumberFormat="0" applyBorder="0" applyAlignment="0" applyProtection="0"/>
    <xf numFmtId="175" fontId="18" fillId="11" borderId="0" applyNumberFormat="0" applyBorder="0" applyAlignment="0" applyProtection="0"/>
    <xf numFmtId="175" fontId="21" fillId="8" borderId="0" applyNumberFormat="0" applyBorder="0" applyAlignment="0" applyProtection="0"/>
    <xf numFmtId="175" fontId="21" fillId="3" borderId="0" applyNumberFormat="0" applyBorder="0" applyAlignment="0" applyProtection="0"/>
    <xf numFmtId="175" fontId="21" fillId="9" borderId="0" applyNumberFormat="0" applyBorder="0" applyAlignment="0" applyProtection="0"/>
    <xf numFmtId="175" fontId="21" fillId="10" borderId="0" applyNumberFormat="0" applyBorder="0" applyAlignment="0" applyProtection="0"/>
    <xf numFmtId="175" fontId="21" fillId="8" borderId="0" applyNumberFormat="0" applyBorder="0" applyAlignment="0" applyProtection="0"/>
    <xf numFmtId="175" fontId="21" fillId="11" borderId="0" applyNumberFormat="0" applyBorder="0" applyAlignment="0" applyProtection="0"/>
    <xf numFmtId="175" fontId="22" fillId="12" borderId="0" applyNumberFormat="0" applyBorder="0" applyAlignment="0" applyProtection="0"/>
    <xf numFmtId="175" fontId="22" fillId="16" borderId="0" applyNumberFormat="0" applyBorder="0" applyAlignment="0" applyProtection="0"/>
    <xf numFmtId="175" fontId="22" fillId="19" borderId="0" applyNumberFormat="0" applyBorder="0" applyAlignment="0" applyProtection="0"/>
    <xf numFmtId="175" fontId="22" fillId="23" borderId="0" applyNumberFormat="0" applyBorder="0" applyAlignment="0" applyProtection="0"/>
    <xf numFmtId="175" fontId="22" fillId="24" borderId="0" applyNumberFormat="0" applyBorder="0" applyAlignment="0" applyProtection="0"/>
    <xf numFmtId="175" fontId="22" fillId="25" borderId="0" applyNumberFormat="0" applyBorder="0" applyAlignment="0" applyProtection="0"/>
    <xf numFmtId="175" fontId="24" fillId="18" borderId="0" applyNumberFormat="0" applyBorder="0" applyAlignment="0" applyProtection="0"/>
    <xf numFmtId="175" fontId="25" fillId="28" borderId="1" applyNumberFormat="0" applyAlignment="0" applyProtection="0"/>
    <xf numFmtId="175" fontId="26" fillId="19" borderId="2" applyNumberFormat="0" applyAlignment="0" applyProtection="0"/>
    <xf numFmtId="43" fontId="16" fillId="0" borderId="0" applyFont="0" applyFill="0" applyBorder="0" applyAlignment="0" applyProtection="0"/>
    <xf numFmtId="175" fontId="28" fillId="0" borderId="0" applyNumberFormat="0" applyFill="0" applyBorder="0" applyAlignment="0" applyProtection="0"/>
    <xf numFmtId="175" fontId="29" fillId="32" borderId="0" applyNumberFormat="0" applyBorder="0" applyAlignment="0" applyProtection="0"/>
    <xf numFmtId="175" fontId="30" fillId="0" borderId="3" applyNumberFormat="0" applyFill="0" applyAlignment="0" applyProtection="0"/>
    <xf numFmtId="175" fontId="31" fillId="0" borderId="4" applyNumberFormat="0" applyFill="0" applyAlignment="0" applyProtection="0"/>
    <xf numFmtId="175" fontId="32" fillId="0" borderId="5" applyNumberFormat="0" applyFill="0" applyAlignment="0" applyProtection="0"/>
    <xf numFmtId="175" fontId="32" fillId="0" borderId="0" applyNumberFormat="0" applyFill="0" applyBorder="0" applyAlignment="0" applyProtection="0"/>
    <xf numFmtId="175" fontId="33" fillId="27" borderId="1" applyNumberFormat="0" applyAlignment="0" applyProtection="0"/>
    <xf numFmtId="175" fontId="34" fillId="0" borderId="6" applyNumberFormat="0" applyFill="0" applyAlignment="0" applyProtection="0"/>
    <xf numFmtId="175" fontId="35" fillId="27" borderId="0" applyNumberFormat="0" applyBorder="0" applyAlignment="0" applyProtection="0"/>
    <xf numFmtId="175" fontId="16" fillId="26" borderId="7" applyNumberFormat="0" applyFont="0" applyAlignment="0" applyProtection="0"/>
    <xf numFmtId="175" fontId="36" fillId="28" borderId="8" applyNumberFormat="0" applyAlignment="0" applyProtection="0"/>
    <xf numFmtId="175" fontId="43" fillId="0" borderId="0" applyNumberFormat="0" applyFill="0" applyBorder="0" applyAlignment="0" applyProtection="0"/>
    <xf numFmtId="175" fontId="27" fillId="0" borderId="12" applyNumberFormat="0" applyFill="0" applyAlignment="0" applyProtection="0"/>
    <xf numFmtId="175" fontId="44" fillId="0" borderId="0" applyNumberFormat="0" applyFill="0" applyBorder="0" applyAlignment="0" applyProtection="0"/>
    <xf numFmtId="9" fontId="16" fillId="0" borderId="0" applyFont="0" applyFill="0" applyBorder="0" applyAlignment="0" applyProtection="0"/>
    <xf numFmtId="175" fontId="7" fillId="0" borderId="0"/>
    <xf numFmtId="175" fontId="7" fillId="0" borderId="0"/>
    <xf numFmtId="175" fontId="7" fillId="0" borderId="0"/>
    <xf numFmtId="175" fontId="7" fillId="0" borderId="0"/>
    <xf numFmtId="175" fontId="7" fillId="0" borderId="0"/>
    <xf numFmtId="175" fontId="7" fillId="0" borderId="0"/>
    <xf numFmtId="175" fontId="7" fillId="0" borderId="0"/>
    <xf numFmtId="175" fontId="7" fillId="0" borderId="0"/>
    <xf numFmtId="175" fontId="7" fillId="0" borderId="0"/>
    <xf numFmtId="175" fontId="7" fillId="0" borderId="0"/>
    <xf numFmtId="175" fontId="7" fillId="0" borderId="0"/>
    <xf numFmtId="175" fontId="7" fillId="0" borderId="0"/>
    <xf numFmtId="175" fontId="7" fillId="0" borderId="0"/>
    <xf numFmtId="175" fontId="7" fillId="0" borderId="0"/>
    <xf numFmtId="175" fontId="7" fillId="0" borderId="0"/>
    <xf numFmtId="175" fontId="7" fillId="0" borderId="0"/>
    <xf numFmtId="175" fontId="7" fillId="0" borderId="0"/>
    <xf numFmtId="175" fontId="7" fillId="0" borderId="0"/>
    <xf numFmtId="175" fontId="7" fillId="0" borderId="0"/>
    <xf numFmtId="175" fontId="7" fillId="0" borderId="0"/>
    <xf numFmtId="175" fontId="7" fillId="0" borderId="0"/>
    <xf numFmtId="175" fontId="7" fillId="0" borderId="0"/>
    <xf numFmtId="175" fontId="7" fillId="0" borderId="0"/>
    <xf numFmtId="175" fontId="7" fillId="0" borderId="0"/>
    <xf numFmtId="175" fontId="7" fillId="0" borderId="0"/>
    <xf numFmtId="0" fontId="7" fillId="0" borderId="0"/>
    <xf numFmtId="175" fontId="7" fillId="0" borderId="0"/>
    <xf numFmtId="175" fontId="7" fillId="0" borderId="0"/>
    <xf numFmtId="175" fontId="7" fillId="0" borderId="0"/>
    <xf numFmtId="175" fontId="7" fillId="0" borderId="0"/>
    <xf numFmtId="175" fontId="7" fillId="0" borderId="0"/>
    <xf numFmtId="175" fontId="7" fillId="0" borderId="0"/>
    <xf numFmtId="175" fontId="7" fillId="0" borderId="0"/>
    <xf numFmtId="175" fontId="7" fillId="0" borderId="0"/>
    <xf numFmtId="175" fontId="7" fillId="0" borderId="0"/>
    <xf numFmtId="175" fontId="7" fillId="0" borderId="0"/>
    <xf numFmtId="175" fontId="7" fillId="0" borderId="0"/>
    <xf numFmtId="175" fontId="7" fillId="0" borderId="0"/>
    <xf numFmtId="175" fontId="7" fillId="0" borderId="0"/>
    <xf numFmtId="175" fontId="7" fillId="0" borderId="0"/>
    <xf numFmtId="175" fontId="7" fillId="0" borderId="0"/>
    <xf numFmtId="175" fontId="7" fillId="0" borderId="0"/>
    <xf numFmtId="175" fontId="7" fillId="0" borderId="0"/>
    <xf numFmtId="175" fontId="7" fillId="0" borderId="0"/>
    <xf numFmtId="175" fontId="7" fillId="0" borderId="0"/>
    <xf numFmtId="175" fontId="7" fillId="0" borderId="0"/>
    <xf numFmtId="175" fontId="7" fillId="0" borderId="0"/>
    <xf numFmtId="175" fontId="7" fillId="0" borderId="0"/>
    <xf numFmtId="175" fontId="7" fillId="0" borderId="0"/>
    <xf numFmtId="175" fontId="7" fillId="0" borderId="0"/>
    <xf numFmtId="175" fontId="7" fillId="0" borderId="0"/>
    <xf numFmtId="0" fontId="16" fillId="0" borderId="0"/>
    <xf numFmtId="0" fontId="16" fillId="0" borderId="0"/>
    <xf numFmtId="0" fontId="16" fillId="0" borderId="0"/>
    <xf numFmtId="0" fontId="16" fillId="0" borderId="0"/>
    <xf numFmtId="0" fontId="7" fillId="0" borderId="0"/>
    <xf numFmtId="0" fontId="16" fillId="0" borderId="0"/>
    <xf numFmtId="0" fontId="16" fillId="0" borderId="0"/>
    <xf numFmtId="0" fontId="16" fillId="0" borderId="0"/>
    <xf numFmtId="0" fontId="6" fillId="0" borderId="0"/>
    <xf numFmtId="175" fontId="75" fillId="0" borderId="0"/>
    <xf numFmtId="175" fontId="18" fillId="2" borderId="0" applyNumberFormat="0" applyBorder="0" applyAlignment="0" applyProtection="0"/>
    <xf numFmtId="175" fontId="18" fillId="3" borderId="0" applyNumberFormat="0" applyBorder="0" applyAlignment="0" applyProtection="0"/>
    <xf numFmtId="175" fontId="18" fillId="4" borderId="0" applyNumberFormat="0" applyBorder="0" applyAlignment="0" applyProtection="0"/>
    <xf numFmtId="175" fontId="18" fillId="5" borderId="0" applyNumberFormat="0" applyBorder="0" applyAlignment="0" applyProtection="0"/>
    <xf numFmtId="175" fontId="18" fillId="6" borderId="0" applyNumberFormat="0" applyBorder="0" applyAlignment="0" applyProtection="0"/>
    <xf numFmtId="175" fontId="18" fillId="7" borderId="0" applyNumberFormat="0" applyBorder="0" applyAlignment="0" applyProtection="0"/>
    <xf numFmtId="175" fontId="18" fillId="8" borderId="0" applyNumberFormat="0" applyBorder="0" applyAlignment="0" applyProtection="0"/>
    <xf numFmtId="175" fontId="18" fillId="3" borderId="0" applyNumberFormat="0" applyBorder="0" applyAlignment="0" applyProtection="0"/>
    <xf numFmtId="175" fontId="18" fillId="9" borderId="0" applyNumberFormat="0" applyBorder="0" applyAlignment="0" applyProtection="0"/>
    <xf numFmtId="175" fontId="18" fillId="10" borderId="0" applyNumberFormat="0" applyBorder="0" applyAlignment="0" applyProtection="0"/>
    <xf numFmtId="175" fontId="18" fillId="8" borderId="0" applyNumberFormat="0" applyBorder="0" applyAlignment="0" applyProtection="0"/>
    <xf numFmtId="175" fontId="18" fillId="11" borderId="0" applyNumberFormat="0" applyBorder="0" applyAlignment="0" applyProtection="0"/>
    <xf numFmtId="175" fontId="21" fillId="8" borderId="0" applyNumberFormat="0" applyBorder="0" applyAlignment="0" applyProtection="0"/>
    <xf numFmtId="175" fontId="21" fillId="3" borderId="0" applyNumberFormat="0" applyBorder="0" applyAlignment="0" applyProtection="0"/>
    <xf numFmtId="175" fontId="21" fillId="9" borderId="0" applyNumberFormat="0" applyBorder="0" applyAlignment="0" applyProtection="0"/>
    <xf numFmtId="175" fontId="21" fillId="10" borderId="0" applyNumberFormat="0" applyBorder="0" applyAlignment="0" applyProtection="0"/>
    <xf numFmtId="175" fontId="21" fillId="8" borderId="0" applyNumberFormat="0" applyBorder="0" applyAlignment="0" applyProtection="0"/>
    <xf numFmtId="175" fontId="21" fillId="11" borderId="0" applyNumberFormat="0" applyBorder="0" applyAlignment="0" applyProtection="0"/>
    <xf numFmtId="175" fontId="22" fillId="12" borderId="0" applyNumberFormat="0" applyBorder="0" applyAlignment="0" applyProtection="0"/>
    <xf numFmtId="175" fontId="22" fillId="16" borderId="0" applyNumberFormat="0" applyBorder="0" applyAlignment="0" applyProtection="0"/>
    <xf numFmtId="175" fontId="22" fillId="19" borderId="0" applyNumberFormat="0" applyBorder="0" applyAlignment="0" applyProtection="0"/>
    <xf numFmtId="175" fontId="22" fillId="23" borderId="0" applyNumberFormat="0" applyBorder="0" applyAlignment="0" applyProtection="0"/>
    <xf numFmtId="175" fontId="22" fillId="24" borderId="0" applyNumberFormat="0" applyBorder="0" applyAlignment="0" applyProtection="0"/>
    <xf numFmtId="175" fontId="22" fillId="25" borderId="0" applyNumberFormat="0" applyBorder="0" applyAlignment="0" applyProtection="0"/>
    <xf numFmtId="175" fontId="24" fillId="18" borderId="0" applyNumberFormat="0" applyBorder="0" applyAlignment="0" applyProtection="0"/>
    <xf numFmtId="175" fontId="25" fillId="28" borderId="1" applyNumberFormat="0" applyAlignment="0" applyProtection="0"/>
    <xf numFmtId="175" fontId="26" fillId="19" borderId="2" applyNumberFormat="0" applyAlignment="0" applyProtection="0"/>
    <xf numFmtId="43" fontId="16" fillId="0" borderId="0" applyFont="0" applyFill="0" applyBorder="0" applyAlignment="0" applyProtection="0"/>
    <xf numFmtId="175" fontId="28" fillId="0" borderId="0" applyNumberFormat="0" applyFill="0" applyBorder="0" applyAlignment="0" applyProtection="0"/>
    <xf numFmtId="175" fontId="29" fillId="32" borderId="0" applyNumberFormat="0" applyBorder="0" applyAlignment="0" applyProtection="0"/>
    <xf numFmtId="175" fontId="30" fillId="0" borderId="3" applyNumberFormat="0" applyFill="0" applyAlignment="0" applyProtection="0"/>
    <xf numFmtId="175" fontId="31" fillId="0" borderId="4" applyNumberFormat="0" applyFill="0" applyAlignment="0" applyProtection="0"/>
    <xf numFmtId="175" fontId="32" fillId="0" borderId="5" applyNumberFormat="0" applyFill="0" applyAlignment="0" applyProtection="0"/>
    <xf numFmtId="175" fontId="32" fillId="0" borderId="0" applyNumberFormat="0" applyFill="0" applyBorder="0" applyAlignment="0" applyProtection="0"/>
    <xf numFmtId="175" fontId="33" fillId="27" borderId="1" applyNumberFormat="0" applyAlignment="0" applyProtection="0"/>
    <xf numFmtId="175" fontId="34" fillId="0" borderId="6" applyNumberFormat="0" applyFill="0" applyAlignment="0" applyProtection="0"/>
    <xf numFmtId="175" fontId="35" fillId="27" borderId="0" applyNumberFormat="0" applyBorder="0" applyAlignment="0" applyProtection="0"/>
    <xf numFmtId="175" fontId="16" fillId="26" borderId="7" applyNumberFormat="0" applyFont="0" applyAlignment="0" applyProtection="0"/>
    <xf numFmtId="175" fontId="36" fillId="28" borderId="8" applyNumberFormat="0" applyAlignment="0" applyProtection="0"/>
    <xf numFmtId="175" fontId="43" fillId="0" borderId="0" applyNumberFormat="0" applyFill="0" applyBorder="0" applyAlignment="0" applyProtection="0"/>
    <xf numFmtId="175" fontId="27" fillId="0" borderId="12" applyNumberFormat="0" applyFill="0" applyAlignment="0" applyProtection="0"/>
    <xf numFmtId="175" fontId="44" fillId="0" borderId="0" applyNumberFormat="0" applyFill="0" applyBorder="0" applyAlignment="0" applyProtection="0"/>
    <xf numFmtId="9" fontId="16" fillId="0" borderId="0" applyFont="0" applyFill="0" applyBorder="0" applyAlignment="0" applyProtection="0"/>
    <xf numFmtId="175" fontId="6" fillId="0" borderId="0"/>
    <xf numFmtId="175" fontId="6" fillId="0" borderId="0"/>
    <xf numFmtId="175" fontId="6" fillId="0" borderId="0"/>
    <xf numFmtId="175" fontId="6" fillId="0" borderId="0"/>
    <xf numFmtId="175" fontId="6" fillId="0" borderId="0"/>
    <xf numFmtId="175" fontId="6" fillId="0" borderId="0"/>
    <xf numFmtId="175" fontId="6" fillId="0" borderId="0"/>
    <xf numFmtId="175" fontId="6" fillId="0" borderId="0"/>
    <xf numFmtId="175" fontId="6" fillId="0" borderId="0"/>
    <xf numFmtId="175" fontId="6" fillId="0" borderId="0"/>
    <xf numFmtId="175" fontId="6" fillId="0" borderId="0"/>
    <xf numFmtId="175" fontId="6" fillId="0" borderId="0"/>
    <xf numFmtId="175" fontId="6" fillId="0" borderId="0"/>
    <xf numFmtId="175" fontId="6" fillId="0" borderId="0"/>
    <xf numFmtId="175" fontId="6" fillId="0" borderId="0"/>
    <xf numFmtId="175" fontId="6" fillId="0" borderId="0"/>
    <xf numFmtId="175" fontId="6" fillId="0" borderId="0"/>
    <xf numFmtId="175" fontId="6" fillId="0" borderId="0"/>
    <xf numFmtId="175" fontId="6" fillId="0" borderId="0"/>
    <xf numFmtId="175" fontId="6" fillId="0" borderId="0"/>
    <xf numFmtId="175" fontId="6" fillId="0" borderId="0"/>
    <xf numFmtId="175" fontId="6" fillId="0" borderId="0"/>
    <xf numFmtId="175" fontId="6" fillId="0" borderId="0"/>
    <xf numFmtId="175" fontId="6" fillId="0" borderId="0"/>
    <xf numFmtId="175" fontId="6" fillId="0" borderId="0"/>
    <xf numFmtId="0" fontId="6" fillId="0" borderId="0"/>
    <xf numFmtId="175" fontId="6" fillId="0" borderId="0"/>
    <xf numFmtId="175" fontId="6" fillId="0" borderId="0"/>
    <xf numFmtId="175" fontId="6" fillId="0" borderId="0"/>
    <xf numFmtId="175" fontId="6" fillId="0" borderId="0"/>
    <xf numFmtId="175" fontId="6" fillId="0" borderId="0"/>
    <xf numFmtId="175" fontId="6" fillId="0" borderId="0"/>
    <xf numFmtId="175" fontId="6" fillId="0" borderId="0"/>
    <xf numFmtId="175" fontId="6" fillId="0" borderId="0"/>
    <xf numFmtId="175" fontId="6" fillId="0" borderId="0"/>
    <xf numFmtId="175" fontId="6" fillId="0" borderId="0"/>
    <xf numFmtId="175" fontId="6" fillId="0" borderId="0"/>
    <xf numFmtId="175" fontId="6" fillId="0" borderId="0"/>
    <xf numFmtId="175" fontId="6" fillId="0" borderId="0"/>
    <xf numFmtId="175" fontId="6" fillId="0" borderId="0"/>
    <xf numFmtId="175" fontId="6" fillId="0" borderId="0"/>
    <xf numFmtId="175" fontId="6" fillId="0" borderId="0"/>
    <xf numFmtId="175" fontId="6" fillId="0" borderId="0"/>
    <xf numFmtId="175" fontId="6" fillId="0" borderId="0"/>
    <xf numFmtId="175" fontId="6" fillId="0" borderId="0"/>
    <xf numFmtId="175" fontId="6" fillId="0" borderId="0"/>
    <xf numFmtId="175" fontId="6" fillId="0" borderId="0"/>
    <xf numFmtId="175" fontId="6" fillId="0" borderId="0"/>
    <xf numFmtId="175" fontId="6" fillId="0" borderId="0"/>
    <xf numFmtId="175" fontId="6" fillId="0" borderId="0"/>
    <xf numFmtId="175" fontId="6" fillId="0" borderId="0"/>
    <xf numFmtId="0" fontId="6" fillId="0" borderId="0"/>
    <xf numFmtId="175" fontId="6" fillId="0" borderId="0"/>
    <xf numFmtId="175" fontId="6" fillId="0" borderId="0"/>
    <xf numFmtId="175" fontId="6" fillId="0" borderId="0"/>
    <xf numFmtId="175" fontId="6" fillId="0" borderId="0"/>
    <xf numFmtId="175" fontId="6" fillId="0" borderId="0"/>
    <xf numFmtId="175" fontId="6" fillId="0" borderId="0"/>
    <xf numFmtId="175" fontId="6" fillId="0" borderId="0"/>
    <xf numFmtId="175" fontId="6" fillId="0" borderId="0"/>
    <xf numFmtId="175" fontId="6" fillId="0" borderId="0"/>
    <xf numFmtId="175" fontId="6" fillId="0" borderId="0"/>
    <xf numFmtId="175" fontId="6" fillId="0" borderId="0"/>
    <xf numFmtId="175" fontId="6" fillId="0" borderId="0"/>
    <xf numFmtId="175" fontId="6" fillId="0" borderId="0"/>
    <xf numFmtId="175" fontId="6" fillId="0" borderId="0"/>
    <xf numFmtId="175" fontId="6" fillId="0" borderId="0"/>
    <xf numFmtId="175" fontId="6" fillId="0" borderId="0"/>
    <xf numFmtId="175" fontId="6" fillId="0" borderId="0"/>
    <xf numFmtId="175" fontId="6" fillId="0" borderId="0"/>
    <xf numFmtId="175" fontId="6" fillId="0" borderId="0"/>
    <xf numFmtId="175" fontId="6" fillId="0" borderId="0"/>
    <xf numFmtId="175" fontId="6" fillId="0" borderId="0"/>
    <xf numFmtId="175" fontId="6" fillId="0" borderId="0"/>
    <xf numFmtId="175" fontId="6" fillId="0" borderId="0"/>
    <xf numFmtId="175" fontId="6" fillId="0" borderId="0"/>
    <xf numFmtId="175" fontId="6" fillId="0" borderId="0"/>
    <xf numFmtId="0" fontId="6" fillId="0" borderId="0"/>
    <xf numFmtId="175" fontId="6" fillId="0" borderId="0"/>
    <xf numFmtId="175" fontId="6" fillId="0" borderId="0"/>
    <xf numFmtId="175" fontId="6" fillId="0" borderId="0"/>
    <xf numFmtId="175" fontId="6" fillId="0" borderId="0"/>
    <xf numFmtId="175" fontId="6" fillId="0" borderId="0"/>
    <xf numFmtId="175" fontId="6" fillId="0" borderId="0"/>
    <xf numFmtId="175" fontId="6" fillId="0" borderId="0"/>
    <xf numFmtId="175" fontId="6" fillId="0" borderId="0"/>
    <xf numFmtId="175" fontId="6" fillId="0" borderId="0"/>
    <xf numFmtId="175" fontId="6" fillId="0" borderId="0"/>
    <xf numFmtId="175" fontId="6" fillId="0" borderId="0"/>
    <xf numFmtId="175" fontId="6" fillId="0" borderId="0"/>
    <xf numFmtId="175" fontId="6" fillId="0" borderId="0"/>
    <xf numFmtId="175" fontId="6" fillId="0" borderId="0"/>
    <xf numFmtId="175" fontId="6" fillId="0" borderId="0"/>
    <xf numFmtId="175" fontId="6" fillId="0" borderId="0"/>
    <xf numFmtId="175" fontId="6" fillId="0" borderId="0"/>
    <xf numFmtId="175" fontId="6" fillId="0" borderId="0"/>
    <xf numFmtId="175" fontId="6" fillId="0" borderId="0"/>
    <xf numFmtId="175" fontId="6" fillId="0" borderId="0"/>
    <xf numFmtId="175" fontId="6" fillId="0" borderId="0"/>
    <xf numFmtId="175" fontId="6" fillId="0" borderId="0"/>
    <xf numFmtId="175" fontId="6" fillId="0" borderId="0"/>
    <xf numFmtId="175" fontId="6" fillId="0" borderId="0"/>
    <xf numFmtId="175" fontId="6" fillId="0" borderId="0"/>
    <xf numFmtId="0" fontId="6" fillId="0" borderId="0"/>
    <xf numFmtId="0" fontId="7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0"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0"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0"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0" fontId="5" fillId="0" borderId="0"/>
    <xf numFmtId="0" fontId="5" fillId="0" borderId="0"/>
    <xf numFmtId="175" fontId="16"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0"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0"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0"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0" fontId="5" fillId="0" borderId="0"/>
    <xf numFmtId="0" fontId="16" fillId="0" borderId="0"/>
    <xf numFmtId="0" fontId="4" fillId="0" borderId="0"/>
    <xf numFmtId="4" fontId="45" fillId="0" borderId="69" applyNumberFormat="0" applyProtection="0">
      <alignment horizontal="right" vertical="center"/>
    </xf>
    <xf numFmtId="4" fontId="45" fillId="51" borderId="69" applyNumberFormat="0" applyProtection="0">
      <alignment horizontal="left" vertical="center" indent="1"/>
    </xf>
    <xf numFmtId="43" fontId="4" fillId="0" borderId="0" applyFont="0" applyFill="0" applyBorder="0" applyAlignment="0" applyProtection="0"/>
    <xf numFmtId="0" fontId="3" fillId="0" borderId="0"/>
    <xf numFmtId="0" fontId="3" fillId="66" borderId="0" applyNumberFormat="0" applyBorder="0" applyAlignment="0" applyProtection="0"/>
    <xf numFmtId="0" fontId="3" fillId="70" borderId="0" applyNumberFormat="0" applyBorder="0" applyAlignment="0" applyProtection="0"/>
    <xf numFmtId="0" fontId="23" fillId="13" borderId="0" applyNumberFormat="0" applyBorder="0" applyAlignment="0" applyProtection="0"/>
    <xf numFmtId="0" fontId="23" fillId="14" borderId="0" applyNumberFormat="0" applyBorder="0" applyAlignment="0" applyProtection="0"/>
    <xf numFmtId="0" fontId="22" fillId="15" borderId="0" applyNumberFormat="0" applyBorder="0" applyAlignment="0" applyProtection="0"/>
    <xf numFmtId="0" fontId="23" fillId="17" borderId="0" applyNumberFormat="0" applyBorder="0" applyAlignment="0" applyProtection="0"/>
    <xf numFmtId="0" fontId="23" fillId="18" borderId="0" applyNumberFormat="0" applyBorder="0" applyAlignment="0" applyProtection="0"/>
    <xf numFmtId="0" fontId="22" fillId="19" borderId="0" applyNumberFormat="0" applyBorder="0" applyAlignment="0" applyProtection="0"/>
    <xf numFmtId="0" fontId="23" fillId="20" borderId="0" applyNumberFormat="0" applyBorder="0" applyAlignment="0" applyProtection="0"/>
    <xf numFmtId="0" fontId="23" fillId="21" borderId="0" applyNumberFormat="0" applyBorder="0" applyAlignment="0" applyProtection="0"/>
    <xf numFmtId="0" fontId="22" fillId="22" borderId="0" applyNumberFormat="0" applyBorder="0" applyAlignment="0" applyProtection="0"/>
    <xf numFmtId="0" fontId="23" fillId="21" borderId="0" applyNumberFormat="0" applyBorder="0" applyAlignment="0" applyProtection="0"/>
    <xf numFmtId="0" fontId="23" fillId="22" borderId="0" applyNumberFormat="0" applyBorder="0" applyAlignment="0" applyProtection="0"/>
    <xf numFmtId="0" fontId="22" fillId="22" borderId="0" applyNumberFormat="0" applyBorder="0" applyAlignment="0" applyProtection="0"/>
    <xf numFmtId="0" fontId="23" fillId="13" borderId="0" applyNumberFormat="0" applyBorder="0" applyAlignment="0" applyProtection="0"/>
    <xf numFmtId="0" fontId="23" fillId="14" borderId="0" applyNumberFormat="0" applyBorder="0" applyAlignment="0" applyProtection="0"/>
    <xf numFmtId="0" fontId="22" fillId="14" borderId="0" applyNumberFormat="0" applyBorder="0" applyAlignment="0" applyProtection="0"/>
    <xf numFmtId="0" fontId="23" fillId="26" borderId="0" applyNumberFormat="0" applyBorder="0" applyAlignment="0" applyProtection="0"/>
    <xf numFmtId="0" fontId="23" fillId="18" borderId="0" applyNumberFormat="0" applyBorder="0" applyAlignment="0" applyProtection="0"/>
    <xf numFmtId="0" fontId="22" fillId="27" borderId="0" applyNumberFormat="0" applyBorder="0" applyAlignment="0" applyProtection="0"/>
    <xf numFmtId="0" fontId="105" fillId="76" borderId="0" applyNumberFormat="0" applyBorder="0" applyAlignment="0" applyProtection="0"/>
    <xf numFmtId="0" fontId="3" fillId="74" borderId="0" applyNumberFormat="0" applyBorder="0" applyAlignment="0" applyProtection="0"/>
    <xf numFmtId="0" fontId="3" fillId="73" borderId="0" applyNumberFormat="0" applyBorder="0" applyAlignment="0" applyProtection="0"/>
    <xf numFmtId="0" fontId="105" fillId="72" borderId="0" applyNumberFormat="0" applyBorder="0" applyAlignment="0" applyProtection="0"/>
    <xf numFmtId="0" fontId="27" fillId="29" borderId="0" applyNumberFormat="0" applyBorder="0" applyAlignment="0" applyProtection="0"/>
    <xf numFmtId="0" fontId="27" fillId="30" borderId="0" applyNumberFormat="0" applyBorder="0" applyAlignment="0" applyProtection="0"/>
    <xf numFmtId="0" fontId="27" fillId="31" borderId="0" applyNumberFormat="0" applyBorder="0" applyAlignment="0" applyProtection="0"/>
    <xf numFmtId="0" fontId="3" fillId="65" borderId="0" applyNumberFormat="0" applyBorder="0" applyAlignment="0" applyProtection="0"/>
    <xf numFmtId="0" fontId="104" fillId="0" borderId="82" applyNumberFormat="0" applyFill="0" applyAlignment="0" applyProtection="0"/>
    <xf numFmtId="0" fontId="103" fillId="0" borderId="0" applyNumberFormat="0" applyFill="0" applyBorder="0" applyAlignment="0" applyProtection="0"/>
    <xf numFmtId="0" fontId="99" fillId="57" borderId="77" applyNumberFormat="0" applyAlignment="0" applyProtection="0"/>
    <xf numFmtId="0" fontId="95" fillId="53" borderId="0" applyNumberFormat="0" applyBorder="0" applyAlignment="0" applyProtection="0"/>
    <xf numFmtId="0" fontId="37" fillId="33" borderId="9" applyNumberFormat="0" applyProtection="0">
      <alignment horizontal="left" vertical="top" indent="1"/>
    </xf>
    <xf numFmtId="0" fontId="94" fillId="0" borderId="0" applyNumberFormat="0" applyFill="0" applyBorder="0" applyAlignment="0" applyProtection="0"/>
    <xf numFmtId="0" fontId="94" fillId="0" borderId="76" applyNumberFormat="0" applyFill="0" applyAlignment="0" applyProtection="0"/>
    <xf numFmtId="0" fontId="93" fillId="0" borderId="75" applyNumberFormat="0" applyFill="0" applyAlignment="0" applyProtection="0"/>
    <xf numFmtId="0" fontId="92" fillId="0" borderId="74" applyNumberFormat="0" applyFill="0" applyAlignment="0" applyProtection="0"/>
    <xf numFmtId="43" fontId="16" fillId="0" borderId="0" applyFont="0" applyFill="0" applyBorder="0" applyAlignment="0" applyProtection="0"/>
    <xf numFmtId="0" fontId="105" fillId="64" borderId="0" applyNumberFormat="0" applyBorder="0" applyAlignment="0" applyProtection="0"/>
    <xf numFmtId="0" fontId="3" fillId="61" borderId="0" applyNumberFormat="0" applyBorder="0" applyAlignment="0" applyProtection="0"/>
    <xf numFmtId="0" fontId="16" fillId="8" borderId="9" applyNumberFormat="0" applyProtection="0">
      <alignment horizontal="left" vertical="center" indent="1"/>
    </xf>
    <xf numFmtId="0" fontId="16" fillId="8" borderId="9" applyNumberFormat="0" applyProtection="0">
      <alignment horizontal="left" vertical="top" indent="1"/>
    </xf>
    <xf numFmtId="0" fontId="16" fillId="2" borderId="9" applyNumberFormat="0" applyProtection="0">
      <alignment horizontal="left" vertical="center" indent="1"/>
    </xf>
    <xf numFmtId="0" fontId="16" fillId="2" borderId="9" applyNumberFormat="0" applyProtection="0">
      <alignment horizontal="left" vertical="top" indent="1"/>
    </xf>
    <xf numFmtId="0" fontId="16" fillId="6" borderId="9" applyNumberFormat="0" applyProtection="0">
      <alignment horizontal="left" vertical="center" indent="1"/>
    </xf>
    <xf numFmtId="0" fontId="16" fillId="6" borderId="9" applyNumberFormat="0" applyProtection="0">
      <alignment horizontal="left" vertical="top" indent="1"/>
    </xf>
    <xf numFmtId="0" fontId="16" fillId="41" borderId="9" applyNumberFormat="0" applyProtection="0">
      <alignment horizontal="left" vertical="center" indent="1"/>
    </xf>
    <xf numFmtId="0" fontId="16" fillId="41" borderId="9" applyNumberFormat="0" applyProtection="0">
      <alignment horizontal="left" vertical="top" indent="1"/>
    </xf>
    <xf numFmtId="0" fontId="16" fillId="5" borderId="11" applyNumberFormat="0">
      <protection locked="0"/>
    </xf>
    <xf numFmtId="0" fontId="3" fillId="61" borderId="0" applyNumberFormat="0" applyBorder="0" applyAlignment="0" applyProtection="0"/>
    <xf numFmtId="0" fontId="100" fillId="0" borderId="79" applyNumberFormat="0" applyFill="0" applyAlignment="0" applyProtection="0"/>
    <xf numFmtId="0" fontId="3" fillId="62" borderId="0" applyNumberFormat="0" applyBorder="0" applyAlignment="0" applyProtection="0"/>
    <xf numFmtId="0" fontId="18" fillId="4" borderId="9" applyNumberFormat="0" applyProtection="0">
      <alignment horizontal="left" vertical="top" indent="1"/>
    </xf>
    <xf numFmtId="0" fontId="3" fillId="61" borderId="0" applyNumberFormat="0" applyBorder="0" applyAlignment="0" applyProtection="0"/>
    <xf numFmtId="0" fontId="3" fillId="61" borderId="0" applyNumberFormat="0" applyBorder="0" applyAlignment="0" applyProtection="0"/>
    <xf numFmtId="0" fontId="96" fillId="54" borderId="0" applyNumberFormat="0" applyBorder="0" applyAlignment="0" applyProtection="0"/>
    <xf numFmtId="0" fontId="18" fillId="2" borderId="9" applyNumberFormat="0" applyProtection="0">
      <alignment horizontal="left" vertical="top" indent="1"/>
    </xf>
    <xf numFmtId="0" fontId="105" fillId="64" borderId="0" applyNumberFormat="0" applyBorder="0" applyAlignment="0" applyProtection="0"/>
    <xf numFmtId="0" fontId="105" fillId="60" borderId="0" applyNumberFormat="0" applyBorder="0" applyAlignment="0" applyProtection="0"/>
    <xf numFmtId="0" fontId="43" fillId="0" borderId="0" applyNumberFormat="0" applyFill="0" applyBorder="0" applyAlignment="0" applyProtection="0"/>
    <xf numFmtId="0" fontId="105" fillId="68" borderId="0" applyNumberFormat="0" applyBorder="0" applyAlignment="0" applyProtection="0"/>
    <xf numFmtId="0" fontId="3" fillId="69" borderId="0" applyNumberFormat="0" applyBorder="0" applyAlignment="0" applyProtection="0"/>
    <xf numFmtId="0" fontId="3" fillId="77" borderId="0" applyNumberFormat="0" applyBorder="0" applyAlignment="0" applyProtection="0"/>
    <xf numFmtId="0" fontId="3" fillId="78" borderId="0" applyNumberFormat="0" applyBorder="0" applyAlignment="0" applyProtection="0"/>
    <xf numFmtId="0" fontId="105" fillId="80" borderId="0" applyNumberFormat="0" applyBorder="0" applyAlignment="0" applyProtection="0"/>
    <xf numFmtId="0" fontId="3" fillId="81" borderId="0" applyNumberFormat="0" applyBorder="0" applyAlignment="0" applyProtection="0"/>
    <xf numFmtId="0" fontId="3" fillId="61" borderId="0" applyNumberFormat="0" applyBorder="0" applyAlignment="0" applyProtection="0"/>
    <xf numFmtId="0" fontId="3" fillId="61" borderId="0" applyNumberFormat="0" applyBorder="0" applyAlignment="0" applyProtection="0"/>
    <xf numFmtId="0" fontId="3" fillId="61" borderId="0" applyNumberFormat="0" applyBorder="0" applyAlignment="0" applyProtection="0"/>
    <xf numFmtId="0" fontId="3" fillId="65" borderId="0" applyNumberFormat="0" applyBorder="0" applyAlignment="0" applyProtection="0"/>
    <xf numFmtId="0" fontId="3" fillId="65" borderId="0" applyNumberFormat="0" applyBorder="0" applyAlignment="0" applyProtection="0"/>
    <xf numFmtId="0" fontId="3" fillId="65" borderId="0" applyNumberFormat="0" applyBorder="0" applyAlignment="0" applyProtection="0"/>
    <xf numFmtId="0" fontId="3" fillId="65" borderId="0" applyNumberFormat="0" applyBorder="0" applyAlignment="0" applyProtection="0"/>
    <xf numFmtId="0" fontId="3" fillId="65" borderId="0" applyNumberFormat="0" applyBorder="0" applyAlignment="0" applyProtection="0"/>
    <xf numFmtId="0" fontId="3" fillId="65" borderId="0" applyNumberFormat="0" applyBorder="0" applyAlignment="0" applyProtection="0"/>
    <xf numFmtId="0" fontId="3" fillId="65" borderId="0" applyNumberFormat="0" applyBorder="0" applyAlignment="0" applyProtection="0"/>
    <xf numFmtId="0" fontId="23" fillId="85" borderId="0" applyNumberFormat="0" applyBorder="0" applyAlignment="0" applyProtection="0"/>
    <xf numFmtId="0" fontId="23" fillId="85" borderId="0" applyNumberFormat="0" applyBorder="0" applyAlignment="0" applyProtection="0"/>
    <xf numFmtId="0" fontId="3" fillId="69" borderId="0" applyNumberFormat="0" applyBorder="0" applyAlignment="0" applyProtection="0"/>
    <xf numFmtId="0" fontId="3" fillId="69" borderId="0" applyNumberFormat="0" applyBorder="0" applyAlignment="0" applyProtection="0"/>
    <xf numFmtId="0" fontId="3" fillId="69" borderId="0" applyNumberFormat="0" applyBorder="0" applyAlignment="0" applyProtection="0"/>
    <xf numFmtId="0" fontId="3" fillId="69" borderId="0" applyNumberFormat="0" applyBorder="0" applyAlignment="0" applyProtection="0"/>
    <xf numFmtId="0" fontId="3" fillId="69" borderId="0" applyNumberFormat="0" applyBorder="0" applyAlignment="0" applyProtection="0"/>
    <xf numFmtId="0" fontId="3" fillId="69" borderId="0" applyNumberFormat="0" applyBorder="0" applyAlignment="0" applyProtection="0"/>
    <xf numFmtId="0" fontId="3" fillId="69" borderId="0" applyNumberFormat="0" applyBorder="0" applyAlignment="0" applyProtection="0"/>
    <xf numFmtId="0" fontId="23" fillId="86" borderId="0" applyNumberFormat="0" applyBorder="0" applyAlignment="0" applyProtection="0"/>
    <xf numFmtId="0" fontId="3" fillId="61" borderId="0" applyNumberFormat="0" applyBorder="0" applyAlignment="0" applyProtection="0"/>
    <xf numFmtId="0" fontId="3" fillId="82" borderId="0" applyNumberFormat="0" applyBorder="0" applyAlignment="0" applyProtection="0"/>
    <xf numFmtId="0" fontId="3" fillId="0" borderId="0"/>
    <xf numFmtId="0" fontId="102" fillId="0" borderId="0" applyNumberFormat="0" applyFill="0" applyBorder="0" applyAlignment="0" applyProtection="0"/>
    <xf numFmtId="0" fontId="101" fillId="58" borderId="80" applyNumberFormat="0" applyAlignment="0" applyProtection="0"/>
    <xf numFmtId="0" fontId="23" fillId="7" borderId="0" applyNumberFormat="0" applyBorder="0" applyAlignment="0" applyProtection="0"/>
    <xf numFmtId="0" fontId="23" fillId="84" borderId="0" applyNumberFormat="0" applyBorder="0" applyAlignment="0" applyProtection="0"/>
    <xf numFmtId="0" fontId="23" fillId="84" borderId="0" applyNumberFormat="0" applyBorder="0" applyAlignment="0" applyProtection="0"/>
    <xf numFmtId="0" fontId="98" fillId="57" borderId="78" applyNumberFormat="0" applyAlignment="0" applyProtection="0"/>
    <xf numFmtId="0" fontId="97" fillId="56" borderId="77" applyNumberFormat="0" applyAlignment="0" applyProtection="0"/>
    <xf numFmtId="0" fontId="23" fillId="7" borderId="0" applyNumberFormat="0" applyBorder="0" applyAlignment="0" applyProtection="0"/>
    <xf numFmtId="0" fontId="23" fillId="86" borderId="0" applyNumberFormat="0" applyBorder="0" applyAlignment="0" applyProtection="0"/>
    <xf numFmtId="0" fontId="3" fillId="73" borderId="0" applyNumberFormat="0" applyBorder="0" applyAlignment="0" applyProtection="0"/>
    <xf numFmtId="0" fontId="3" fillId="73" borderId="0" applyNumberFormat="0" applyBorder="0" applyAlignment="0" applyProtection="0"/>
    <xf numFmtId="0" fontId="3" fillId="73" borderId="0" applyNumberFormat="0" applyBorder="0" applyAlignment="0" applyProtection="0"/>
    <xf numFmtId="0" fontId="3" fillId="73" borderId="0" applyNumberFormat="0" applyBorder="0" applyAlignment="0" applyProtection="0"/>
    <xf numFmtId="0" fontId="3" fillId="73" borderId="0" applyNumberFormat="0" applyBorder="0" applyAlignment="0" applyProtection="0"/>
    <xf numFmtId="0" fontId="3" fillId="73" borderId="0" applyNumberFormat="0" applyBorder="0" applyAlignment="0" applyProtection="0"/>
    <xf numFmtId="0" fontId="3" fillId="73" borderId="0" applyNumberFormat="0" applyBorder="0" applyAlignment="0" applyProtection="0"/>
    <xf numFmtId="0" fontId="23" fillId="87" borderId="0" applyNumberFormat="0" applyBorder="0" applyAlignment="0" applyProtection="0"/>
    <xf numFmtId="0" fontId="23" fillId="87" borderId="0" applyNumberFormat="0" applyBorder="0" applyAlignment="0" applyProtection="0"/>
    <xf numFmtId="0" fontId="3" fillId="77" borderId="0" applyNumberFormat="0" applyBorder="0" applyAlignment="0" applyProtection="0"/>
    <xf numFmtId="0" fontId="3" fillId="77" borderId="0" applyNumberFormat="0" applyBorder="0" applyAlignment="0" applyProtection="0"/>
    <xf numFmtId="0" fontId="3" fillId="77" borderId="0" applyNumberFormat="0" applyBorder="0" applyAlignment="0" applyProtection="0"/>
    <xf numFmtId="0" fontId="3" fillId="77" borderId="0" applyNumberFormat="0" applyBorder="0" applyAlignment="0" applyProtection="0"/>
    <xf numFmtId="0" fontId="3" fillId="77" borderId="0" applyNumberFormat="0" applyBorder="0" applyAlignment="0" applyProtection="0"/>
    <xf numFmtId="0" fontId="3" fillId="77" borderId="0" applyNumberFormat="0" applyBorder="0" applyAlignment="0" applyProtection="0"/>
    <xf numFmtId="0" fontId="3" fillId="77"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3" fillId="81" borderId="0" applyNumberFormat="0" applyBorder="0" applyAlignment="0" applyProtection="0"/>
    <xf numFmtId="0" fontId="3" fillId="81" borderId="0" applyNumberFormat="0" applyBorder="0" applyAlignment="0" applyProtection="0"/>
    <xf numFmtId="0" fontId="3" fillId="81" borderId="0" applyNumberFormat="0" applyBorder="0" applyAlignment="0" applyProtection="0"/>
    <xf numFmtId="0" fontId="3" fillId="81" borderId="0" applyNumberFormat="0" applyBorder="0" applyAlignment="0" applyProtection="0"/>
    <xf numFmtId="0" fontId="3" fillId="81" borderId="0" applyNumberFormat="0" applyBorder="0" applyAlignment="0" applyProtection="0"/>
    <xf numFmtId="0" fontId="3" fillId="81" borderId="0" applyNumberFormat="0" applyBorder="0" applyAlignment="0" applyProtection="0"/>
    <xf numFmtId="0" fontId="3" fillId="81" borderId="0" applyNumberFormat="0" applyBorder="0" applyAlignment="0" applyProtection="0"/>
    <xf numFmtId="0" fontId="23" fillId="6" borderId="0" applyNumberFormat="0" applyBorder="0" applyAlignment="0" applyProtection="0"/>
    <xf numFmtId="0" fontId="23" fillId="6" borderId="0" applyNumberFormat="0" applyBorder="0" applyAlignment="0" applyProtection="0"/>
    <xf numFmtId="0" fontId="3" fillId="62" borderId="0" applyNumberFormat="0" applyBorder="0" applyAlignment="0" applyProtection="0"/>
    <xf numFmtId="0" fontId="3" fillId="62" borderId="0" applyNumberFormat="0" applyBorder="0" applyAlignment="0" applyProtection="0"/>
    <xf numFmtId="0" fontId="3" fillId="62" borderId="0" applyNumberFormat="0" applyBorder="0" applyAlignment="0" applyProtection="0"/>
    <xf numFmtId="0" fontId="3" fillId="62" borderId="0" applyNumberFormat="0" applyBorder="0" applyAlignment="0" applyProtection="0"/>
    <xf numFmtId="0" fontId="3" fillId="62" borderId="0" applyNumberFormat="0" applyBorder="0" applyAlignment="0" applyProtection="0"/>
    <xf numFmtId="0" fontId="3" fillId="62" borderId="0" applyNumberFormat="0" applyBorder="0" applyAlignment="0" applyProtection="0"/>
    <xf numFmtId="0" fontId="3" fillId="62" borderId="0" applyNumberFormat="0" applyBorder="0" applyAlignment="0" applyProtection="0"/>
    <xf numFmtId="0" fontId="23" fillId="3" borderId="0" applyNumberFormat="0" applyBorder="0" applyAlignment="0" applyProtection="0"/>
    <xf numFmtId="0" fontId="23" fillId="3" borderId="0" applyNumberFormat="0" applyBorder="0" applyAlignment="0" applyProtection="0"/>
    <xf numFmtId="0" fontId="3" fillId="66" borderId="0" applyNumberFormat="0" applyBorder="0" applyAlignment="0" applyProtection="0"/>
    <xf numFmtId="0" fontId="3" fillId="66" borderId="0" applyNumberFormat="0" applyBorder="0" applyAlignment="0" applyProtection="0"/>
    <xf numFmtId="0" fontId="3" fillId="66" borderId="0" applyNumberFormat="0" applyBorder="0" applyAlignment="0" applyProtection="0"/>
    <xf numFmtId="0" fontId="3" fillId="66" borderId="0" applyNumberFormat="0" applyBorder="0" applyAlignment="0" applyProtection="0"/>
    <xf numFmtId="0" fontId="3" fillId="66" borderId="0" applyNumberFormat="0" applyBorder="0" applyAlignment="0" applyProtection="0"/>
    <xf numFmtId="0" fontId="3" fillId="66" borderId="0" applyNumberFormat="0" applyBorder="0" applyAlignment="0" applyProtection="0"/>
    <xf numFmtId="0" fontId="3" fillId="66" borderId="0" applyNumberFormat="0" applyBorder="0" applyAlignment="0" applyProtection="0"/>
    <xf numFmtId="0" fontId="23" fillId="39" borderId="0" applyNumberFormat="0" applyBorder="0" applyAlignment="0" applyProtection="0"/>
    <xf numFmtId="0" fontId="23" fillId="39" borderId="0" applyNumberFormat="0" applyBorder="0" applyAlignment="0" applyProtection="0"/>
    <xf numFmtId="0" fontId="3" fillId="70" borderId="0" applyNumberFormat="0" applyBorder="0" applyAlignment="0" applyProtection="0"/>
    <xf numFmtId="0" fontId="3" fillId="70" borderId="0" applyNumberFormat="0" applyBorder="0" applyAlignment="0" applyProtection="0"/>
    <xf numFmtId="0" fontId="3" fillId="70" borderId="0" applyNumberFormat="0" applyBorder="0" applyAlignment="0" applyProtection="0"/>
    <xf numFmtId="0" fontId="3" fillId="70" borderId="0" applyNumberFormat="0" applyBorder="0" applyAlignment="0" applyProtection="0"/>
    <xf numFmtId="0" fontId="3" fillId="70" borderId="0" applyNumberFormat="0" applyBorder="0" applyAlignment="0" applyProtection="0"/>
    <xf numFmtId="0" fontId="3" fillId="70" borderId="0" applyNumberFormat="0" applyBorder="0" applyAlignment="0" applyProtection="0"/>
    <xf numFmtId="0" fontId="3" fillId="70" borderId="0" applyNumberFormat="0" applyBorder="0" applyAlignment="0" applyProtection="0"/>
    <xf numFmtId="0" fontId="23" fillId="86" borderId="0" applyNumberFormat="0" applyBorder="0" applyAlignment="0" applyProtection="0"/>
    <xf numFmtId="0" fontId="23" fillId="86" borderId="0" applyNumberFormat="0" applyBorder="0" applyAlignment="0" applyProtection="0"/>
    <xf numFmtId="0" fontId="3" fillId="74" borderId="0" applyNumberFormat="0" applyBorder="0" applyAlignment="0" applyProtection="0"/>
    <xf numFmtId="0" fontId="3" fillId="74" borderId="0" applyNumberFormat="0" applyBorder="0" applyAlignment="0" applyProtection="0"/>
    <xf numFmtId="0" fontId="3" fillId="74" borderId="0" applyNumberFormat="0" applyBorder="0" applyAlignment="0" applyProtection="0"/>
    <xf numFmtId="0" fontId="3" fillId="74" borderId="0" applyNumberFormat="0" applyBorder="0" applyAlignment="0" applyProtection="0"/>
    <xf numFmtId="0" fontId="3" fillId="74" borderId="0" applyNumberFormat="0" applyBorder="0" applyAlignment="0" applyProtection="0"/>
    <xf numFmtId="0" fontId="3" fillId="74" borderId="0" applyNumberFormat="0" applyBorder="0" applyAlignment="0" applyProtection="0"/>
    <xf numFmtId="0" fontId="3" fillId="74" borderId="0" applyNumberFormat="0" applyBorder="0" applyAlignment="0" applyProtection="0"/>
    <xf numFmtId="0" fontId="23" fillId="6" borderId="0" applyNumberFormat="0" applyBorder="0" applyAlignment="0" applyProtection="0"/>
    <xf numFmtId="0" fontId="23" fillId="6" borderId="0" applyNumberFormat="0" applyBorder="0" applyAlignment="0" applyProtection="0"/>
    <xf numFmtId="0" fontId="3" fillId="78" borderId="0" applyNumberFormat="0" applyBorder="0" applyAlignment="0" applyProtection="0"/>
    <xf numFmtId="0" fontId="3" fillId="78" borderId="0" applyNumberFormat="0" applyBorder="0" applyAlignment="0" applyProtection="0"/>
    <xf numFmtId="0" fontId="3" fillId="78" borderId="0" applyNumberFormat="0" applyBorder="0" applyAlignment="0" applyProtection="0"/>
    <xf numFmtId="0" fontId="3" fillId="78" borderId="0" applyNumberFormat="0" applyBorder="0" applyAlignment="0" applyProtection="0"/>
    <xf numFmtId="0" fontId="3" fillId="78" borderId="0" applyNumberFormat="0" applyBorder="0" applyAlignment="0" applyProtection="0"/>
    <xf numFmtId="0" fontId="3" fillId="78" borderId="0" applyNumberFormat="0" applyBorder="0" applyAlignment="0" applyProtection="0"/>
    <xf numFmtId="0" fontId="3" fillId="78" borderId="0" applyNumberFormat="0" applyBorder="0" applyAlignment="0" applyProtection="0"/>
    <xf numFmtId="0" fontId="23" fillId="35" borderId="0" applyNumberFormat="0" applyBorder="0" applyAlignment="0" applyProtection="0"/>
    <xf numFmtId="0" fontId="23" fillId="35" borderId="0" applyNumberFormat="0" applyBorder="0" applyAlignment="0" applyProtection="0"/>
    <xf numFmtId="0" fontId="3" fillId="82" borderId="0" applyNumberFormat="0" applyBorder="0" applyAlignment="0" applyProtection="0"/>
    <xf numFmtId="0" fontId="3" fillId="82" borderId="0" applyNumberFormat="0" applyBorder="0" applyAlignment="0" applyProtection="0"/>
    <xf numFmtId="0" fontId="3" fillId="82" borderId="0" applyNumberFormat="0" applyBorder="0" applyAlignment="0" applyProtection="0"/>
    <xf numFmtId="0" fontId="3" fillId="82" borderId="0" applyNumberFormat="0" applyBorder="0" applyAlignment="0" applyProtection="0"/>
    <xf numFmtId="0" fontId="3" fillId="82" borderId="0" applyNumberFormat="0" applyBorder="0" applyAlignment="0" applyProtection="0"/>
    <xf numFmtId="0" fontId="3" fillId="82" borderId="0" applyNumberFormat="0" applyBorder="0" applyAlignment="0" applyProtection="0"/>
    <xf numFmtId="0" fontId="3" fillId="82" borderId="0" applyNumberFormat="0" applyBorder="0" applyAlignment="0" applyProtection="0"/>
    <xf numFmtId="0" fontId="22" fillId="88" borderId="0" applyNumberFormat="0" applyBorder="0" applyAlignment="0" applyProtection="0"/>
    <xf numFmtId="0" fontId="22" fillId="3" borderId="0" applyNumberFormat="0" applyBorder="0" applyAlignment="0" applyProtection="0"/>
    <xf numFmtId="0" fontId="22" fillId="39" borderId="0" applyNumberFormat="0" applyBorder="0" applyAlignment="0" applyProtection="0"/>
    <xf numFmtId="0" fontId="22" fillId="89" borderId="0" applyNumberFormat="0" applyBorder="0" applyAlignment="0" applyProtection="0"/>
    <xf numFmtId="0" fontId="22" fillId="51" borderId="0" applyNumberFormat="0" applyBorder="0" applyAlignment="0" applyProtection="0"/>
    <xf numFmtId="0" fontId="22" fillId="36" borderId="0" applyNumberFormat="0" applyBorder="0" applyAlignment="0" applyProtection="0"/>
    <xf numFmtId="0" fontId="23" fillId="90" borderId="0" applyNumberFormat="0" applyBorder="0" applyAlignment="0" applyProtection="0"/>
    <xf numFmtId="0" fontId="23" fillId="90"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2" fillId="91" borderId="0" applyNumberFormat="0" applyBorder="0" applyAlignment="0" applyProtection="0"/>
    <xf numFmtId="0" fontId="22" fillId="12" borderId="0" applyNumberFormat="0" applyBorder="0" applyAlignment="0" applyProtection="0"/>
    <xf numFmtId="0" fontId="22" fillId="92" borderId="0" applyNumberFormat="0" applyBorder="0" applyAlignment="0" applyProtection="0"/>
    <xf numFmtId="0" fontId="22" fillId="92" borderId="0" applyNumberFormat="0" applyBorder="0" applyAlignment="0" applyProtection="0"/>
    <xf numFmtId="0" fontId="22" fillId="92" borderId="0" applyNumberFormat="0" applyBorder="0" applyAlignment="0" applyProtection="0"/>
    <xf numFmtId="0" fontId="22" fillId="92" borderId="0" applyNumberFormat="0" applyBorder="0" applyAlignment="0" applyProtection="0"/>
    <xf numFmtId="0" fontId="22" fillId="92" borderId="0" applyNumberFormat="0" applyBorder="0" applyAlignment="0" applyProtection="0"/>
    <xf numFmtId="0" fontId="23" fillId="93" borderId="0" applyNumberFormat="0" applyBorder="0" applyAlignment="0" applyProtection="0"/>
    <xf numFmtId="0" fontId="23" fillId="93" borderId="0" applyNumberFormat="0" applyBorder="0" applyAlignment="0" applyProtection="0"/>
    <xf numFmtId="0" fontId="23" fillId="21" borderId="0" applyNumberFormat="0" applyBorder="0" applyAlignment="0" applyProtection="0"/>
    <xf numFmtId="0" fontId="23" fillId="21" borderId="0" applyNumberFormat="0" applyBorder="0" applyAlignment="0" applyProtection="0"/>
    <xf numFmtId="0" fontId="22" fillId="18" borderId="0" applyNumberFormat="0" applyBorder="0" applyAlignment="0" applyProtection="0"/>
    <xf numFmtId="0" fontId="22" fillId="16" borderId="0" applyNumberFormat="0" applyBorder="0" applyAlignment="0" applyProtection="0"/>
    <xf numFmtId="0" fontId="22" fillId="34" borderId="0" applyNumberFormat="0" applyBorder="0" applyAlignment="0" applyProtection="0"/>
    <xf numFmtId="0" fontId="22" fillId="34" borderId="0" applyNumberFormat="0" applyBorder="0" applyAlignment="0" applyProtection="0"/>
    <xf numFmtId="0" fontId="22" fillId="34" borderId="0" applyNumberFormat="0" applyBorder="0" applyAlignment="0" applyProtection="0"/>
    <xf numFmtId="0" fontId="22" fillId="34" borderId="0" applyNumberFormat="0" applyBorder="0" applyAlignment="0" applyProtection="0"/>
    <xf numFmtId="0" fontId="22" fillId="34" borderId="0" applyNumberFormat="0" applyBorder="0" applyAlignment="0" applyProtection="0"/>
    <xf numFmtId="0" fontId="23" fillId="94" borderId="0" applyNumberFormat="0" applyBorder="0" applyAlignment="0" applyProtection="0"/>
    <xf numFmtId="0" fontId="23" fillId="94" borderId="0" applyNumberFormat="0" applyBorder="0" applyAlignment="0" applyProtection="0"/>
    <xf numFmtId="0" fontId="23" fillId="95" borderId="0" applyNumberFormat="0" applyBorder="0" applyAlignment="0" applyProtection="0"/>
    <xf numFmtId="0" fontId="23" fillId="95" borderId="0" applyNumberFormat="0" applyBorder="0" applyAlignment="0" applyProtection="0"/>
    <xf numFmtId="0" fontId="22" fillId="96" borderId="0" applyNumberFormat="0" applyBorder="0" applyAlignment="0" applyProtection="0"/>
    <xf numFmtId="0" fontId="22" fillId="97" borderId="0" applyNumberFormat="0" applyBorder="0" applyAlignment="0" applyProtection="0"/>
    <xf numFmtId="0" fontId="22" fillId="9" borderId="0" applyNumberFormat="0" applyBorder="0" applyAlignment="0" applyProtection="0"/>
    <xf numFmtId="0" fontId="22" fillId="9" borderId="0" applyNumberFormat="0" applyBorder="0" applyAlignment="0" applyProtection="0"/>
    <xf numFmtId="0" fontId="22" fillId="9" borderId="0" applyNumberFormat="0" applyBorder="0" applyAlignment="0" applyProtection="0"/>
    <xf numFmtId="0" fontId="22" fillId="9" borderId="0" applyNumberFormat="0" applyBorder="0" applyAlignment="0" applyProtection="0"/>
    <xf numFmtId="0" fontId="22" fillId="9" borderId="0" applyNumberFormat="0" applyBorder="0" applyAlignment="0" applyProtection="0"/>
    <xf numFmtId="0" fontId="23" fillId="93" borderId="0" applyNumberFormat="0" applyBorder="0" applyAlignment="0" applyProtection="0"/>
    <xf numFmtId="0" fontId="23" fillId="93"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2" fillId="21" borderId="0" applyNumberFormat="0" applyBorder="0" applyAlignment="0" applyProtection="0"/>
    <xf numFmtId="0" fontId="22" fillId="98" borderId="0" applyNumberFormat="0" applyBorder="0" applyAlignment="0" applyProtection="0"/>
    <xf numFmtId="0" fontId="22" fillId="89" borderId="0" applyNumberFormat="0" applyBorder="0" applyAlignment="0" applyProtection="0"/>
    <xf numFmtId="0" fontId="22" fillId="89" borderId="0" applyNumberFormat="0" applyBorder="0" applyAlignment="0" applyProtection="0"/>
    <xf numFmtId="0" fontId="22" fillId="89" borderId="0" applyNumberFormat="0" applyBorder="0" applyAlignment="0" applyProtection="0"/>
    <xf numFmtId="0" fontId="22" fillId="89" borderId="0" applyNumberFormat="0" applyBorder="0" applyAlignment="0" applyProtection="0"/>
    <xf numFmtId="0" fontId="22" fillId="89" borderId="0" applyNumberFormat="0" applyBorder="0" applyAlignment="0" applyProtection="0"/>
    <xf numFmtId="0" fontId="23" fillId="20" borderId="0" applyNumberFormat="0" applyBorder="0" applyAlignment="0" applyProtection="0"/>
    <xf numFmtId="0" fontId="23" fillId="20" borderId="0" applyNumberFormat="0" applyBorder="0" applyAlignment="0" applyProtection="0"/>
    <xf numFmtId="0" fontId="105" fillId="68" borderId="0" applyNumberFormat="0" applyBorder="0" applyAlignment="0" applyProtection="0"/>
    <xf numFmtId="0" fontId="22" fillId="91" borderId="0" applyNumberFormat="0" applyBorder="0" applyAlignment="0" applyProtection="0"/>
    <xf numFmtId="0" fontId="22" fillId="91" borderId="0" applyNumberFormat="0" applyBorder="0" applyAlignment="0" applyProtection="0"/>
    <xf numFmtId="0" fontId="22" fillId="51" borderId="0" applyNumberFormat="0" applyBorder="0" applyAlignment="0" applyProtection="0"/>
    <xf numFmtId="0" fontId="22" fillId="51" borderId="0" applyNumberFormat="0" applyBorder="0" applyAlignment="0" applyProtection="0"/>
    <xf numFmtId="0" fontId="22" fillId="51" borderId="0" applyNumberFormat="0" applyBorder="0" applyAlignment="0" applyProtection="0"/>
    <xf numFmtId="0" fontId="22" fillId="51" borderId="0" applyNumberFormat="0" applyBorder="0" applyAlignment="0" applyProtection="0"/>
    <xf numFmtId="0" fontId="22" fillId="51"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2" fillId="99" borderId="0" applyNumberFormat="0" applyBorder="0" applyAlignment="0" applyProtection="0"/>
    <xf numFmtId="0" fontId="22" fillId="100" borderId="0" applyNumberFormat="0" applyBorder="0" applyAlignment="0" applyProtection="0"/>
    <xf numFmtId="0" fontId="22" fillId="37" borderId="0" applyNumberFormat="0" applyBorder="0" applyAlignment="0" applyProtection="0"/>
    <xf numFmtId="0" fontId="22" fillId="37" borderId="0" applyNumberFormat="0" applyBorder="0" applyAlignment="0" applyProtection="0"/>
    <xf numFmtId="0" fontId="22" fillId="37" borderId="0" applyNumberFormat="0" applyBorder="0" applyAlignment="0" applyProtection="0"/>
    <xf numFmtId="0" fontId="22" fillId="37" borderId="0" applyNumberFormat="0" applyBorder="0" applyAlignment="0" applyProtection="0"/>
    <xf numFmtId="0" fontId="22" fillId="37" borderId="0" applyNumberFormat="0" applyBorder="0" applyAlignment="0" applyProtection="0"/>
    <xf numFmtId="0" fontId="107" fillId="26" borderId="0" applyNumberFormat="0" applyBorder="0" applyAlignment="0" applyProtection="0"/>
    <xf numFmtId="0" fontId="96" fillId="54" borderId="0" applyNumberFormat="0" applyBorder="0" applyAlignment="0" applyProtection="0"/>
    <xf numFmtId="0" fontId="108" fillId="7" borderId="0" applyNumberFormat="0" applyBorder="0" applyAlignment="0" applyProtection="0"/>
    <xf numFmtId="0" fontId="109" fillId="101" borderId="69" applyNumberFormat="0" applyAlignment="0" applyProtection="0"/>
    <xf numFmtId="0" fontId="110" fillId="10" borderId="1" applyNumberFormat="0" applyAlignment="0" applyProtection="0"/>
    <xf numFmtId="0" fontId="26" fillId="98" borderId="2" applyNumberFormat="0" applyAlignment="0" applyProtection="0"/>
    <xf numFmtId="0" fontId="26" fillId="102" borderId="2" applyNumberFormat="0" applyAlignment="0" applyProtection="0"/>
    <xf numFmtId="41" fontId="111"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11" fillId="0" borderId="0" applyFont="0" applyFill="0" applyBorder="0" applyAlignment="0" applyProtection="0"/>
    <xf numFmtId="43" fontId="111" fillId="0" borderId="0" applyFont="0" applyFill="0" applyBorder="0" applyAlignment="0" applyProtection="0"/>
    <xf numFmtId="43" fontId="111" fillId="0" borderId="0" applyFont="0" applyFill="0" applyBorder="0" applyAlignment="0" applyProtection="0"/>
    <xf numFmtId="43" fontId="111" fillId="0" borderId="0" applyFont="0" applyFill="0" applyBorder="0" applyAlignment="0" applyProtection="0"/>
    <xf numFmtId="43" fontId="111" fillId="0" borderId="0" applyFont="0" applyFill="0" applyBorder="0" applyAlignment="0" applyProtection="0"/>
    <xf numFmtId="43" fontId="111" fillId="0" borderId="0" applyFont="0" applyFill="0" applyBorder="0" applyAlignment="0" applyProtection="0"/>
    <xf numFmtId="43" fontId="111" fillId="0" borderId="0" applyFont="0" applyFill="0" applyBorder="0" applyAlignment="0" applyProtection="0"/>
    <xf numFmtId="43" fontId="111" fillId="0" borderId="0" applyFont="0" applyFill="0" applyBorder="0" applyAlignment="0" applyProtection="0"/>
    <xf numFmtId="43" fontId="111" fillId="0" borderId="0" applyFont="0" applyFill="0" applyBorder="0" applyAlignment="0" applyProtection="0"/>
    <xf numFmtId="43" fontId="111" fillId="0" borderId="0" applyFont="0" applyFill="0" applyBorder="0" applyAlignment="0" applyProtection="0"/>
    <xf numFmtId="43" fontId="111" fillId="0" borderId="0" applyFont="0" applyFill="0" applyBorder="0" applyAlignment="0" applyProtection="0"/>
    <xf numFmtId="43" fontId="111"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111" fillId="0" borderId="0" applyFont="0" applyFill="0" applyBorder="0" applyAlignment="0" applyProtection="0"/>
    <xf numFmtId="43" fontId="111" fillId="0" borderId="0" applyFont="0" applyFill="0" applyBorder="0" applyAlignment="0" applyProtection="0"/>
    <xf numFmtId="43" fontId="111" fillId="0" borderId="0" applyFont="0" applyFill="0" applyBorder="0" applyAlignment="0" applyProtection="0"/>
    <xf numFmtId="43" fontId="111" fillId="0" borderId="0" applyFont="0" applyFill="0" applyBorder="0" applyAlignment="0" applyProtection="0"/>
    <xf numFmtId="43" fontId="23" fillId="0" borderId="0" applyFont="0" applyFill="0" applyBorder="0" applyAlignment="0" applyProtection="0"/>
    <xf numFmtId="43" fontId="16" fillId="0" borderId="0" applyFont="0" applyFill="0" applyBorder="0" applyAlignment="0" applyProtection="0"/>
    <xf numFmtId="43" fontId="111" fillId="0" borderId="0" applyFont="0" applyFill="0" applyBorder="0" applyAlignment="0" applyProtection="0"/>
    <xf numFmtId="43" fontId="111" fillId="0" borderId="0" applyFont="0" applyFill="0" applyBorder="0" applyAlignment="0" applyProtection="0"/>
    <xf numFmtId="43" fontId="111" fillId="0" borderId="0" applyFont="0" applyFill="0" applyBorder="0" applyAlignment="0" applyProtection="0"/>
    <xf numFmtId="43" fontId="111" fillId="0" borderId="0" applyFont="0" applyFill="0" applyBorder="0" applyAlignment="0" applyProtection="0"/>
    <xf numFmtId="43" fontId="111" fillId="0" borderId="0" applyFont="0" applyFill="0" applyBorder="0" applyAlignment="0" applyProtection="0"/>
    <xf numFmtId="43" fontId="111" fillId="0" borderId="0" applyFont="0" applyFill="0" applyBorder="0" applyAlignment="0" applyProtection="0"/>
    <xf numFmtId="43" fontId="111" fillId="0" borderId="0" applyFont="0" applyFill="0" applyBorder="0" applyAlignment="0" applyProtection="0"/>
    <xf numFmtId="43" fontId="111" fillId="0" borderId="0" applyFont="0" applyFill="0" applyBorder="0" applyAlignment="0" applyProtection="0"/>
    <xf numFmtId="43" fontId="111" fillId="0" borderId="0" applyFont="0" applyFill="0" applyBorder="0" applyAlignment="0" applyProtection="0"/>
    <xf numFmtId="43" fontId="111" fillId="0" borderId="0" applyFont="0" applyFill="0" applyBorder="0" applyAlignment="0" applyProtection="0"/>
    <xf numFmtId="43" fontId="111" fillId="0" borderId="0" applyFont="0" applyFill="0" applyBorder="0" applyAlignment="0" applyProtection="0"/>
    <xf numFmtId="43" fontId="111" fillId="0" borderId="0" applyFont="0" applyFill="0" applyBorder="0" applyAlignment="0" applyProtection="0"/>
    <xf numFmtId="43" fontId="111" fillId="0" borderId="0" applyFont="0" applyFill="0" applyBorder="0" applyAlignment="0" applyProtection="0"/>
    <xf numFmtId="43" fontId="111" fillId="0" borderId="0" applyFont="0" applyFill="0" applyBorder="0" applyAlignment="0" applyProtection="0"/>
    <xf numFmtId="43" fontId="111" fillId="0" borderId="0" applyFont="0" applyFill="0" applyBorder="0" applyAlignment="0" applyProtection="0"/>
    <xf numFmtId="43" fontId="111" fillId="0" borderId="0" applyFont="0" applyFill="0" applyBorder="0" applyAlignment="0" applyProtection="0"/>
    <xf numFmtId="43" fontId="111" fillId="0" borderId="0" applyFont="0" applyFill="0" applyBorder="0" applyAlignment="0" applyProtection="0"/>
    <xf numFmtId="43" fontId="16" fillId="0" borderId="0" applyFont="0" applyFill="0" applyBorder="0" applyAlignment="0" applyProtection="0"/>
    <xf numFmtId="43" fontId="111" fillId="0" borderId="0" applyFont="0" applyFill="0" applyBorder="0" applyAlignment="0" applyProtection="0"/>
    <xf numFmtId="43" fontId="16" fillId="0" borderId="0" applyFont="0" applyFill="0" applyBorder="0" applyAlignment="0" applyProtection="0"/>
    <xf numFmtId="43" fontId="111" fillId="0" borderId="0" applyFont="0" applyFill="0" applyBorder="0" applyAlignment="0" applyProtection="0"/>
    <xf numFmtId="43" fontId="111" fillId="0" borderId="0" applyFont="0" applyFill="0" applyBorder="0" applyAlignment="0" applyProtection="0"/>
    <xf numFmtId="43" fontId="111" fillId="0" borderId="0" applyFont="0" applyFill="0" applyBorder="0" applyAlignment="0" applyProtection="0"/>
    <xf numFmtId="43" fontId="111" fillId="0" borderId="0" applyFont="0" applyFill="0" applyBorder="0" applyAlignment="0" applyProtection="0"/>
    <xf numFmtId="43" fontId="111" fillId="0" borderId="0" applyFont="0" applyFill="0" applyBorder="0" applyAlignment="0" applyProtection="0"/>
    <xf numFmtId="43" fontId="111" fillId="0" borderId="0" applyFont="0" applyFill="0" applyBorder="0" applyAlignment="0" applyProtection="0"/>
    <xf numFmtId="43" fontId="111" fillId="0" borderId="0" applyFont="0" applyFill="0" applyBorder="0" applyAlignment="0" applyProtection="0"/>
    <xf numFmtId="43" fontId="111" fillId="0" borderId="0" applyFont="0" applyFill="0" applyBorder="0" applyAlignment="0" applyProtection="0"/>
    <xf numFmtId="43" fontId="111" fillId="0" borderId="0" applyFont="0" applyFill="0" applyBorder="0" applyAlignment="0" applyProtection="0"/>
    <xf numFmtId="43" fontId="111" fillId="0" borderId="0" applyFont="0" applyFill="0" applyBorder="0" applyAlignment="0" applyProtection="0"/>
    <xf numFmtId="43" fontId="111"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11" fillId="0" borderId="0" applyFont="0" applyFill="0" applyBorder="0" applyAlignment="0" applyProtection="0"/>
    <xf numFmtId="43" fontId="111" fillId="0" borderId="0" applyFont="0" applyFill="0" applyBorder="0" applyAlignment="0" applyProtection="0"/>
    <xf numFmtId="43" fontId="111" fillId="0" borderId="0" applyFont="0" applyFill="0" applyBorder="0" applyAlignment="0" applyProtection="0"/>
    <xf numFmtId="43" fontId="111" fillId="0" borderId="0" applyFont="0" applyFill="0" applyBorder="0" applyAlignment="0" applyProtection="0"/>
    <xf numFmtId="43" fontId="111" fillId="0" borderId="0" applyFont="0" applyFill="0" applyBorder="0" applyAlignment="0" applyProtection="0"/>
    <xf numFmtId="0" fontId="105" fillId="60" borderId="0" applyNumberFormat="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4" fontId="16" fillId="0" borderId="0" applyFont="0" applyFill="0" applyBorder="0" applyAlignment="0" applyProtection="0"/>
    <xf numFmtId="44" fontId="16" fillId="0" borderId="0" applyFont="0" applyFill="0" applyBorder="0" applyAlignment="0" applyProtection="0"/>
    <xf numFmtId="44" fontId="16" fillId="0" borderId="0" applyFont="0" applyFill="0" applyBorder="0" applyAlignment="0" applyProtection="0"/>
    <xf numFmtId="44" fontId="111" fillId="0" borderId="0" applyFont="0" applyFill="0" applyBorder="0" applyAlignment="0" applyProtection="0"/>
    <xf numFmtId="44" fontId="111" fillId="0" borderId="0" applyFont="0" applyFill="0" applyBorder="0" applyAlignment="0" applyProtection="0"/>
    <xf numFmtId="44" fontId="111" fillId="0" borderId="0" applyFont="0" applyFill="0" applyBorder="0" applyAlignment="0" applyProtection="0"/>
    <xf numFmtId="44" fontId="111" fillId="0" borderId="0" applyFont="0" applyFill="0" applyBorder="0" applyAlignment="0" applyProtection="0"/>
    <xf numFmtId="44" fontId="111" fillId="0" borderId="0" applyFont="0" applyFill="0" applyBorder="0" applyAlignment="0" applyProtection="0"/>
    <xf numFmtId="44" fontId="111" fillId="0" borderId="0" applyFont="0" applyFill="0" applyBorder="0" applyAlignment="0" applyProtection="0"/>
    <xf numFmtId="44" fontId="111" fillId="0" borderId="0" applyFont="0" applyFill="0" applyBorder="0" applyAlignment="0" applyProtection="0"/>
    <xf numFmtId="44" fontId="111" fillId="0" borderId="0" applyFont="0" applyFill="0" applyBorder="0" applyAlignment="0" applyProtection="0"/>
    <xf numFmtId="44" fontId="111" fillId="0" borderId="0" applyFont="0" applyFill="0" applyBorder="0" applyAlignment="0" applyProtection="0"/>
    <xf numFmtId="44" fontId="111" fillId="0" borderId="0" applyFont="0" applyFill="0" applyBorder="0" applyAlignment="0" applyProtection="0"/>
    <xf numFmtId="44" fontId="111" fillId="0" borderId="0" applyFont="0" applyFill="0" applyBorder="0" applyAlignment="0" applyProtection="0"/>
    <xf numFmtId="44" fontId="111" fillId="0" borderId="0" applyFont="0" applyFill="0" applyBorder="0" applyAlignment="0" applyProtection="0"/>
    <xf numFmtId="44" fontId="16" fillId="0" borderId="0" applyFont="0" applyFill="0" applyBorder="0" applyAlignment="0" applyProtection="0"/>
    <xf numFmtId="44" fontId="16"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111" fillId="0" borderId="0" applyFont="0" applyFill="0" applyBorder="0" applyAlignment="0" applyProtection="0"/>
    <xf numFmtId="44" fontId="111" fillId="0" borderId="0" applyFont="0" applyFill="0" applyBorder="0" applyAlignment="0" applyProtection="0"/>
    <xf numFmtId="44" fontId="111" fillId="0" borderId="0" applyFont="0" applyFill="0" applyBorder="0" applyAlignment="0" applyProtection="0"/>
    <xf numFmtId="44" fontId="16" fillId="0" borderId="0" applyFont="0" applyFill="0" applyBorder="0" applyAlignment="0" applyProtection="0"/>
    <xf numFmtId="44" fontId="111" fillId="0" borderId="0" applyFont="0" applyFill="0" applyBorder="0" applyAlignment="0" applyProtection="0"/>
    <xf numFmtId="44" fontId="16" fillId="0" borderId="0" applyFont="0" applyFill="0" applyBorder="0" applyAlignment="0" applyProtection="0"/>
    <xf numFmtId="44" fontId="111" fillId="0" borderId="0" applyFont="0" applyFill="0" applyBorder="0" applyAlignment="0" applyProtection="0"/>
    <xf numFmtId="44" fontId="111" fillId="0" borderId="0" applyFont="0" applyFill="0" applyBorder="0" applyAlignment="0" applyProtection="0"/>
    <xf numFmtId="44" fontId="111" fillId="0" borderId="0" applyFont="0" applyFill="0" applyBorder="0" applyAlignment="0" applyProtection="0"/>
    <xf numFmtId="44" fontId="16" fillId="0" borderId="0" applyFont="0" applyFill="0" applyBorder="0" applyAlignment="0" applyProtection="0"/>
    <xf numFmtId="44" fontId="111" fillId="0" borderId="0" applyFont="0" applyFill="0" applyBorder="0" applyAlignment="0" applyProtection="0"/>
    <xf numFmtId="44" fontId="111" fillId="0" borderId="0" applyFont="0" applyFill="0" applyBorder="0" applyAlignment="0" applyProtection="0"/>
    <xf numFmtId="44" fontId="111" fillId="0" borderId="0" applyFont="0" applyFill="0" applyBorder="0" applyAlignment="0" applyProtection="0"/>
    <xf numFmtId="44" fontId="16" fillId="0" borderId="0" applyFont="0" applyFill="0" applyBorder="0" applyAlignment="0" applyProtection="0"/>
    <xf numFmtId="44" fontId="111" fillId="0" borderId="0" applyFont="0" applyFill="0" applyBorder="0" applyAlignment="0" applyProtection="0"/>
    <xf numFmtId="44" fontId="111" fillId="0" borderId="0" applyFont="0" applyFill="0" applyBorder="0" applyAlignment="0" applyProtection="0"/>
    <xf numFmtId="44" fontId="16" fillId="0" borderId="0" applyFont="0" applyFill="0" applyBorder="0" applyAlignment="0" applyProtection="0"/>
    <xf numFmtId="44" fontId="16" fillId="0" borderId="0" applyFont="0" applyFill="0" applyBorder="0" applyAlignment="0" applyProtection="0"/>
    <xf numFmtId="44" fontId="3" fillId="0" borderId="0" applyFont="0" applyFill="0" applyBorder="0" applyAlignment="0" applyProtection="0"/>
    <xf numFmtId="44" fontId="16" fillId="0" borderId="0" applyFont="0" applyFill="0" applyBorder="0" applyAlignment="0" applyProtection="0"/>
    <xf numFmtId="44" fontId="111" fillId="0" borderId="0" applyFont="0" applyFill="0" applyBorder="0" applyAlignment="0" applyProtection="0"/>
    <xf numFmtId="44" fontId="111" fillId="0" borderId="0" applyFont="0" applyFill="0" applyBorder="0" applyAlignment="0" applyProtection="0"/>
    <xf numFmtId="44" fontId="111" fillId="0" borderId="0" applyFont="0" applyFill="0" applyBorder="0" applyAlignment="0" applyProtection="0"/>
    <xf numFmtId="44" fontId="111" fillId="0" borderId="0" applyFont="0" applyFill="0" applyBorder="0" applyAlignment="0" applyProtection="0"/>
    <xf numFmtId="44" fontId="23" fillId="0" borderId="0" applyFont="0" applyFill="0" applyBorder="0" applyAlignment="0" applyProtection="0"/>
    <xf numFmtId="44" fontId="16" fillId="0" borderId="0" applyFont="0" applyFill="0" applyBorder="0" applyAlignment="0" applyProtection="0"/>
    <xf numFmtId="44" fontId="3" fillId="0" borderId="0" applyFont="0" applyFill="0" applyBorder="0" applyAlignment="0" applyProtection="0"/>
    <xf numFmtId="44" fontId="16" fillId="0" borderId="0" applyFont="0" applyFill="0" applyBorder="0" applyAlignment="0" applyProtection="0"/>
    <xf numFmtId="44" fontId="16" fillId="0" borderId="0" applyFont="0" applyFill="0" applyBorder="0" applyAlignment="0" applyProtection="0"/>
    <xf numFmtId="44" fontId="16" fillId="0" borderId="0" applyFont="0" applyFill="0" applyBorder="0" applyAlignment="0" applyProtection="0"/>
    <xf numFmtId="44" fontId="16" fillId="0" borderId="0" applyFont="0" applyFill="0" applyBorder="0" applyAlignment="0" applyProtection="0"/>
    <xf numFmtId="44" fontId="23" fillId="0" borderId="0" applyFont="0" applyFill="0" applyBorder="0" applyAlignment="0" applyProtection="0"/>
    <xf numFmtId="44" fontId="16" fillId="0" borderId="0" applyFont="0" applyFill="0" applyBorder="0" applyAlignment="0" applyProtection="0"/>
    <xf numFmtId="44" fontId="16" fillId="0" borderId="0" applyFont="0" applyFill="0" applyBorder="0" applyAlignment="0" applyProtection="0"/>
    <xf numFmtId="44" fontId="16" fillId="0" borderId="0" applyFont="0" applyFill="0" applyBorder="0" applyAlignment="0" applyProtection="0"/>
    <xf numFmtId="44" fontId="16" fillId="0" borderId="0" applyFont="0" applyFill="0" applyBorder="0" applyAlignment="0" applyProtection="0"/>
    <xf numFmtId="44" fontId="16" fillId="0" borderId="0" applyFont="0" applyFill="0" applyBorder="0" applyAlignment="0" applyProtection="0"/>
    <xf numFmtId="44" fontId="16" fillId="0" borderId="0" applyFont="0" applyFill="0" applyBorder="0" applyAlignment="0" applyProtection="0"/>
    <xf numFmtId="0" fontId="27" fillId="103" borderId="0" applyNumberFormat="0" applyBorder="0" applyAlignment="0" applyProtection="0"/>
    <xf numFmtId="0" fontId="27" fillId="104" borderId="0" applyNumberFormat="0" applyBorder="0" applyAlignment="0" applyProtection="0"/>
    <xf numFmtId="0" fontId="112" fillId="0" borderId="0" applyNumberFormat="0" applyFill="0" applyBorder="0" applyAlignment="0" applyProtection="0"/>
    <xf numFmtId="0" fontId="23" fillId="95" borderId="0" applyNumberFormat="0" applyBorder="0" applyAlignment="0" applyProtection="0"/>
    <xf numFmtId="0" fontId="29" fillId="85" borderId="0" applyNumberFormat="0" applyBorder="0" applyAlignment="0" applyProtection="0"/>
    <xf numFmtId="0" fontId="23" fillId="95" borderId="0" applyNumberFormat="0" applyBorder="0" applyAlignment="0" applyProtection="0"/>
    <xf numFmtId="0" fontId="30" fillId="0" borderId="3" applyNumberFormat="0" applyFill="0" applyAlignment="0" applyProtection="0"/>
    <xf numFmtId="0" fontId="113" fillId="0" borderId="84" applyNumberFormat="0" applyFill="0" applyAlignment="0" applyProtection="0"/>
    <xf numFmtId="0" fontId="31" fillId="0" borderId="85" applyNumberFormat="0" applyFill="0" applyAlignment="0" applyProtection="0"/>
    <xf numFmtId="0" fontId="114" fillId="0" borderId="4" applyNumberFormat="0" applyFill="0" applyAlignment="0" applyProtection="0"/>
    <xf numFmtId="0" fontId="32" fillId="0" borderId="86" applyNumberFormat="0" applyFill="0" applyAlignment="0" applyProtection="0"/>
    <xf numFmtId="0" fontId="115" fillId="0" borderId="87" applyNumberFormat="0" applyFill="0" applyAlignment="0" applyProtection="0"/>
    <xf numFmtId="0" fontId="32" fillId="0" borderId="0" applyNumberFormat="0" applyFill="0" applyBorder="0" applyAlignment="0" applyProtection="0"/>
    <xf numFmtId="0" fontId="115" fillId="0" borderId="0" applyNumberFormat="0" applyFill="0" applyBorder="0" applyAlignment="0" applyProtection="0"/>
    <xf numFmtId="0" fontId="33" fillId="27" borderId="69" applyNumberFormat="0" applyAlignment="0" applyProtection="0"/>
    <xf numFmtId="0" fontId="116" fillId="11" borderId="1" applyNumberFormat="0" applyAlignment="0" applyProtection="0"/>
    <xf numFmtId="0" fontId="29" fillId="0" borderId="88" applyNumberFormat="0" applyFill="0" applyAlignment="0" applyProtection="0"/>
    <xf numFmtId="0" fontId="117" fillId="0" borderId="89" applyNumberFormat="0" applyFill="0" applyAlignment="0" applyProtection="0"/>
    <xf numFmtId="0" fontId="29" fillId="27" borderId="0" applyNumberFormat="0" applyBorder="0" applyAlignment="0" applyProtection="0"/>
    <xf numFmtId="0" fontId="106" fillId="55" borderId="0" applyNumberFormat="0" applyBorder="0" applyAlignment="0" applyProtection="0"/>
    <xf numFmtId="0" fontId="35" fillId="33" borderId="0" applyNumberFormat="0" applyBorder="0" applyAlignment="0" applyProtection="0"/>
    <xf numFmtId="0" fontId="3" fillId="0" borderId="0"/>
    <xf numFmtId="0" fontId="3" fillId="0" borderId="0"/>
    <xf numFmtId="0" fontId="111" fillId="0" borderId="0"/>
    <xf numFmtId="0" fontId="111" fillId="0" borderId="0"/>
    <xf numFmtId="0" fontId="16" fillId="0" borderId="0"/>
    <xf numFmtId="0" fontId="111" fillId="0" borderId="0"/>
    <xf numFmtId="0" fontId="111" fillId="0" borderId="0"/>
    <xf numFmtId="0" fontId="111" fillId="0" borderId="0"/>
    <xf numFmtId="0" fontId="11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6" fillId="0" borderId="0"/>
    <xf numFmtId="0" fontId="16" fillId="0" borderId="0"/>
    <xf numFmtId="0" fontId="3" fillId="0" borderId="0"/>
    <xf numFmtId="0" fontId="3" fillId="0" borderId="0"/>
    <xf numFmtId="0" fontId="23" fillId="0" borderId="0"/>
    <xf numFmtId="0" fontId="23" fillId="0" borderId="0"/>
    <xf numFmtId="0" fontId="23" fillId="0" borderId="0"/>
    <xf numFmtId="0" fontId="23" fillId="0" borderId="0"/>
    <xf numFmtId="0" fontId="16" fillId="0" borderId="0"/>
    <xf numFmtId="0" fontId="23" fillId="0" borderId="0"/>
    <xf numFmtId="0" fontId="23" fillId="0" borderId="0"/>
    <xf numFmtId="0" fontId="23" fillId="0" borderId="0"/>
    <xf numFmtId="0" fontId="23" fillId="0" borderId="0"/>
    <xf numFmtId="0" fontId="45" fillId="105" borderId="0"/>
    <xf numFmtId="0" fontId="23" fillId="0" borderId="0"/>
    <xf numFmtId="0" fontId="16" fillId="0" borderId="0"/>
    <xf numFmtId="0" fontId="16" fillId="0" borderId="0"/>
    <xf numFmtId="0" fontId="23" fillId="0" borderId="0"/>
    <xf numFmtId="0" fontId="23" fillId="0" borderId="0"/>
    <xf numFmtId="0" fontId="45" fillId="105" borderId="0"/>
    <xf numFmtId="0" fontId="23" fillId="0" borderId="0"/>
    <xf numFmtId="0" fontId="23" fillId="0" borderId="0"/>
    <xf numFmtId="0" fontId="16" fillId="0" borderId="0"/>
    <xf numFmtId="0" fontId="23" fillId="0" borderId="0"/>
    <xf numFmtId="0" fontId="23" fillId="0" borderId="0"/>
    <xf numFmtId="0" fontId="23" fillId="0" borderId="0"/>
    <xf numFmtId="0" fontId="23" fillId="0" borderId="0"/>
    <xf numFmtId="0" fontId="23" fillId="0" borderId="0"/>
    <xf numFmtId="0" fontId="23" fillId="0" borderId="0"/>
    <xf numFmtId="0" fontId="16" fillId="0" borderId="0"/>
    <xf numFmtId="0" fontId="16"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11" fillId="0" borderId="0"/>
    <xf numFmtId="0" fontId="11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1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6" fillId="0" borderId="0"/>
    <xf numFmtId="0" fontId="3" fillId="0" borderId="0"/>
    <xf numFmtId="0" fontId="16" fillId="0" borderId="0"/>
    <xf numFmtId="0" fontId="3" fillId="0" borderId="0"/>
    <xf numFmtId="0" fontId="3" fillId="0" borderId="0"/>
    <xf numFmtId="0" fontId="16" fillId="0" borderId="0"/>
    <xf numFmtId="0" fontId="16" fillId="0" borderId="0"/>
    <xf numFmtId="0" fontId="16"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6"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6" fillId="0" borderId="0"/>
    <xf numFmtId="0" fontId="3" fillId="0" borderId="0"/>
    <xf numFmtId="0" fontId="16"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8" fillId="0" borderId="0"/>
    <xf numFmtId="0" fontId="16"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11" fillId="0" borderId="0"/>
    <xf numFmtId="0" fontId="3" fillId="59" borderId="81" applyNumberFormat="0" applyFont="0" applyAlignment="0" applyProtection="0"/>
    <xf numFmtId="0" fontId="18" fillId="4" borderId="7" applyNumberFormat="0" applyFont="0" applyAlignment="0" applyProtection="0"/>
    <xf numFmtId="0" fontId="23" fillId="59" borderId="81" applyNumberFormat="0" applyFont="0" applyAlignment="0" applyProtection="0"/>
    <xf numFmtId="0" fontId="45" fillId="26" borderId="69" applyNumberFormat="0" applyFont="0" applyAlignment="0" applyProtection="0"/>
    <xf numFmtId="0" fontId="23" fillId="59" borderId="81" applyNumberFormat="0" applyFont="0" applyAlignment="0" applyProtection="0"/>
    <xf numFmtId="0" fontId="23" fillId="59" borderId="81" applyNumberFormat="0" applyFont="0" applyAlignment="0" applyProtection="0"/>
    <xf numFmtId="0" fontId="3" fillId="59" borderId="81" applyNumberFormat="0" applyFont="0" applyAlignment="0" applyProtection="0"/>
    <xf numFmtId="0" fontId="36" fillId="101" borderId="8" applyNumberFormat="0" applyAlignment="0" applyProtection="0"/>
    <xf numFmtId="0" fontId="36" fillId="10" borderId="8" applyNumberFormat="0" applyAlignment="0" applyProtection="0"/>
    <xf numFmtId="9" fontId="16" fillId="0" borderId="0" applyFont="0" applyFill="0" applyBorder="0" applyAlignment="0" applyProtection="0"/>
    <xf numFmtId="9" fontId="16" fillId="0" borderId="0" applyFont="0" applyFill="0" applyBorder="0" applyAlignment="0" applyProtection="0"/>
    <xf numFmtId="9" fontId="111" fillId="0" borderId="0" applyFont="0" applyFill="0" applyBorder="0" applyAlignment="0" applyProtection="0"/>
    <xf numFmtId="9" fontId="111" fillId="0" borderId="0" applyFont="0" applyFill="0" applyBorder="0" applyAlignment="0" applyProtection="0"/>
    <xf numFmtId="9" fontId="111" fillId="0" borderId="0" applyFont="0" applyFill="0" applyBorder="0" applyAlignment="0" applyProtection="0"/>
    <xf numFmtId="9" fontId="111" fillId="0" borderId="0" applyFont="0" applyFill="0" applyBorder="0" applyAlignment="0" applyProtection="0"/>
    <xf numFmtId="9" fontId="111" fillId="0" borderId="0" applyFont="0" applyFill="0" applyBorder="0" applyAlignment="0" applyProtection="0"/>
    <xf numFmtId="9" fontId="111" fillId="0" borderId="0" applyFont="0" applyFill="0" applyBorder="0" applyAlignment="0" applyProtection="0"/>
    <xf numFmtId="9" fontId="111" fillId="0" borderId="0" applyFont="0" applyFill="0" applyBorder="0" applyAlignment="0" applyProtection="0"/>
    <xf numFmtId="9" fontId="111" fillId="0" borderId="0" applyFont="0" applyFill="0" applyBorder="0" applyAlignment="0" applyProtection="0"/>
    <xf numFmtId="9" fontId="111" fillId="0" borderId="0" applyFont="0" applyFill="0" applyBorder="0" applyAlignment="0" applyProtection="0"/>
    <xf numFmtId="9" fontId="111" fillId="0" borderId="0" applyFont="0" applyFill="0" applyBorder="0" applyAlignment="0" applyProtection="0"/>
    <xf numFmtId="9" fontId="111" fillId="0" borderId="0" applyFont="0" applyFill="0" applyBorder="0" applyAlignment="0" applyProtection="0"/>
    <xf numFmtId="9" fontId="111"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11" fillId="0" borderId="0" applyFont="0" applyFill="0" applyBorder="0" applyAlignment="0" applyProtection="0"/>
    <xf numFmtId="9" fontId="111" fillId="0" borderId="0" applyFont="0" applyFill="0" applyBorder="0" applyAlignment="0" applyProtection="0"/>
    <xf numFmtId="9" fontId="111" fillId="0" borderId="0" applyFont="0" applyFill="0" applyBorder="0" applyAlignment="0" applyProtection="0"/>
    <xf numFmtId="9" fontId="111" fillId="0" borderId="0" applyFont="0" applyFill="0" applyBorder="0" applyAlignment="0" applyProtection="0"/>
    <xf numFmtId="9" fontId="111" fillId="0" borderId="0" applyFont="0" applyFill="0" applyBorder="0" applyAlignment="0" applyProtection="0"/>
    <xf numFmtId="9" fontId="111" fillId="0" borderId="0" applyFont="0" applyFill="0" applyBorder="0" applyAlignment="0" applyProtection="0"/>
    <xf numFmtId="9" fontId="16" fillId="0" borderId="0" applyFont="0" applyFill="0" applyBorder="0" applyAlignment="0" applyProtection="0"/>
    <xf numFmtId="9" fontId="111" fillId="0" borderId="0" applyFont="0" applyFill="0" applyBorder="0" applyAlignment="0" applyProtection="0"/>
    <xf numFmtId="9" fontId="111"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3"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11" fillId="0" borderId="0" applyFont="0" applyFill="0" applyBorder="0" applyAlignment="0" applyProtection="0"/>
    <xf numFmtId="9" fontId="111" fillId="0" borderId="0" applyFont="0" applyFill="0" applyBorder="0" applyAlignment="0" applyProtection="0"/>
    <xf numFmtId="9" fontId="23" fillId="0" borderId="0" applyFont="0" applyFill="0" applyBorder="0" applyAlignment="0" applyProtection="0"/>
    <xf numFmtId="9" fontId="3" fillId="0" borderId="0" applyFont="0" applyFill="0" applyBorder="0" applyAlignment="0" applyProtection="0"/>
    <xf numFmtId="9" fontId="111" fillId="0" borderId="0" applyFont="0" applyFill="0" applyBorder="0" applyAlignment="0" applyProtection="0"/>
    <xf numFmtId="9" fontId="16" fillId="0" borderId="0" applyFont="0" applyFill="0" applyBorder="0" applyAlignment="0" applyProtection="0"/>
    <xf numFmtId="9" fontId="111" fillId="0" borderId="0" applyFont="0" applyFill="0" applyBorder="0" applyAlignment="0" applyProtection="0"/>
    <xf numFmtId="9" fontId="111" fillId="0" borderId="0" applyFont="0" applyFill="0" applyBorder="0" applyAlignment="0" applyProtection="0"/>
    <xf numFmtId="9" fontId="111" fillId="0" borderId="0" applyFont="0" applyFill="0" applyBorder="0" applyAlignment="0" applyProtection="0"/>
    <xf numFmtId="9" fontId="111" fillId="0" borderId="0" applyFont="0" applyFill="0" applyBorder="0" applyAlignment="0" applyProtection="0"/>
    <xf numFmtId="9" fontId="111"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4" fontId="18" fillId="106" borderId="8" applyNumberFormat="0" applyProtection="0">
      <alignment vertical="center"/>
    </xf>
    <xf numFmtId="4" fontId="18" fillId="106" borderId="8" applyNumberFormat="0" applyProtection="0">
      <alignment vertical="center"/>
    </xf>
    <xf numFmtId="4" fontId="45" fillId="33" borderId="69" applyNumberFormat="0" applyProtection="0">
      <alignment vertical="center"/>
    </xf>
    <xf numFmtId="4" fontId="45" fillId="33" borderId="69" applyNumberFormat="0" applyProtection="0">
      <alignment vertical="center"/>
    </xf>
    <xf numFmtId="4" fontId="45" fillId="33" borderId="69" applyNumberFormat="0" applyProtection="0">
      <alignment vertical="center"/>
    </xf>
    <xf numFmtId="4" fontId="40" fillId="106" borderId="8" applyNumberFormat="0" applyProtection="0">
      <alignment vertical="center"/>
    </xf>
    <xf numFmtId="4" fontId="118" fillId="106" borderId="69" applyNumberFormat="0" applyProtection="0">
      <alignment vertical="center"/>
    </xf>
    <xf numFmtId="4" fontId="18" fillId="106" borderId="8" applyNumberFormat="0" applyProtection="0">
      <alignment horizontal="left" vertical="center" indent="1"/>
    </xf>
    <xf numFmtId="4" fontId="45" fillId="106" borderId="69" applyNumberFormat="0" applyProtection="0">
      <alignment horizontal="left" vertical="center" indent="1"/>
    </xf>
    <xf numFmtId="4" fontId="45" fillId="106" borderId="69" applyNumberFormat="0" applyProtection="0">
      <alignment horizontal="left" vertical="center" indent="1"/>
    </xf>
    <xf numFmtId="4" fontId="45" fillId="106" borderId="69" applyNumberFormat="0" applyProtection="0">
      <alignment horizontal="left" vertical="center" indent="1"/>
    </xf>
    <xf numFmtId="4" fontId="18" fillId="106" borderId="8" applyNumberFormat="0" applyProtection="0">
      <alignment horizontal="left" vertical="center" indent="1"/>
    </xf>
    <xf numFmtId="0" fontId="119" fillId="33" borderId="9" applyNumberFormat="0" applyProtection="0">
      <alignment horizontal="left" vertical="top" indent="1"/>
    </xf>
    <xf numFmtId="0" fontId="16" fillId="107" borderId="8" applyNumberFormat="0" applyProtection="0">
      <alignment horizontal="left" vertical="center" indent="1"/>
    </xf>
    <xf numFmtId="4" fontId="45" fillId="51" borderId="69" applyNumberFormat="0" applyProtection="0">
      <alignment horizontal="left" vertical="center" indent="1"/>
    </xf>
    <xf numFmtId="4" fontId="45" fillId="51" borderId="69" applyNumberFormat="0" applyProtection="0">
      <alignment horizontal="left" vertical="center" indent="1"/>
    </xf>
    <xf numFmtId="4" fontId="45" fillId="51" borderId="69" applyNumberFormat="0" applyProtection="0">
      <alignment horizontal="left" vertical="center" indent="1"/>
    </xf>
    <xf numFmtId="4" fontId="45" fillId="51" borderId="69" applyNumberFormat="0" applyProtection="0">
      <alignment horizontal="left" vertical="center" indent="1"/>
    </xf>
    <xf numFmtId="4" fontId="18" fillId="108" borderId="8" applyNumberFormat="0" applyProtection="0">
      <alignment horizontal="right" vertical="center"/>
    </xf>
    <xf numFmtId="4" fontId="45" fillId="7" borderId="69" applyNumberFormat="0" applyProtection="0">
      <alignment horizontal="right" vertical="center"/>
    </xf>
    <xf numFmtId="4" fontId="45" fillId="7" borderId="69" applyNumberFormat="0" applyProtection="0">
      <alignment horizontal="right" vertical="center"/>
    </xf>
    <xf numFmtId="4" fontId="45" fillId="7" borderId="69" applyNumberFormat="0" applyProtection="0">
      <alignment horizontal="right" vertical="center"/>
    </xf>
    <xf numFmtId="4" fontId="18" fillId="109" borderId="8" applyNumberFormat="0" applyProtection="0">
      <alignment horizontal="right" vertical="center"/>
    </xf>
    <xf numFmtId="4" fontId="45" fillId="110" borderId="69" applyNumberFormat="0" applyProtection="0">
      <alignment horizontal="right" vertical="center"/>
    </xf>
    <xf numFmtId="4" fontId="45" fillId="110" borderId="69" applyNumberFormat="0" applyProtection="0">
      <alignment horizontal="right" vertical="center"/>
    </xf>
    <xf numFmtId="4" fontId="45" fillId="110" borderId="69" applyNumberFormat="0" applyProtection="0">
      <alignment horizontal="right" vertical="center"/>
    </xf>
    <xf numFmtId="4" fontId="18" fillId="111" borderId="8" applyNumberFormat="0" applyProtection="0">
      <alignment horizontal="right" vertical="center"/>
    </xf>
    <xf numFmtId="4" fontId="45" fillId="34" borderId="83" applyNumberFormat="0" applyProtection="0">
      <alignment horizontal="right" vertical="center"/>
    </xf>
    <xf numFmtId="4" fontId="45" fillId="34" borderId="83" applyNumberFormat="0" applyProtection="0">
      <alignment horizontal="right" vertical="center"/>
    </xf>
    <xf numFmtId="4" fontId="45" fillId="34" borderId="83" applyNumberFormat="0" applyProtection="0">
      <alignment horizontal="right" vertical="center"/>
    </xf>
    <xf numFmtId="4" fontId="18" fillId="112" borderId="8" applyNumberFormat="0" applyProtection="0">
      <alignment horizontal="right" vertical="center"/>
    </xf>
    <xf numFmtId="4" fontId="45" fillId="35" borderId="69" applyNumberFormat="0" applyProtection="0">
      <alignment horizontal="right" vertical="center"/>
    </xf>
    <xf numFmtId="4" fontId="45" fillId="35" borderId="69" applyNumberFormat="0" applyProtection="0">
      <alignment horizontal="right" vertical="center"/>
    </xf>
    <xf numFmtId="4" fontId="45" fillId="35" borderId="69" applyNumberFormat="0" applyProtection="0">
      <alignment horizontal="right" vertical="center"/>
    </xf>
    <xf numFmtId="4" fontId="18" fillId="113" borderId="8" applyNumberFormat="0" applyProtection="0">
      <alignment horizontal="right" vertical="center"/>
    </xf>
    <xf numFmtId="4" fontId="45" fillId="36" borderId="69" applyNumberFormat="0" applyProtection="0">
      <alignment horizontal="right" vertical="center"/>
    </xf>
    <xf numFmtId="4" fontId="45" fillId="36" borderId="69" applyNumberFormat="0" applyProtection="0">
      <alignment horizontal="right" vertical="center"/>
    </xf>
    <xf numFmtId="4" fontId="45" fillId="36" borderId="69" applyNumberFormat="0" applyProtection="0">
      <alignment horizontal="right" vertical="center"/>
    </xf>
    <xf numFmtId="4" fontId="18" fillId="114" borderId="8" applyNumberFormat="0" applyProtection="0">
      <alignment horizontal="right" vertical="center"/>
    </xf>
    <xf numFmtId="4" fontId="45" fillId="37" borderId="69" applyNumberFormat="0" applyProtection="0">
      <alignment horizontal="right" vertical="center"/>
    </xf>
    <xf numFmtId="4" fontId="45" fillId="37" borderId="69" applyNumberFormat="0" applyProtection="0">
      <alignment horizontal="right" vertical="center"/>
    </xf>
    <xf numFmtId="4" fontId="45" fillId="37" borderId="69" applyNumberFormat="0" applyProtection="0">
      <alignment horizontal="right" vertical="center"/>
    </xf>
    <xf numFmtId="4" fontId="18" fillId="115" borderId="8" applyNumberFormat="0" applyProtection="0">
      <alignment horizontal="right" vertical="center"/>
    </xf>
    <xf numFmtId="4" fontId="45" fillId="9" borderId="69" applyNumberFormat="0" applyProtection="0">
      <alignment horizontal="right" vertical="center"/>
    </xf>
    <xf numFmtId="4" fontId="45" fillId="9" borderId="69" applyNumberFormat="0" applyProtection="0">
      <alignment horizontal="right" vertical="center"/>
    </xf>
    <xf numFmtId="4" fontId="45" fillId="9" borderId="69" applyNumberFormat="0" applyProtection="0">
      <alignment horizontal="right" vertical="center"/>
    </xf>
    <xf numFmtId="4" fontId="18" fillId="116" borderId="8" applyNumberFormat="0" applyProtection="0">
      <alignment horizontal="right" vertical="center"/>
    </xf>
    <xf numFmtId="4" fontId="45" fillId="38" borderId="69" applyNumberFormat="0" applyProtection="0">
      <alignment horizontal="right" vertical="center"/>
    </xf>
    <xf numFmtId="4" fontId="45" fillId="38" borderId="69" applyNumberFormat="0" applyProtection="0">
      <alignment horizontal="right" vertical="center"/>
    </xf>
    <xf numFmtId="4" fontId="45" fillId="38" borderId="69" applyNumberFormat="0" applyProtection="0">
      <alignment horizontal="right" vertical="center"/>
    </xf>
    <xf numFmtId="4" fontId="18" fillId="117" borderId="8" applyNumberFormat="0" applyProtection="0">
      <alignment horizontal="right" vertical="center"/>
    </xf>
    <xf numFmtId="4" fontId="45" fillId="39" borderId="69" applyNumberFormat="0" applyProtection="0">
      <alignment horizontal="right" vertical="center"/>
    </xf>
    <xf numFmtId="4" fontId="45" fillId="39" borderId="69" applyNumberFormat="0" applyProtection="0">
      <alignment horizontal="right" vertical="center"/>
    </xf>
    <xf numFmtId="4" fontId="45" fillId="39" borderId="69" applyNumberFormat="0" applyProtection="0">
      <alignment horizontal="right" vertical="center"/>
    </xf>
    <xf numFmtId="4" fontId="37" fillId="118" borderId="8" applyNumberFormat="0" applyProtection="0">
      <alignment horizontal="left" vertical="center" indent="1"/>
    </xf>
    <xf numFmtId="4" fontId="45" fillId="40" borderId="83" applyNumberFormat="0" applyProtection="0">
      <alignment horizontal="left" vertical="center" indent="1"/>
    </xf>
    <xf numFmtId="4" fontId="45" fillId="40" borderId="83" applyNumberFormat="0" applyProtection="0">
      <alignment horizontal="left" vertical="center" indent="1"/>
    </xf>
    <xf numFmtId="4" fontId="45" fillId="40" borderId="83" applyNumberFormat="0" applyProtection="0">
      <alignment horizontal="left" vertical="center" indent="1"/>
    </xf>
    <xf numFmtId="4" fontId="18" fillId="119" borderId="90" applyNumberFormat="0" applyProtection="0">
      <alignment horizontal="left" vertical="center" indent="1"/>
    </xf>
    <xf numFmtId="4" fontId="16" fillId="8" borderId="83" applyNumberFormat="0" applyProtection="0">
      <alignment horizontal="left" vertical="center" indent="1"/>
    </xf>
    <xf numFmtId="4" fontId="39" fillId="120" borderId="0" applyNumberFormat="0" applyProtection="0">
      <alignment horizontal="left" vertical="center" indent="1"/>
    </xf>
    <xf numFmtId="4" fontId="16" fillId="8" borderId="83" applyNumberFormat="0" applyProtection="0">
      <alignment horizontal="left" vertical="center" indent="1"/>
    </xf>
    <xf numFmtId="0" fontId="16" fillId="107" borderId="8" applyNumberFormat="0" applyProtection="0">
      <alignment horizontal="left" vertical="center" indent="1"/>
    </xf>
    <xf numFmtId="4" fontId="45" fillId="2" borderId="69" applyNumberFormat="0" applyProtection="0">
      <alignment horizontal="right" vertical="center"/>
    </xf>
    <xf numFmtId="4" fontId="45" fillId="2" borderId="69" applyNumberFormat="0" applyProtection="0">
      <alignment horizontal="right" vertical="center"/>
    </xf>
    <xf numFmtId="4" fontId="45" fillId="2" borderId="69" applyNumberFormat="0" applyProtection="0">
      <alignment horizontal="right" vertical="center"/>
    </xf>
    <xf numFmtId="4" fontId="18" fillId="119" borderId="8" applyNumberFormat="0" applyProtection="0">
      <alignment horizontal="left" vertical="center" indent="1"/>
    </xf>
    <xf numFmtId="4" fontId="45" fillId="41" borderId="83" applyNumberFormat="0" applyProtection="0">
      <alignment horizontal="left" vertical="center" indent="1"/>
    </xf>
    <xf numFmtId="4" fontId="45" fillId="41" borderId="83" applyNumberFormat="0" applyProtection="0">
      <alignment horizontal="left" vertical="center" indent="1"/>
    </xf>
    <xf numFmtId="4" fontId="45" fillId="41" borderId="83" applyNumberFormat="0" applyProtection="0">
      <alignment horizontal="left" vertical="center" indent="1"/>
    </xf>
    <xf numFmtId="4" fontId="18" fillId="46" borderId="8" applyNumberFormat="0" applyProtection="0">
      <alignment horizontal="left" vertical="center" indent="1"/>
    </xf>
    <xf numFmtId="4" fontId="45" fillId="2" borderId="83" applyNumberFormat="0" applyProtection="0">
      <alignment horizontal="left" vertical="center" indent="1"/>
    </xf>
    <xf numFmtId="4" fontId="45" fillId="2" borderId="83" applyNumberFormat="0" applyProtection="0">
      <alignment horizontal="left" vertical="center" indent="1"/>
    </xf>
    <xf numFmtId="4" fontId="45" fillId="2" borderId="83" applyNumberFormat="0" applyProtection="0">
      <alignment horizontal="left" vertical="center" indent="1"/>
    </xf>
    <xf numFmtId="0" fontId="16" fillId="46" borderId="8" applyNumberFormat="0" applyProtection="0">
      <alignment horizontal="left" vertical="center" indent="1"/>
    </xf>
    <xf numFmtId="0" fontId="45" fillId="10" borderId="69" applyNumberFormat="0" applyProtection="0">
      <alignment horizontal="left" vertical="center" indent="1"/>
    </xf>
    <xf numFmtId="0" fontId="45" fillId="10" borderId="69" applyNumberFormat="0" applyProtection="0">
      <alignment horizontal="left" vertical="center" indent="1"/>
    </xf>
    <xf numFmtId="0" fontId="45" fillId="10" borderId="69" applyNumberFormat="0" applyProtection="0">
      <alignment horizontal="left" vertical="center" indent="1"/>
    </xf>
    <xf numFmtId="0" fontId="16" fillId="46" borderId="8" applyNumberFormat="0" applyProtection="0">
      <alignment horizontal="left" vertical="center" indent="1"/>
    </xf>
    <xf numFmtId="0" fontId="45" fillId="8" borderId="9" applyNumberFormat="0" applyProtection="0">
      <alignment horizontal="left" vertical="top" indent="1"/>
    </xf>
    <xf numFmtId="0" fontId="16" fillId="45" borderId="8" applyNumberFormat="0" applyProtection="0">
      <alignment horizontal="left" vertical="center" indent="1"/>
    </xf>
    <xf numFmtId="0" fontId="45" fillId="121" borderId="69" applyNumberFormat="0" applyProtection="0">
      <alignment horizontal="left" vertical="center" indent="1"/>
    </xf>
    <xf numFmtId="0" fontId="45" fillId="121" borderId="69" applyNumberFormat="0" applyProtection="0">
      <alignment horizontal="left" vertical="center" indent="1"/>
    </xf>
    <xf numFmtId="0" fontId="45" fillId="121" borderId="69" applyNumberFormat="0" applyProtection="0">
      <alignment horizontal="left" vertical="center" indent="1"/>
    </xf>
    <xf numFmtId="0" fontId="16" fillId="45" borderId="8" applyNumberFormat="0" applyProtection="0">
      <alignment horizontal="left" vertical="center" indent="1"/>
    </xf>
    <xf numFmtId="0" fontId="45" fillId="2" borderId="9" applyNumberFormat="0" applyProtection="0">
      <alignment horizontal="left" vertical="top" indent="1"/>
    </xf>
    <xf numFmtId="0" fontId="16" fillId="122" borderId="8" applyNumberFormat="0" applyProtection="0">
      <alignment horizontal="left" vertical="center" indent="1"/>
    </xf>
    <xf numFmtId="0" fontId="45" fillId="6" borderId="69" applyNumberFormat="0" applyProtection="0">
      <alignment horizontal="left" vertical="center" indent="1"/>
    </xf>
    <xf numFmtId="0" fontId="45" fillId="6" borderId="69" applyNumberFormat="0" applyProtection="0">
      <alignment horizontal="left" vertical="center" indent="1"/>
    </xf>
    <xf numFmtId="0" fontId="45" fillId="6" borderId="69" applyNumberFormat="0" applyProtection="0">
      <alignment horizontal="left" vertical="center" indent="1"/>
    </xf>
    <xf numFmtId="0" fontId="16" fillId="122" borderId="8" applyNumberFormat="0" applyProtection="0">
      <alignment horizontal="left" vertical="center" indent="1"/>
    </xf>
    <xf numFmtId="0" fontId="45" fillId="6" borderId="9" applyNumberFormat="0" applyProtection="0">
      <alignment horizontal="left" vertical="top" indent="1"/>
    </xf>
    <xf numFmtId="0" fontId="16" fillId="107" borderId="8" applyNumberFormat="0" applyProtection="0">
      <alignment horizontal="left" vertical="center" indent="1"/>
    </xf>
    <xf numFmtId="0" fontId="45" fillId="41" borderId="69" applyNumberFormat="0" applyProtection="0">
      <alignment horizontal="left" vertical="center" indent="1"/>
    </xf>
    <xf numFmtId="0" fontId="45" fillId="41" borderId="69" applyNumberFormat="0" applyProtection="0">
      <alignment horizontal="left" vertical="center" indent="1"/>
    </xf>
    <xf numFmtId="0" fontId="45" fillId="41" borderId="69" applyNumberFormat="0" applyProtection="0">
      <alignment horizontal="left" vertical="center" indent="1"/>
    </xf>
    <xf numFmtId="0" fontId="16" fillId="107" borderId="8" applyNumberFormat="0" applyProtection="0">
      <alignment horizontal="left" vertical="center" indent="1"/>
    </xf>
    <xf numFmtId="0" fontId="45" fillId="41" borderId="9" applyNumberFormat="0" applyProtection="0">
      <alignment horizontal="left" vertical="top" indent="1"/>
    </xf>
    <xf numFmtId="0" fontId="3" fillId="0" borderId="0"/>
    <xf numFmtId="0" fontId="45" fillId="5" borderId="91" applyNumberFormat="0">
      <protection locked="0"/>
    </xf>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20" fillId="8" borderId="92" applyBorder="0"/>
    <xf numFmtId="4" fontId="18" fillId="123" borderId="8" applyNumberFormat="0" applyProtection="0">
      <alignment vertical="center"/>
    </xf>
    <xf numFmtId="4" fontId="121" fillId="4" borderId="9" applyNumberFormat="0" applyProtection="0">
      <alignment vertical="center"/>
    </xf>
    <xf numFmtId="4" fontId="40" fillId="123" borderId="8" applyNumberFormat="0" applyProtection="0">
      <alignment vertical="center"/>
    </xf>
    <xf numFmtId="4" fontId="118" fillId="123" borderId="11" applyNumberFormat="0" applyProtection="0">
      <alignment vertical="center"/>
    </xf>
    <xf numFmtId="4" fontId="18" fillId="123" borderId="8" applyNumberFormat="0" applyProtection="0">
      <alignment horizontal="left" vertical="center" indent="1"/>
    </xf>
    <xf numFmtId="4" fontId="121" fillId="10" borderId="9" applyNumberFormat="0" applyProtection="0">
      <alignment horizontal="left" vertical="center" indent="1"/>
    </xf>
    <xf numFmtId="4" fontId="18" fillId="123" borderId="8" applyNumberFormat="0" applyProtection="0">
      <alignment horizontal="left" vertical="center" indent="1"/>
    </xf>
    <xf numFmtId="0" fontId="121" fillId="4" borderId="9" applyNumberFormat="0" applyProtection="0">
      <alignment horizontal="left" vertical="top" indent="1"/>
    </xf>
    <xf numFmtId="4" fontId="18" fillId="119" borderId="8" applyNumberFormat="0" applyProtection="0">
      <alignment horizontal="right" vertical="center"/>
    </xf>
    <xf numFmtId="4" fontId="18" fillId="119" borderId="8" applyNumberFormat="0" applyProtection="0">
      <alignment horizontal="right" vertical="center"/>
    </xf>
    <xf numFmtId="4" fontId="45" fillId="0" borderId="69" applyNumberFormat="0" applyProtection="0">
      <alignment horizontal="right" vertical="center"/>
    </xf>
    <xf numFmtId="4" fontId="45" fillId="0" borderId="69" applyNumberFormat="0" applyProtection="0">
      <alignment horizontal="right" vertical="center"/>
    </xf>
    <xf numFmtId="4" fontId="45" fillId="0" borderId="69" applyNumberFormat="0" applyProtection="0">
      <alignment horizontal="right" vertical="center"/>
    </xf>
    <xf numFmtId="4" fontId="45" fillId="0" borderId="69" applyNumberFormat="0" applyProtection="0">
      <alignment horizontal="right" vertical="center"/>
    </xf>
    <xf numFmtId="4" fontId="40" fillId="119" borderId="8" applyNumberFormat="0" applyProtection="0">
      <alignment horizontal="right" vertical="center"/>
    </xf>
    <xf numFmtId="4" fontId="118" fillId="43" borderId="69" applyNumberFormat="0" applyProtection="0">
      <alignment horizontal="right" vertical="center"/>
    </xf>
    <xf numFmtId="0" fontId="16" fillId="107" borderId="8" applyNumberFormat="0" applyProtection="0">
      <alignment horizontal="left" vertical="center" indent="1"/>
    </xf>
    <xf numFmtId="4" fontId="45" fillId="51" borderId="69" applyNumberFormat="0" applyProtection="0">
      <alignment horizontal="left" vertical="center" indent="1"/>
    </xf>
    <xf numFmtId="4" fontId="45" fillId="51" borderId="69" applyNumberFormat="0" applyProtection="0">
      <alignment horizontal="left" vertical="center" indent="1"/>
    </xf>
    <xf numFmtId="4" fontId="45" fillId="51" borderId="69" applyNumberFormat="0" applyProtection="0">
      <alignment horizontal="left" vertical="center" indent="1"/>
    </xf>
    <xf numFmtId="4" fontId="45" fillId="51" borderId="69" applyNumberFormat="0" applyProtection="0">
      <alignment horizontal="left" vertical="center" indent="1"/>
    </xf>
    <xf numFmtId="0" fontId="16" fillId="107" borderId="8" applyNumberFormat="0" applyProtection="0">
      <alignment horizontal="left" vertical="center" indent="1"/>
    </xf>
    <xf numFmtId="0" fontId="121" fillId="2" borderId="9" applyNumberFormat="0" applyProtection="0">
      <alignment horizontal="left" vertical="top" indent="1"/>
    </xf>
    <xf numFmtId="0" fontId="122" fillId="0" borderId="0"/>
    <xf numFmtId="4" fontId="123" fillId="42" borderId="83" applyNumberFormat="0" applyProtection="0">
      <alignment horizontal="left" vertical="center" indent="1"/>
    </xf>
    <xf numFmtId="0" fontId="45" fillId="124" borderId="11"/>
    <xf numFmtId="0" fontId="45" fillId="124" borderId="11"/>
    <xf numFmtId="0" fontId="45" fillId="124" borderId="11"/>
    <xf numFmtId="4" fontId="42" fillId="119" borderId="8" applyNumberFormat="0" applyProtection="0">
      <alignment horizontal="right" vertical="center"/>
    </xf>
    <xf numFmtId="4" fontId="124" fillId="5" borderId="69" applyNumberFormat="0" applyProtection="0">
      <alignment horizontal="right" vertical="center"/>
    </xf>
    <xf numFmtId="0" fontId="125" fillId="0" borderId="0" applyNumberFormat="0" applyFill="0" applyBorder="0" applyAlignment="0" applyProtection="0"/>
    <xf numFmtId="0" fontId="27" fillId="0" borderId="12" applyNumberFormat="0" applyFill="0" applyAlignment="0" applyProtection="0"/>
    <xf numFmtId="0" fontId="27" fillId="0" borderId="93" applyNumberFormat="0" applyFill="0" applyAlignment="0" applyProtection="0"/>
    <xf numFmtId="0" fontId="126" fillId="0" borderId="0" applyNumberFormat="0" applyFill="0" applyBorder="0" applyAlignment="0" applyProtection="0"/>
    <xf numFmtId="0" fontId="44" fillId="0" borderId="0" applyNumberFormat="0" applyFill="0" applyBorder="0" applyAlignment="0" applyProtection="0"/>
    <xf numFmtId="0" fontId="127" fillId="0" borderId="0" applyNumberFormat="0" applyFill="0" applyBorder="0" applyAlignment="0" applyProtection="0"/>
    <xf numFmtId="0" fontId="106" fillId="55" borderId="0" applyNumberFormat="0" applyBorder="0" applyAlignment="0" applyProtection="0"/>
    <xf numFmtId="0" fontId="105" fillId="63" borderId="0" applyNumberFormat="0" applyBorder="0" applyAlignment="0" applyProtection="0"/>
    <xf numFmtId="0" fontId="105" fillId="67" borderId="0" applyNumberFormat="0" applyBorder="0" applyAlignment="0" applyProtection="0"/>
    <xf numFmtId="0" fontId="105" fillId="71" borderId="0" applyNumberFormat="0" applyBorder="0" applyAlignment="0" applyProtection="0"/>
    <xf numFmtId="0" fontId="105" fillId="75" borderId="0" applyNumberFormat="0" applyBorder="0" applyAlignment="0" applyProtection="0"/>
    <xf numFmtId="0" fontId="105" fillId="79" borderId="0" applyNumberFormat="0" applyBorder="0" applyAlignment="0" applyProtection="0"/>
    <xf numFmtId="0" fontId="105" fillId="83" borderId="0" applyNumberFormat="0" applyBorder="0" applyAlignment="0" applyProtection="0"/>
    <xf numFmtId="0" fontId="3" fillId="61" borderId="0" applyNumberFormat="0" applyBorder="0" applyAlignment="0" applyProtection="0"/>
    <xf numFmtId="0" fontId="3" fillId="65" borderId="0" applyNumberFormat="0" applyBorder="0" applyAlignment="0" applyProtection="0"/>
    <xf numFmtId="0" fontId="3" fillId="69" borderId="0" applyNumberFormat="0" applyBorder="0" applyAlignment="0" applyProtection="0"/>
    <xf numFmtId="0" fontId="3" fillId="73" borderId="0" applyNumberFormat="0" applyBorder="0" applyAlignment="0" applyProtection="0"/>
    <xf numFmtId="0" fontId="3" fillId="77" borderId="0" applyNumberFormat="0" applyBorder="0" applyAlignment="0" applyProtection="0"/>
    <xf numFmtId="0" fontId="3" fillId="81" borderId="0" applyNumberFormat="0" applyBorder="0" applyAlignment="0" applyProtection="0"/>
    <xf numFmtId="0" fontId="3" fillId="62" borderId="0" applyNumberFormat="0" applyBorder="0" applyAlignment="0" applyProtection="0"/>
    <xf numFmtId="0" fontId="3" fillId="66" borderId="0" applyNumberFormat="0" applyBorder="0" applyAlignment="0" applyProtection="0"/>
    <xf numFmtId="0" fontId="3" fillId="70" borderId="0" applyNumberFormat="0" applyBorder="0" applyAlignment="0" applyProtection="0"/>
    <xf numFmtId="0" fontId="3" fillId="74" borderId="0" applyNumberFormat="0" applyBorder="0" applyAlignment="0" applyProtection="0"/>
    <xf numFmtId="0" fontId="3" fillId="78" borderId="0" applyNumberFormat="0" applyBorder="0" applyAlignment="0" applyProtection="0"/>
    <xf numFmtId="0" fontId="3" fillId="82" borderId="0" applyNumberFormat="0" applyBorder="0" applyAlignment="0" applyProtection="0"/>
    <xf numFmtId="0" fontId="3" fillId="0" borderId="0"/>
    <xf numFmtId="0" fontId="3" fillId="0" borderId="0"/>
    <xf numFmtId="0" fontId="3" fillId="59" borderId="81" applyNumberFormat="0" applyFont="0" applyAlignment="0" applyProtection="0"/>
    <xf numFmtId="0" fontId="3" fillId="0" borderId="0"/>
    <xf numFmtId="44" fontId="3" fillId="0" borderId="0" applyFont="0" applyFill="0" applyBorder="0" applyAlignment="0" applyProtection="0"/>
    <xf numFmtId="9" fontId="3" fillId="0" borderId="0" applyFont="0" applyFill="0" applyBorder="0" applyAlignment="0" applyProtection="0"/>
    <xf numFmtId="0" fontId="3" fillId="61" borderId="0" applyNumberFormat="0" applyBorder="0" applyAlignment="0" applyProtection="0"/>
    <xf numFmtId="0" fontId="3" fillId="61" borderId="0" applyNumberFormat="0" applyBorder="0" applyAlignment="0" applyProtection="0"/>
    <xf numFmtId="0" fontId="3" fillId="61" borderId="0" applyNumberFormat="0" applyBorder="0" applyAlignment="0" applyProtection="0"/>
    <xf numFmtId="0" fontId="3" fillId="65" borderId="0" applyNumberFormat="0" applyBorder="0" applyAlignment="0" applyProtection="0"/>
    <xf numFmtId="0" fontId="3" fillId="65" borderId="0" applyNumberFormat="0" applyBorder="0" applyAlignment="0" applyProtection="0"/>
    <xf numFmtId="0" fontId="3" fillId="65" borderId="0" applyNumberFormat="0" applyBorder="0" applyAlignment="0" applyProtection="0"/>
    <xf numFmtId="0" fontId="3" fillId="69" borderId="0" applyNumberFormat="0" applyBorder="0" applyAlignment="0" applyProtection="0"/>
    <xf numFmtId="0" fontId="3" fillId="69" borderId="0" applyNumberFormat="0" applyBorder="0" applyAlignment="0" applyProtection="0"/>
    <xf numFmtId="0" fontId="3" fillId="69" borderId="0" applyNumberFormat="0" applyBorder="0" applyAlignment="0" applyProtection="0"/>
    <xf numFmtId="0" fontId="3" fillId="73" borderId="0" applyNumberFormat="0" applyBorder="0" applyAlignment="0" applyProtection="0"/>
    <xf numFmtId="0" fontId="3" fillId="73" borderId="0" applyNumberFormat="0" applyBorder="0" applyAlignment="0" applyProtection="0"/>
    <xf numFmtId="0" fontId="3" fillId="73" borderId="0" applyNumberFormat="0" applyBorder="0" applyAlignment="0" applyProtection="0"/>
    <xf numFmtId="0" fontId="3" fillId="77" borderId="0" applyNumberFormat="0" applyBorder="0" applyAlignment="0" applyProtection="0"/>
    <xf numFmtId="0" fontId="3" fillId="77" borderId="0" applyNumberFormat="0" applyBorder="0" applyAlignment="0" applyProtection="0"/>
    <xf numFmtId="0" fontId="3" fillId="77" borderId="0" applyNumberFormat="0" applyBorder="0" applyAlignment="0" applyProtection="0"/>
    <xf numFmtId="0" fontId="3" fillId="81" borderId="0" applyNumberFormat="0" applyBorder="0" applyAlignment="0" applyProtection="0"/>
    <xf numFmtId="0" fontId="3" fillId="81" borderId="0" applyNumberFormat="0" applyBorder="0" applyAlignment="0" applyProtection="0"/>
    <xf numFmtId="0" fontId="3" fillId="81" borderId="0" applyNumberFormat="0" applyBorder="0" applyAlignment="0" applyProtection="0"/>
    <xf numFmtId="0" fontId="3" fillId="62" borderId="0" applyNumberFormat="0" applyBorder="0" applyAlignment="0" applyProtection="0"/>
    <xf numFmtId="0" fontId="3" fillId="62" borderId="0" applyNumberFormat="0" applyBorder="0" applyAlignment="0" applyProtection="0"/>
    <xf numFmtId="0" fontId="3" fillId="62" borderId="0" applyNumberFormat="0" applyBorder="0" applyAlignment="0" applyProtection="0"/>
    <xf numFmtId="0" fontId="3" fillId="66" borderId="0" applyNumberFormat="0" applyBorder="0" applyAlignment="0" applyProtection="0"/>
    <xf numFmtId="0" fontId="3" fillId="66" borderId="0" applyNumberFormat="0" applyBorder="0" applyAlignment="0" applyProtection="0"/>
    <xf numFmtId="0" fontId="3" fillId="66" borderId="0" applyNumberFormat="0" applyBorder="0" applyAlignment="0" applyProtection="0"/>
    <xf numFmtId="0" fontId="3" fillId="70" borderId="0" applyNumberFormat="0" applyBorder="0" applyAlignment="0" applyProtection="0"/>
    <xf numFmtId="0" fontId="3" fillId="70" borderId="0" applyNumberFormat="0" applyBorder="0" applyAlignment="0" applyProtection="0"/>
    <xf numFmtId="0" fontId="3" fillId="70" borderId="0" applyNumberFormat="0" applyBorder="0" applyAlignment="0" applyProtection="0"/>
    <xf numFmtId="0" fontId="3" fillId="74" borderId="0" applyNumberFormat="0" applyBorder="0" applyAlignment="0" applyProtection="0"/>
    <xf numFmtId="0" fontId="3" fillId="74" borderId="0" applyNumberFormat="0" applyBorder="0" applyAlignment="0" applyProtection="0"/>
    <xf numFmtId="0" fontId="3" fillId="74" borderId="0" applyNumberFormat="0" applyBorder="0" applyAlignment="0" applyProtection="0"/>
    <xf numFmtId="0" fontId="3" fillId="78" borderId="0" applyNumberFormat="0" applyBorder="0" applyAlignment="0" applyProtection="0"/>
    <xf numFmtId="0" fontId="3" fillId="78" borderId="0" applyNumberFormat="0" applyBorder="0" applyAlignment="0" applyProtection="0"/>
    <xf numFmtId="0" fontId="3" fillId="78" borderId="0" applyNumberFormat="0" applyBorder="0" applyAlignment="0" applyProtection="0"/>
    <xf numFmtId="0" fontId="3" fillId="82" borderId="0" applyNumberFormat="0" applyBorder="0" applyAlignment="0" applyProtection="0"/>
    <xf numFmtId="0" fontId="3" fillId="82" borderId="0" applyNumberFormat="0" applyBorder="0" applyAlignment="0" applyProtection="0"/>
    <xf numFmtId="0" fontId="3" fillId="82" borderId="0" applyNumberFormat="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61" borderId="0" applyNumberFormat="0" applyBorder="0" applyAlignment="0" applyProtection="0"/>
    <xf numFmtId="0" fontId="3" fillId="65" borderId="0" applyNumberFormat="0" applyBorder="0" applyAlignment="0" applyProtection="0"/>
    <xf numFmtId="0" fontId="3" fillId="69" borderId="0" applyNumberFormat="0" applyBorder="0" applyAlignment="0" applyProtection="0"/>
    <xf numFmtId="0" fontId="3" fillId="73" borderId="0" applyNumberFormat="0" applyBorder="0" applyAlignment="0" applyProtection="0"/>
    <xf numFmtId="0" fontId="3" fillId="77" borderId="0" applyNumberFormat="0" applyBorder="0" applyAlignment="0" applyProtection="0"/>
    <xf numFmtId="0" fontId="3" fillId="81" borderId="0" applyNumberFormat="0" applyBorder="0" applyAlignment="0" applyProtection="0"/>
    <xf numFmtId="0" fontId="3" fillId="62" borderId="0" applyNumberFormat="0" applyBorder="0" applyAlignment="0" applyProtection="0"/>
    <xf numFmtId="0" fontId="3" fillId="66" borderId="0" applyNumberFormat="0" applyBorder="0" applyAlignment="0" applyProtection="0"/>
    <xf numFmtId="0" fontId="3" fillId="70" borderId="0" applyNumberFormat="0" applyBorder="0" applyAlignment="0" applyProtection="0"/>
    <xf numFmtId="0" fontId="3" fillId="74" borderId="0" applyNumberFormat="0" applyBorder="0" applyAlignment="0" applyProtection="0"/>
    <xf numFmtId="0" fontId="3" fillId="78" borderId="0" applyNumberFormat="0" applyBorder="0" applyAlignment="0" applyProtection="0"/>
    <xf numFmtId="0" fontId="3" fillId="82" borderId="0" applyNumberFormat="0" applyBorder="0" applyAlignment="0" applyProtection="0"/>
    <xf numFmtId="0" fontId="3" fillId="0" borderId="0"/>
    <xf numFmtId="0" fontId="3" fillId="0" borderId="0"/>
    <xf numFmtId="0" fontId="3" fillId="59" borderId="81" applyNumberFormat="0" applyFont="0" applyAlignment="0" applyProtection="0"/>
    <xf numFmtId="0" fontId="3" fillId="0" borderId="0"/>
    <xf numFmtId="44" fontId="3" fillId="0" borderId="0" applyFont="0" applyFill="0" applyBorder="0" applyAlignment="0" applyProtection="0"/>
    <xf numFmtId="9" fontId="3" fillId="0" borderId="0" applyFont="0" applyFill="0" applyBorder="0" applyAlignment="0" applyProtection="0"/>
    <xf numFmtId="0" fontId="3" fillId="61" borderId="0" applyNumberFormat="0" applyBorder="0" applyAlignment="0" applyProtection="0"/>
    <xf numFmtId="0" fontId="3" fillId="61" borderId="0" applyNumberFormat="0" applyBorder="0" applyAlignment="0" applyProtection="0"/>
    <xf numFmtId="0" fontId="3" fillId="61" borderId="0" applyNumberFormat="0" applyBorder="0" applyAlignment="0" applyProtection="0"/>
    <xf numFmtId="0" fontId="3" fillId="65" borderId="0" applyNumberFormat="0" applyBorder="0" applyAlignment="0" applyProtection="0"/>
    <xf numFmtId="0" fontId="3" fillId="65" borderId="0" applyNumberFormat="0" applyBorder="0" applyAlignment="0" applyProtection="0"/>
    <xf numFmtId="0" fontId="3" fillId="65" borderId="0" applyNumberFormat="0" applyBorder="0" applyAlignment="0" applyProtection="0"/>
    <xf numFmtId="0" fontId="3" fillId="69" borderId="0" applyNumberFormat="0" applyBorder="0" applyAlignment="0" applyProtection="0"/>
    <xf numFmtId="0" fontId="3" fillId="69" borderId="0" applyNumberFormat="0" applyBorder="0" applyAlignment="0" applyProtection="0"/>
    <xf numFmtId="0" fontId="3" fillId="69" borderId="0" applyNumberFormat="0" applyBorder="0" applyAlignment="0" applyProtection="0"/>
    <xf numFmtId="0" fontId="3" fillId="73" borderId="0" applyNumberFormat="0" applyBorder="0" applyAlignment="0" applyProtection="0"/>
    <xf numFmtId="0" fontId="3" fillId="73" borderId="0" applyNumberFormat="0" applyBorder="0" applyAlignment="0" applyProtection="0"/>
    <xf numFmtId="0" fontId="3" fillId="73" borderId="0" applyNumberFormat="0" applyBorder="0" applyAlignment="0" applyProtection="0"/>
    <xf numFmtId="0" fontId="3" fillId="77" borderId="0" applyNumberFormat="0" applyBorder="0" applyAlignment="0" applyProtection="0"/>
    <xf numFmtId="0" fontId="3" fillId="77" borderId="0" applyNumberFormat="0" applyBorder="0" applyAlignment="0" applyProtection="0"/>
    <xf numFmtId="0" fontId="3" fillId="77" borderId="0" applyNumberFormat="0" applyBorder="0" applyAlignment="0" applyProtection="0"/>
    <xf numFmtId="0" fontId="3" fillId="81" borderId="0" applyNumberFormat="0" applyBorder="0" applyAlignment="0" applyProtection="0"/>
    <xf numFmtId="0" fontId="3" fillId="81" borderId="0" applyNumberFormat="0" applyBorder="0" applyAlignment="0" applyProtection="0"/>
    <xf numFmtId="0" fontId="3" fillId="81" borderId="0" applyNumberFormat="0" applyBorder="0" applyAlignment="0" applyProtection="0"/>
    <xf numFmtId="0" fontId="3" fillId="62" borderId="0" applyNumberFormat="0" applyBorder="0" applyAlignment="0" applyProtection="0"/>
    <xf numFmtId="0" fontId="3" fillId="62" borderId="0" applyNumberFormat="0" applyBorder="0" applyAlignment="0" applyProtection="0"/>
    <xf numFmtId="0" fontId="3" fillId="62" borderId="0" applyNumberFormat="0" applyBorder="0" applyAlignment="0" applyProtection="0"/>
    <xf numFmtId="0" fontId="3" fillId="66" borderId="0" applyNumberFormat="0" applyBorder="0" applyAlignment="0" applyProtection="0"/>
    <xf numFmtId="0" fontId="3" fillId="66" borderId="0" applyNumberFormat="0" applyBorder="0" applyAlignment="0" applyProtection="0"/>
    <xf numFmtId="0" fontId="3" fillId="66" borderId="0" applyNumberFormat="0" applyBorder="0" applyAlignment="0" applyProtection="0"/>
    <xf numFmtId="0" fontId="3" fillId="70" borderId="0" applyNumberFormat="0" applyBorder="0" applyAlignment="0" applyProtection="0"/>
    <xf numFmtId="0" fontId="3" fillId="70" borderId="0" applyNumberFormat="0" applyBorder="0" applyAlignment="0" applyProtection="0"/>
    <xf numFmtId="0" fontId="3" fillId="70" borderId="0" applyNumberFormat="0" applyBorder="0" applyAlignment="0" applyProtection="0"/>
    <xf numFmtId="0" fontId="3" fillId="74" borderId="0" applyNumberFormat="0" applyBorder="0" applyAlignment="0" applyProtection="0"/>
    <xf numFmtId="0" fontId="3" fillId="74" borderId="0" applyNumberFormat="0" applyBorder="0" applyAlignment="0" applyProtection="0"/>
    <xf numFmtId="0" fontId="3" fillId="74" borderId="0" applyNumberFormat="0" applyBorder="0" applyAlignment="0" applyProtection="0"/>
    <xf numFmtId="0" fontId="3" fillId="78" borderId="0" applyNumberFormat="0" applyBorder="0" applyAlignment="0" applyProtection="0"/>
    <xf numFmtId="0" fontId="3" fillId="78" borderId="0" applyNumberFormat="0" applyBorder="0" applyAlignment="0" applyProtection="0"/>
    <xf numFmtId="0" fontId="3" fillId="78" borderId="0" applyNumberFormat="0" applyBorder="0" applyAlignment="0" applyProtection="0"/>
    <xf numFmtId="0" fontId="3" fillId="82" borderId="0" applyNumberFormat="0" applyBorder="0" applyAlignment="0" applyProtection="0"/>
    <xf numFmtId="0" fontId="3" fillId="82" borderId="0" applyNumberFormat="0" applyBorder="0" applyAlignment="0" applyProtection="0"/>
    <xf numFmtId="0" fontId="3" fillId="82" borderId="0" applyNumberFormat="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59" borderId="81" applyNumberFormat="0" applyFont="0" applyAlignment="0" applyProtection="0"/>
    <xf numFmtId="0" fontId="3" fillId="61" borderId="0" applyNumberFormat="0" applyBorder="0" applyAlignment="0" applyProtection="0"/>
    <xf numFmtId="0" fontId="3" fillId="62" borderId="0" applyNumberFormat="0" applyBorder="0" applyAlignment="0" applyProtection="0"/>
    <xf numFmtId="0" fontId="3" fillId="65" borderId="0" applyNumberFormat="0" applyBorder="0" applyAlignment="0" applyProtection="0"/>
    <xf numFmtId="0" fontId="3" fillId="66" borderId="0" applyNumberFormat="0" applyBorder="0" applyAlignment="0" applyProtection="0"/>
    <xf numFmtId="0" fontId="3" fillId="69" borderId="0" applyNumberFormat="0" applyBorder="0" applyAlignment="0" applyProtection="0"/>
    <xf numFmtId="0" fontId="3" fillId="70" borderId="0" applyNumberFormat="0" applyBorder="0" applyAlignment="0" applyProtection="0"/>
    <xf numFmtId="0" fontId="3" fillId="73" borderId="0" applyNumberFormat="0" applyBorder="0" applyAlignment="0" applyProtection="0"/>
    <xf numFmtId="0" fontId="3" fillId="74" borderId="0" applyNumberFormat="0" applyBorder="0" applyAlignment="0" applyProtection="0"/>
    <xf numFmtId="0" fontId="3" fillId="77" borderId="0" applyNumberFormat="0" applyBorder="0" applyAlignment="0" applyProtection="0"/>
    <xf numFmtId="0" fontId="3" fillId="78" borderId="0" applyNumberFormat="0" applyBorder="0" applyAlignment="0" applyProtection="0"/>
    <xf numFmtId="0" fontId="3" fillId="81" borderId="0" applyNumberFormat="0" applyBorder="0" applyAlignment="0" applyProtection="0"/>
    <xf numFmtId="0" fontId="3" fillId="82" borderId="0" applyNumberFormat="0" applyBorder="0" applyAlignment="0" applyProtection="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3" fillId="59" borderId="81" applyNumberFormat="0" applyFont="0" applyAlignment="0" applyProtection="0"/>
    <xf numFmtId="0" fontId="3" fillId="61" borderId="0" applyNumberFormat="0" applyBorder="0" applyAlignment="0" applyProtection="0"/>
    <xf numFmtId="0" fontId="3" fillId="62" borderId="0" applyNumberFormat="0" applyBorder="0" applyAlignment="0" applyProtection="0"/>
    <xf numFmtId="0" fontId="3" fillId="65" borderId="0" applyNumberFormat="0" applyBorder="0" applyAlignment="0" applyProtection="0"/>
    <xf numFmtId="0" fontId="3" fillId="66" borderId="0" applyNumberFormat="0" applyBorder="0" applyAlignment="0" applyProtection="0"/>
    <xf numFmtId="0" fontId="3" fillId="69" borderId="0" applyNumberFormat="0" applyBorder="0" applyAlignment="0" applyProtection="0"/>
    <xf numFmtId="0" fontId="3" fillId="70" borderId="0" applyNumberFormat="0" applyBorder="0" applyAlignment="0" applyProtection="0"/>
    <xf numFmtId="0" fontId="3" fillId="73" borderId="0" applyNumberFormat="0" applyBorder="0" applyAlignment="0" applyProtection="0"/>
    <xf numFmtId="0" fontId="3" fillId="74" borderId="0" applyNumberFormat="0" applyBorder="0" applyAlignment="0" applyProtection="0"/>
    <xf numFmtId="0" fontId="3" fillId="77" borderId="0" applyNumberFormat="0" applyBorder="0" applyAlignment="0" applyProtection="0"/>
    <xf numFmtId="0" fontId="3" fillId="78" borderId="0" applyNumberFormat="0" applyBorder="0" applyAlignment="0" applyProtection="0"/>
    <xf numFmtId="0" fontId="3" fillId="81" borderId="0" applyNumberFormat="0" applyBorder="0" applyAlignment="0" applyProtection="0"/>
    <xf numFmtId="0" fontId="3" fillId="82" borderId="0" applyNumberFormat="0" applyBorder="0" applyAlignment="0" applyProtection="0"/>
    <xf numFmtId="0" fontId="3" fillId="0" borderId="0"/>
    <xf numFmtId="0" fontId="3" fillId="59" borderId="81" applyNumberFormat="0" applyFont="0" applyAlignment="0" applyProtection="0"/>
    <xf numFmtId="0" fontId="3" fillId="61" borderId="0" applyNumberFormat="0" applyBorder="0" applyAlignment="0" applyProtection="0"/>
    <xf numFmtId="0" fontId="3" fillId="62" borderId="0" applyNumberFormat="0" applyBorder="0" applyAlignment="0" applyProtection="0"/>
    <xf numFmtId="0" fontId="3" fillId="65" borderId="0" applyNumberFormat="0" applyBorder="0" applyAlignment="0" applyProtection="0"/>
    <xf numFmtId="0" fontId="3" fillId="66" borderId="0" applyNumberFormat="0" applyBorder="0" applyAlignment="0" applyProtection="0"/>
    <xf numFmtId="0" fontId="3" fillId="69" borderId="0" applyNumberFormat="0" applyBorder="0" applyAlignment="0" applyProtection="0"/>
    <xf numFmtId="0" fontId="3" fillId="70" borderId="0" applyNumberFormat="0" applyBorder="0" applyAlignment="0" applyProtection="0"/>
    <xf numFmtId="0" fontId="3" fillId="73" borderId="0" applyNumberFormat="0" applyBorder="0" applyAlignment="0" applyProtection="0"/>
    <xf numFmtId="0" fontId="3" fillId="74" borderId="0" applyNumberFormat="0" applyBorder="0" applyAlignment="0" applyProtection="0"/>
    <xf numFmtId="0" fontId="3" fillId="77" borderId="0" applyNumberFormat="0" applyBorder="0" applyAlignment="0" applyProtection="0"/>
    <xf numFmtId="0" fontId="3" fillId="78" borderId="0" applyNumberFormat="0" applyBorder="0" applyAlignment="0" applyProtection="0"/>
    <xf numFmtId="0" fontId="3" fillId="81" borderId="0" applyNumberFormat="0" applyBorder="0" applyAlignment="0" applyProtection="0"/>
    <xf numFmtId="0" fontId="3" fillId="82" borderId="0" applyNumberFormat="0" applyBorder="0" applyAlignment="0" applyProtection="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3" fillId="0" borderId="0"/>
    <xf numFmtId="0" fontId="3" fillId="0" borderId="0"/>
    <xf numFmtId="0" fontId="3" fillId="0" borderId="0"/>
    <xf numFmtId="0" fontId="3" fillId="0" borderId="0"/>
    <xf numFmtId="0" fontId="3" fillId="0" borderId="0"/>
    <xf numFmtId="0" fontId="3" fillId="0" borderId="0"/>
    <xf numFmtId="0" fontId="16" fillId="0" borderId="0"/>
    <xf numFmtId="0" fontId="3" fillId="59" borderId="81" applyNumberFormat="0" applyFont="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59" borderId="81" applyNumberFormat="0" applyFont="0" applyAlignment="0" applyProtection="0"/>
    <xf numFmtId="0" fontId="3" fillId="0" borderId="0"/>
    <xf numFmtId="9" fontId="3" fillId="0" borderId="0" applyFont="0" applyFill="0" applyBorder="0" applyAlignment="0" applyProtection="0"/>
    <xf numFmtId="0" fontId="23" fillId="84" borderId="0" applyNumberFormat="0" applyBorder="0" applyAlignment="0" applyProtection="0"/>
    <xf numFmtId="0" fontId="23" fillId="7" borderId="0" applyNumberFormat="0" applyBorder="0" applyAlignment="0" applyProtection="0"/>
    <xf numFmtId="0" fontId="23" fillId="85" borderId="0" applyNumberFormat="0" applyBorder="0" applyAlignment="0" applyProtection="0"/>
    <xf numFmtId="0" fontId="23" fillId="86" borderId="0" applyNumberFormat="0" applyBorder="0" applyAlignment="0" applyProtection="0"/>
    <xf numFmtId="0" fontId="23" fillId="87" borderId="0" applyNumberFormat="0" applyBorder="0" applyAlignment="0" applyProtection="0"/>
    <xf numFmtId="0" fontId="23" fillId="11" borderId="0" applyNumberFormat="0" applyBorder="0" applyAlignment="0" applyProtection="0"/>
    <xf numFmtId="0" fontId="16" fillId="0" borderId="0"/>
    <xf numFmtId="0" fontId="23" fillId="6" borderId="0" applyNumberFormat="0" applyBorder="0" applyAlignment="0" applyProtection="0"/>
    <xf numFmtId="0" fontId="23" fillId="3" borderId="0" applyNumberFormat="0" applyBorder="0" applyAlignment="0" applyProtection="0"/>
    <xf numFmtId="0" fontId="23" fillId="39" borderId="0" applyNumberFormat="0" applyBorder="0" applyAlignment="0" applyProtection="0"/>
    <xf numFmtId="0" fontId="23" fillId="86" borderId="0" applyNumberFormat="0" applyBorder="0" applyAlignment="0" applyProtection="0"/>
    <xf numFmtId="0" fontId="23" fillId="6" borderId="0" applyNumberFormat="0" applyBorder="0" applyAlignment="0" applyProtection="0"/>
    <xf numFmtId="0" fontId="23" fillId="35" borderId="0" applyNumberFormat="0" applyBorder="0" applyAlignment="0" applyProtection="0"/>
    <xf numFmtId="0" fontId="3" fillId="0" borderId="0"/>
    <xf numFmtId="0" fontId="16" fillId="0" borderId="0"/>
    <xf numFmtId="0" fontId="111" fillId="0" borderId="0"/>
    <xf numFmtId="0" fontId="111" fillId="0" borderId="0"/>
    <xf numFmtId="0" fontId="111" fillId="0" borderId="0"/>
    <xf numFmtId="0" fontId="111" fillId="0" borderId="0"/>
    <xf numFmtId="0" fontId="111" fillId="0" borderId="0"/>
    <xf numFmtId="0" fontId="111" fillId="0" borderId="0"/>
    <xf numFmtId="0" fontId="16" fillId="0" borderId="0"/>
    <xf numFmtId="0" fontId="3" fillId="0" borderId="0"/>
    <xf numFmtId="0" fontId="3" fillId="0" borderId="0"/>
    <xf numFmtId="0" fontId="3" fillId="0" borderId="0"/>
    <xf numFmtId="0" fontId="16" fillId="0" borderId="0"/>
    <xf numFmtId="0" fontId="3" fillId="0" borderId="0"/>
    <xf numFmtId="0" fontId="3" fillId="0" borderId="0"/>
    <xf numFmtId="0" fontId="3" fillId="0" borderId="0"/>
    <xf numFmtId="0" fontId="3" fillId="0" borderId="0"/>
    <xf numFmtId="0" fontId="111" fillId="0" borderId="0"/>
    <xf numFmtId="0" fontId="18" fillId="4" borderId="7" applyNumberFormat="0" applyFont="0" applyAlignment="0" applyProtection="0"/>
    <xf numFmtId="0" fontId="16" fillId="0" borderId="0"/>
    <xf numFmtId="0" fontId="16" fillId="0" borderId="0"/>
    <xf numFmtId="0" fontId="3"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44" fontId="3" fillId="0" borderId="0" applyFont="0" applyFill="0" applyBorder="0" applyAlignment="0" applyProtection="0"/>
    <xf numFmtId="0" fontId="3"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3" fillId="59" borderId="81" applyNumberFormat="0" applyFont="0" applyAlignment="0" applyProtection="0"/>
    <xf numFmtId="0" fontId="3" fillId="0" borderId="0"/>
    <xf numFmtId="0" fontId="3" fillId="0" borderId="0"/>
    <xf numFmtId="0" fontId="3" fillId="0" borderId="0"/>
    <xf numFmtId="0" fontId="3" fillId="61" borderId="0" applyNumberFormat="0" applyBorder="0" applyAlignment="0" applyProtection="0"/>
    <xf numFmtId="0" fontId="3" fillId="61" borderId="0" applyNumberFormat="0" applyBorder="0" applyAlignment="0" applyProtection="0"/>
    <xf numFmtId="0" fontId="3" fillId="61" borderId="0" applyNumberFormat="0" applyBorder="0" applyAlignment="0" applyProtection="0"/>
    <xf numFmtId="0" fontId="3" fillId="61" borderId="0" applyNumberFormat="0" applyBorder="0" applyAlignment="0" applyProtection="0"/>
    <xf numFmtId="0" fontId="3" fillId="61" borderId="0" applyNumberFormat="0" applyBorder="0" applyAlignment="0" applyProtection="0"/>
    <xf numFmtId="0" fontId="3" fillId="61" borderId="0" applyNumberFormat="0" applyBorder="0" applyAlignment="0" applyProtection="0"/>
    <xf numFmtId="0" fontId="3" fillId="61" borderId="0" applyNumberFormat="0" applyBorder="0" applyAlignment="0" applyProtection="0"/>
    <xf numFmtId="0" fontId="3" fillId="65" borderId="0" applyNumberFormat="0" applyBorder="0" applyAlignment="0" applyProtection="0"/>
    <xf numFmtId="0" fontId="3" fillId="65" borderId="0" applyNumberFormat="0" applyBorder="0" applyAlignment="0" applyProtection="0"/>
    <xf numFmtId="0" fontId="3" fillId="65" borderId="0" applyNumberFormat="0" applyBorder="0" applyAlignment="0" applyProtection="0"/>
    <xf numFmtId="0" fontId="3" fillId="65" borderId="0" applyNumberFormat="0" applyBorder="0" applyAlignment="0" applyProtection="0"/>
    <xf numFmtId="0" fontId="3" fillId="65" borderId="0" applyNumberFormat="0" applyBorder="0" applyAlignment="0" applyProtection="0"/>
    <xf numFmtId="0" fontId="3" fillId="65" borderId="0" applyNumberFormat="0" applyBorder="0" applyAlignment="0" applyProtection="0"/>
    <xf numFmtId="0" fontId="3" fillId="65" borderId="0" applyNumberFormat="0" applyBorder="0" applyAlignment="0" applyProtection="0"/>
    <xf numFmtId="0" fontId="3" fillId="69" borderId="0" applyNumberFormat="0" applyBorder="0" applyAlignment="0" applyProtection="0"/>
    <xf numFmtId="0" fontId="3" fillId="69" borderId="0" applyNumberFormat="0" applyBorder="0" applyAlignment="0" applyProtection="0"/>
    <xf numFmtId="0" fontId="3" fillId="69" borderId="0" applyNumberFormat="0" applyBorder="0" applyAlignment="0" applyProtection="0"/>
    <xf numFmtId="0" fontId="3" fillId="69" borderId="0" applyNumberFormat="0" applyBorder="0" applyAlignment="0" applyProtection="0"/>
    <xf numFmtId="0" fontId="3" fillId="69" borderId="0" applyNumberFormat="0" applyBorder="0" applyAlignment="0" applyProtection="0"/>
    <xf numFmtId="0" fontId="3" fillId="69" borderId="0" applyNumberFormat="0" applyBorder="0" applyAlignment="0" applyProtection="0"/>
    <xf numFmtId="0" fontId="3" fillId="69" borderId="0" applyNumberFormat="0" applyBorder="0" applyAlignment="0" applyProtection="0"/>
    <xf numFmtId="0" fontId="3" fillId="73" borderId="0" applyNumberFormat="0" applyBorder="0" applyAlignment="0" applyProtection="0"/>
    <xf numFmtId="0" fontId="3" fillId="73" borderId="0" applyNumberFormat="0" applyBorder="0" applyAlignment="0" applyProtection="0"/>
    <xf numFmtId="0" fontId="3" fillId="73" borderId="0" applyNumberFormat="0" applyBorder="0" applyAlignment="0" applyProtection="0"/>
    <xf numFmtId="0" fontId="3" fillId="73" borderId="0" applyNumberFormat="0" applyBorder="0" applyAlignment="0" applyProtection="0"/>
    <xf numFmtId="0" fontId="3" fillId="73" borderId="0" applyNumberFormat="0" applyBorder="0" applyAlignment="0" applyProtection="0"/>
    <xf numFmtId="0" fontId="3" fillId="73" borderId="0" applyNumberFormat="0" applyBorder="0" applyAlignment="0" applyProtection="0"/>
    <xf numFmtId="0" fontId="3" fillId="73" borderId="0" applyNumberFormat="0" applyBorder="0" applyAlignment="0" applyProtection="0"/>
    <xf numFmtId="0" fontId="3" fillId="77" borderId="0" applyNumberFormat="0" applyBorder="0" applyAlignment="0" applyProtection="0"/>
    <xf numFmtId="0" fontId="3" fillId="77" borderId="0" applyNumberFormat="0" applyBorder="0" applyAlignment="0" applyProtection="0"/>
    <xf numFmtId="0" fontId="3" fillId="77" borderId="0" applyNumberFormat="0" applyBorder="0" applyAlignment="0" applyProtection="0"/>
    <xf numFmtId="0" fontId="3" fillId="77" borderId="0" applyNumberFormat="0" applyBorder="0" applyAlignment="0" applyProtection="0"/>
    <xf numFmtId="0" fontId="3" fillId="77" borderId="0" applyNumberFormat="0" applyBorder="0" applyAlignment="0" applyProtection="0"/>
    <xf numFmtId="0" fontId="3" fillId="77" borderId="0" applyNumberFormat="0" applyBorder="0" applyAlignment="0" applyProtection="0"/>
    <xf numFmtId="0" fontId="3" fillId="77" borderId="0" applyNumberFormat="0" applyBorder="0" applyAlignment="0" applyProtection="0"/>
    <xf numFmtId="0" fontId="3" fillId="81" borderId="0" applyNumberFormat="0" applyBorder="0" applyAlignment="0" applyProtection="0"/>
    <xf numFmtId="0" fontId="3" fillId="81" borderId="0" applyNumberFormat="0" applyBorder="0" applyAlignment="0" applyProtection="0"/>
    <xf numFmtId="0" fontId="3" fillId="81" borderId="0" applyNumberFormat="0" applyBorder="0" applyAlignment="0" applyProtection="0"/>
    <xf numFmtId="0" fontId="3" fillId="81" borderId="0" applyNumberFormat="0" applyBorder="0" applyAlignment="0" applyProtection="0"/>
    <xf numFmtId="0" fontId="3" fillId="81" borderId="0" applyNumberFormat="0" applyBorder="0" applyAlignment="0" applyProtection="0"/>
    <xf numFmtId="0" fontId="3" fillId="81" borderId="0" applyNumberFormat="0" applyBorder="0" applyAlignment="0" applyProtection="0"/>
    <xf numFmtId="0" fontId="3" fillId="81" borderId="0" applyNumberFormat="0" applyBorder="0" applyAlignment="0" applyProtection="0"/>
    <xf numFmtId="0" fontId="3" fillId="62" borderId="0" applyNumberFormat="0" applyBorder="0" applyAlignment="0" applyProtection="0"/>
    <xf numFmtId="0" fontId="3" fillId="62" borderId="0" applyNumberFormat="0" applyBorder="0" applyAlignment="0" applyProtection="0"/>
    <xf numFmtId="0" fontId="3" fillId="62" borderId="0" applyNumberFormat="0" applyBorder="0" applyAlignment="0" applyProtection="0"/>
    <xf numFmtId="0" fontId="3" fillId="62" borderId="0" applyNumberFormat="0" applyBorder="0" applyAlignment="0" applyProtection="0"/>
    <xf numFmtId="0" fontId="3" fillId="62" borderId="0" applyNumberFormat="0" applyBorder="0" applyAlignment="0" applyProtection="0"/>
    <xf numFmtId="0" fontId="3" fillId="62" borderId="0" applyNumberFormat="0" applyBorder="0" applyAlignment="0" applyProtection="0"/>
    <xf numFmtId="0" fontId="3" fillId="62" borderId="0" applyNumberFormat="0" applyBorder="0" applyAlignment="0" applyProtection="0"/>
    <xf numFmtId="0" fontId="3" fillId="66" borderId="0" applyNumberFormat="0" applyBorder="0" applyAlignment="0" applyProtection="0"/>
    <xf numFmtId="0" fontId="3" fillId="66" borderId="0" applyNumberFormat="0" applyBorder="0" applyAlignment="0" applyProtection="0"/>
    <xf numFmtId="0" fontId="3" fillId="66" borderId="0" applyNumberFormat="0" applyBorder="0" applyAlignment="0" applyProtection="0"/>
    <xf numFmtId="0" fontId="3" fillId="66" borderId="0" applyNumberFormat="0" applyBorder="0" applyAlignment="0" applyProtection="0"/>
    <xf numFmtId="0" fontId="3" fillId="66" borderId="0" applyNumberFormat="0" applyBorder="0" applyAlignment="0" applyProtection="0"/>
    <xf numFmtId="0" fontId="3" fillId="66" borderId="0" applyNumberFormat="0" applyBorder="0" applyAlignment="0" applyProtection="0"/>
    <xf numFmtId="0" fontId="3" fillId="66" borderId="0" applyNumberFormat="0" applyBorder="0" applyAlignment="0" applyProtection="0"/>
    <xf numFmtId="0" fontId="3" fillId="70" borderId="0" applyNumberFormat="0" applyBorder="0" applyAlignment="0" applyProtection="0"/>
    <xf numFmtId="0" fontId="3" fillId="70" borderId="0" applyNumberFormat="0" applyBorder="0" applyAlignment="0" applyProtection="0"/>
    <xf numFmtId="0" fontId="3" fillId="70" borderId="0" applyNumberFormat="0" applyBorder="0" applyAlignment="0" applyProtection="0"/>
    <xf numFmtId="0" fontId="3" fillId="70" borderId="0" applyNumberFormat="0" applyBorder="0" applyAlignment="0" applyProtection="0"/>
    <xf numFmtId="0" fontId="3" fillId="70" borderId="0" applyNumberFormat="0" applyBorder="0" applyAlignment="0" applyProtection="0"/>
    <xf numFmtId="0" fontId="3" fillId="70" borderId="0" applyNumberFormat="0" applyBorder="0" applyAlignment="0" applyProtection="0"/>
    <xf numFmtId="0" fontId="3" fillId="70" borderId="0" applyNumberFormat="0" applyBorder="0" applyAlignment="0" applyProtection="0"/>
    <xf numFmtId="0" fontId="3" fillId="74" borderId="0" applyNumberFormat="0" applyBorder="0" applyAlignment="0" applyProtection="0"/>
    <xf numFmtId="0" fontId="3" fillId="74" borderId="0" applyNumberFormat="0" applyBorder="0" applyAlignment="0" applyProtection="0"/>
    <xf numFmtId="0" fontId="3" fillId="74" borderId="0" applyNumberFormat="0" applyBorder="0" applyAlignment="0" applyProtection="0"/>
    <xf numFmtId="0" fontId="3" fillId="74" borderId="0" applyNumberFormat="0" applyBorder="0" applyAlignment="0" applyProtection="0"/>
    <xf numFmtId="0" fontId="3" fillId="74" borderId="0" applyNumberFormat="0" applyBorder="0" applyAlignment="0" applyProtection="0"/>
    <xf numFmtId="0" fontId="3" fillId="74" borderId="0" applyNumberFormat="0" applyBorder="0" applyAlignment="0" applyProtection="0"/>
    <xf numFmtId="0" fontId="3" fillId="74" borderId="0" applyNumberFormat="0" applyBorder="0" applyAlignment="0" applyProtection="0"/>
    <xf numFmtId="0" fontId="3" fillId="78" borderId="0" applyNumberFormat="0" applyBorder="0" applyAlignment="0" applyProtection="0"/>
    <xf numFmtId="0" fontId="3" fillId="78" borderId="0" applyNumberFormat="0" applyBorder="0" applyAlignment="0" applyProtection="0"/>
    <xf numFmtId="0" fontId="3" fillId="78" borderId="0" applyNumberFormat="0" applyBorder="0" applyAlignment="0" applyProtection="0"/>
    <xf numFmtId="0" fontId="3" fillId="78" borderId="0" applyNumberFormat="0" applyBorder="0" applyAlignment="0" applyProtection="0"/>
    <xf numFmtId="0" fontId="3" fillId="78" borderId="0" applyNumberFormat="0" applyBorder="0" applyAlignment="0" applyProtection="0"/>
    <xf numFmtId="0" fontId="3" fillId="78" borderId="0" applyNumberFormat="0" applyBorder="0" applyAlignment="0" applyProtection="0"/>
    <xf numFmtId="0" fontId="3" fillId="78" borderId="0" applyNumberFormat="0" applyBorder="0" applyAlignment="0" applyProtection="0"/>
    <xf numFmtId="0" fontId="3" fillId="82" borderId="0" applyNumberFormat="0" applyBorder="0" applyAlignment="0" applyProtection="0"/>
    <xf numFmtId="0" fontId="3" fillId="82" borderId="0" applyNumberFormat="0" applyBorder="0" applyAlignment="0" applyProtection="0"/>
    <xf numFmtId="0" fontId="3" fillId="82" borderId="0" applyNumberFormat="0" applyBorder="0" applyAlignment="0" applyProtection="0"/>
    <xf numFmtId="0" fontId="3" fillId="82" borderId="0" applyNumberFormat="0" applyBorder="0" applyAlignment="0" applyProtection="0"/>
    <xf numFmtId="0" fontId="3" fillId="82" borderId="0" applyNumberFormat="0" applyBorder="0" applyAlignment="0" applyProtection="0"/>
    <xf numFmtId="0" fontId="3" fillId="82" borderId="0" applyNumberFormat="0" applyBorder="0" applyAlignment="0" applyProtection="0"/>
    <xf numFmtId="0" fontId="3" fillId="82" borderId="0" applyNumberFormat="0" applyBorder="0" applyAlignment="0" applyProtection="0"/>
    <xf numFmtId="44" fontId="3" fillId="0" borderId="0" applyFont="0" applyFill="0" applyBorder="0" applyAlignment="0" applyProtection="0"/>
    <xf numFmtId="44"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59" borderId="81" applyNumberFormat="0" applyFont="0" applyAlignment="0" applyProtection="0"/>
    <xf numFmtId="0" fontId="3" fillId="59" borderId="81" applyNumberFormat="0" applyFont="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61" borderId="0" applyNumberFormat="0" applyBorder="0" applyAlignment="0" applyProtection="0"/>
    <xf numFmtId="0" fontId="3" fillId="62" borderId="0" applyNumberFormat="0" applyBorder="0" applyAlignment="0" applyProtection="0"/>
    <xf numFmtId="0" fontId="3" fillId="65" borderId="0" applyNumberFormat="0" applyBorder="0" applyAlignment="0" applyProtection="0"/>
    <xf numFmtId="0" fontId="3" fillId="66" borderId="0" applyNumberFormat="0" applyBorder="0" applyAlignment="0" applyProtection="0"/>
    <xf numFmtId="0" fontId="3" fillId="69" borderId="0" applyNumberFormat="0" applyBorder="0" applyAlignment="0" applyProtection="0"/>
    <xf numFmtId="0" fontId="3" fillId="70" borderId="0" applyNumberFormat="0" applyBorder="0" applyAlignment="0" applyProtection="0"/>
    <xf numFmtId="0" fontId="3" fillId="73" borderId="0" applyNumberFormat="0" applyBorder="0" applyAlignment="0" applyProtection="0"/>
    <xf numFmtId="0" fontId="3" fillId="74" borderId="0" applyNumberFormat="0" applyBorder="0" applyAlignment="0" applyProtection="0"/>
    <xf numFmtId="0" fontId="3" fillId="77" borderId="0" applyNumberFormat="0" applyBorder="0" applyAlignment="0" applyProtection="0"/>
    <xf numFmtId="0" fontId="3" fillId="78" borderId="0" applyNumberFormat="0" applyBorder="0" applyAlignment="0" applyProtection="0"/>
    <xf numFmtId="0" fontId="3" fillId="81" borderId="0" applyNumberFormat="0" applyBorder="0" applyAlignment="0" applyProtection="0"/>
    <xf numFmtId="0" fontId="3" fillId="82" borderId="0" applyNumberFormat="0" applyBorder="0" applyAlignment="0" applyProtection="0"/>
    <xf numFmtId="0" fontId="3" fillId="61" borderId="0" applyNumberFormat="0" applyBorder="0" applyAlignment="0" applyProtection="0"/>
    <xf numFmtId="0" fontId="3" fillId="65" borderId="0" applyNumberFormat="0" applyBorder="0" applyAlignment="0" applyProtection="0"/>
    <xf numFmtId="0" fontId="3" fillId="69" borderId="0" applyNumberFormat="0" applyBorder="0" applyAlignment="0" applyProtection="0"/>
    <xf numFmtId="0" fontId="3" fillId="73" borderId="0" applyNumberFormat="0" applyBorder="0" applyAlignment="0" applyProtection="0"/>
    <xf numFmtId="0" fontId="3" fillId="77" borderId="0" applyNumberFormat="0" applyBorder="0" applyAlignment="0" applyProtection="0"/>
    <xf numFmtId="0" fontId="3" fillId="81" borderId="0" applyNumberFormat="0" applyBorder="0" applyAlignment="0" applyProtection="0"/>
    <xf numFmtId="0" fontId="3" fillId="62" borderId="0" applyNumberFormat="0" applyBorder="0" applyAlignment="0" applyProtection="0"/>
    <xf numFmtId="0" fontId="3" fillId="66" borderId="0" applyNumberFormat="0" applyBorder="0" applyAlignment="0" applyProtection="0"/>
    <xf numFmtId="0" fontId="3" fillId="70" borderId="0" applyNumberFormat="0" applyBorder="0" applyAlignment="0" applyProtection="0"/>
    <xf numFmtId="0" fontId="3" fillId="74" borderId="0" applyNumberFormat="0" applyBorder="0" applyAlignment="0" applyProtection="0"/>
    <xf numFmtId="0" fontId="3" fillId="78" borderId="0" applyNumberFormat="0" applyBorder="0" applyAlignment="0" applyProtection="0"/>
    <xf numFmtId="0" fontId="3" fillId="82" borderId="0" applyNumberFormat="0" applyBorder="0" applyAlignment="0" applyProtection="0"/>
    <xf numFmtId="0" fontId="3" fillId="0" borderId="0"/>
    <xf numFmtId="0" fontId="3" fillId="0" borderId="0"/>
    <xf numFmtId="0" fontId="3" fillId="59" borderId="81" applyNumberFormat="0" applyFont="0" applyAlignment="0" applyProtection="0"/>
    <xf numFmtId="0" fontId="3" fillId="0" borderId="0"/>
    <xf numFmtId="44" fontId="3" fillId="0" borderId="0" applyFont="0" applyFill="0" applyBorder="0" applyAlignment="0" applyProtection="0"/>
    <xf numFmtId="9" fontId="3" fillId="0" borderId="0" applyFont="0" applyFill="0" applyBorder="0" applyAlignment="0" applyProtection="0"/>
    <xf numFmtId="0" fontId="3" fillId="61" borderId="0" applyNumberFormat="0" applyBorder="0" applyAlignment="0" applyProtection="0"/>
    <xf numFmtId="0" fontId="3" fillId="61" borderId="0" applyNumberFormat="0" applyBorder="0" applyAlignment="0" applyProtection="0"/>
    <xf numFmtId="0" fontId="3" fillId="61" borderId="0" applyNumberFormat="0" applyBorder="0" applyAlignment="0" applyProtection="0"/>
    <xf numFmtId="0" fontId="3" fillId="65" borderId="0" applyNumberFormat="0" applyBorder="0" applyAlignment="0" applyProtection="0"/>
    <xf numFmtId="0" fontId="3" fillId="65" borderId="0" applyNumberFormat="0" applyBorder="0" applyAlignment="0" applyProtection="0"/>
    <xf numFmtId="0" fontId="3" fillId="65" borderId="0" applyNumberFormat="0" applyBorder="0" applyAlignment="0" applyProtection="0"/>
    <xf numFmtId="0" fontId="3" fillId="69" borderId="0" applyNumberFormat="0" applyBorder="0" applyAlignment="0" applyProtection="0"/>
    <xf numFmtId="0" fontId="3" fillId="69" borderId="0" applyNumberFormat="0" applyBorder="0" applyAlignment="0" applyProtection="0"/>
    <xf numFmtId="0" fontId="3" fillId="69" borderId="0" applyNumberFormat="0" applyBorder="0" applyAlignment="0" applyProtection="0"/>
    <xf numFmtId="0" fontId="3" fillId="73" borderId="0" applyNumberFormat="0" applyBorder="0" applyAlignment="0" applyProtection="0"/>
    <xf numFmtId="0" fontId="3" fillId="73" borderId="0" applyNumberFormat="0" applyBorder="0" applyAlignment="0" applyProtection="0"/>
    <xf numFmtId="0" fontId="3" fillId="73" borderId="0" applyNumberFormat="0" applyBorder="0" applyAlignment="0" applyProtection="0"/>
    <xf numFmtId="0" fontId="3" fillId="77" borderId="0" applyNumberFormat="0" applyBorder="0" applyAlignment="0" applyProtection="0"/>
    <xf numFmtId="0" fontId="3" fillId="77" borderId="0" applyNumberFormat="0" applyBorder="0" applyAlignment="0" applyProtection="0"/>
    <xf numFmtId="0" fontId="3" fillId="77" borderId="0" applyNumberFormat="0" applyBorder="0" applyAlignment="0" applyProtection="0"/>
    <xf numFmtId="0" fontId="3" fillId="81" borderId="0" applyNumberFormat="0" applyBorder="0" applyAlignment="0" applyProtection="0"/>
    <xf numFmtId="0" fontId="3" fillId="81" borderId="0" applyNumberFormat="0" applyBorder="0" applyAlignment="0" applyProtection="0"/>
    <xf numFmtId="0" fontId="3" fillId="81" borderId="0" applyNumberFormat="0" applyBorder="0" applyAlignment="0" applyProtection="0"/>
    <xf numFmtId="0" fontId="3" fillId="62" borderId="0" applyNumberFormat="0" applyBorder="0" applyAlignment="0" applyProtection="0"/>
    <xf numFmtId="0" fontId="3" fillId="62" borderId="0" applyNumberFormat="0" applyBorder="0" applyAlignment="0" applyProtection="0"/>
    <xf numFmtId="0" fontId="3" fillId="62" borderId="0" applyNumberFormat="0" applyBorder="0" applyAlignment="0" applyProtection="0"/>
    <xf numFmtId="0" fontId="3" fillId="66" borderId="0" applyNumberFormat="0" applyBorder="0" applyAlignment="0" applyProtection="0"/>
    <xf numFmtId="0" fontId="3" fillId="66" borderId="0" applyNumberFormat="0" applyBorder="0" applyAlignment="0" applyProtection="0"/>
    <xf numFmtId="0" fontId="3" fillId="66" borderId="0" applyNumberFormat="0" applyBorder="0" applyAlignment="0" applyProtection="0"/>
    <xf numFmtId="0" fontId="3" fillId="70" borderId="0" applyNumberFormat="0" applyBorder="0" applyAlignment="0" applyProtection="0"/>
    <xf numFmtId="0" fontId="3" fillId="70" borderId="0" applyNumberFormat="0" applyBorder="0" applyAlignment="0" applyProtection="0"/>
    <xf numFmtId="0" fontId="3" fillId="70" borderId="0" applyNumberFormat="0" applyBorder="0" applyAlignment="0" applyProtection="0"/>
    <xf numFmtId="0" fontId="3" fillId="74" borderId="0" applyNumberFormat="0" applyBorder="0" applyAlignment="0" applyProtection="0"/>
    <xf numFmtId="0" fontId="3" fillId="74" borderId="0" applyNumberFormat="0" applyBorder="0" applyAlignment="0" applyProtection="0"/>
    <xf numFmtId="0" fontId="3" fillId="74" borderId="0" applyNumberFormat="0" applyBorder="0" applyAlignment="0" applyProtection="0"/>
    <xf numFmtId="0" fontId="3" fillId="78" borderId="0" applyNumberFormat="0" applyBorder="0" applyAlignment="0" applyProtection="0"/>
    <xf numFmtId="0" fontId="3" fillId="78" borderId="0" applyNumberFormat="0" applyBorder="0" applyAlignment="0" applyProtection="0"/>
    <xf numFmtId="0" fontId="3" fillId="78" borderId="0" applyNumberFormat="0" applyBorder="0" applyAlignment="0" applyProtection="0"/>
    <xf numFmtId="0" fontId="3" fillId="82" borderId="0" applyNumberFormat="0" applyBorder="0" applyAlignment="0" applyProtection="0"/>
    <xf numFmtId="0" fontId="3" fillId="82" borderId="0" applyNumberFormat="0" applyBorder="0" applyAlignment="0" applyProtection="0"/>
    <xf numFmtId="0" fontId="3" fillId="82" borderId="0" applyNumberFormat="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61" borderId="0" applyNumberFormat="0" applyBorder="0" applyAlignment="0" applyProtection="0"/>
    <xf numFmtId="0" fontId="3" fillId="65" borderId="0" applyNumberFormat="0" applyBorder="0" applyAlignment="0" applyProtection="0"/>
    <xf numFmtId="0" fontId="3" fillId="69" borderId="0" applyNumberFormat="0" applyBorder="0" applyAlignment="0" applyProtection="0"/>
    <xf numFmtId="0" fontId="3" fillId="73" borderId="0" applyNumberFormat="0" applyBorder="0" applyAlignment="0" applyProtection="0"/>
    <xf numFmtId="0" fontId="3" fillId="77" borderId="0" applyNumberFormat="0" applyBorder="0" applyAlignment="0" applyProtection="0"/>
    <xf numFmtId="0" fontId="3" fillId="81" borderId="0" applyNumberFormat="0" applyBorder="0" applyAlignment="0" applyProtection="0"/>
    <xf numFmtId="0" fontId="3" fillId="62" borderId="0" applyNumberFormat="0" applyBorder="0" applyAlignment="0" applyProtection="0"/>
    <xf numFmtId="0" fontId="3" fillId="66" borderId="0" applyNumberFormat="0" applyBorder="0" applyAlignment="0" applyProtection="0"/>
    <xf numFmtId="0" fontId="3" fillId="70" borderId="0" applyNumberFormat="0" applyBorder="0" applyAlignment="0" applyProtection="0"/>
    <xf numFmtId="0" fontId="3" fillId="74" borderId="0" applyNumberFormat="0" applyBorder="0" applyAlignment="0" applyProtection="0"/>
    <xf numFmtId="0" fontId="3" fillId="78" borderId="0" applyNumberFormat="0" applyBorder="0" applyAlignment="0" applyProtection="0"/>
    <xf numFmtId="0" fontId="3" fillId="82" borderId="0" applyNumberFormat="0" applyBorder="0" applyAlignment="0" applyProtection="0"/>
    <xf numFmtId="0" fontId="3" fillId="0" borderId="0"/>
    <xf numFmtId="0" fontId="3" fillId="0" borderId="0"/>
    <xf numFmtId="0" fontId="3" fillId="59" borderId="81" applyNumberFormat="0" applyFont="0" applyAlignment="0" applyProtection="0"/>
    <xf numFmtId="0" fontId="3" fillId="0" borderId="0"/>
    <xf numFmtId="44" fontId="3" fillId="0" borderId="0" applyFont="0" applyFill="0" applyBorder="0" applyAlignment="0" applyProtection="0"/>
    <xf numFmtId="9" fontId="3" fillId="0" borderId="0" applyFont="0" applyFill="0" applyBorder="0" applyAlignment="0" applyProtection="0"/>
    <xf numFmtId="0" fontId="3" fillId="61" borderId="0" applyNumberFormat="0" applyBorder="0" applyAlignment="0" applyProtection="0"/>
    <xf numFmtId="0" fontId="3" fillId="61" borderId="0" applyNumberFormat="0" applyBorder="0" applyAlignment="0" applyProtection="0"/>
    <xf numFmtId="0" fontId="3" fillId="61" borderId="0" applyNumberFormat="0" applyBorder="0" applyAlignment="0" applyProtection="0"/>
    <xf numFmtId="0" fontId="3" fillId="65" borderId="0" applyNumberFormat="0" applyBorder="0" applyAlignment="0" applyProtection="0"/>
    <xf numFmtId="0" fontId="3" fillId="65" borderId="0" applyNumberFormat="0" applyBorder="0" applyAlignment="0" applyProtection="0"/>
    <xf numFmtId="0" fontId="3" fillId="65" borderId="0" applyNumberFormat="0" applyBorder="0" applyAlignment="0" applyProtection="0"/>
    <xf numFmtId="0" fontId="3" fillId="69" borderId="0" applyNumberFormat="0" applyBorder="0" applyAlignment="0" applyProtection="0"/>
    <xf numFmtId="0" fontId="3" fillId="69" borderId="0" applyNumberFormat="0" applyBorder="0" applyAlignment="0" applyProtection="0"/>
    <xf numFmtId="0" fontId="3" fillId="69" borderId="0" applyNumberFormat="0" applyBorder="0" applyAlignment="0" applyProtection="0"/>
    <xf numFmtId="0" fontId="3" fillId="73" borderId="0" applyNumberFormat="0" applyBorder="0" applyAlignment="0" applyProtection="0"/>
    <xf numFmtId="0" fontId="3" fillId="73" borderId="0" applyNumberFormat="0" applyBorder="0" applyAlignment="0" applyProtection="0"/>
    <xf numFmtId="0" fontId="3" fillId="73" borderId="0" applyNumberFormat="0" applyBorder="0" applyAlignment="0" applyProtection="0"/>
    <xf numFmtId="0" fontId="3" fillId="77" borderId="0" applyNumberFormat="0" applyBorder="0" applyAlignment="0" applyProtection="0"/>
    <xf numFmtId="0" fontId="3" fillId="77" borderId="0" applyNumberFormat="0" applyBorder="0" applyAlignment="0" applyProtection="0"/>
    <xf numFmtId="0" fontId="3" fillId="77" borderId="0" applyNumberFormat="0" applyBorder="0" applyAlignment="0" applyProtection="0"/>
    <xf numFmtId="0" fontId="3" fillId="81" borderId="0" applyNumberFormat="0" applyBorder="0" applyAlignment="0" applyProtection="0"/>
    <xf numFmtId="0" fontId="3" fillId="81" borderId="0" applyNumberFormat="0" applyBorder="0" applyAlignment="0" applyProtection="0"/>
    <xf numFmtId="0" fontId="3" fillId="81" borderId="0" applyNumberFormat="0" applyBorder="0" applyAlignment="0" applyProtection="0"/>
    <xf numFmtId="0" fontId="3" fillId="62" borderId="0" applyNumberFormat="0" applyBorder="0" applyAlignment="0" applyProtection="0"/>
    <xf numFmtId="0" fontId="3" fillId="62" borderId="0" applyNumberFormat="0" applyBorder="0" applyAlignment="0" applyProtection="0"/>
    <xf numFmtId="0" fontId="3" fillId="62" borderId="0" applyNumberFormat="0" applyBorder="0" applyAlignment="0" applyProtection="0"/>
    <xf numFmtId="0" fontId="3" fillId="66" borderId="0" applyNumberFormat="0" applyBorder="0" applyAlignment="0" applyProtection="0"/>
    <xf numFmtId="0" fontId="3" fillId="66" borderId="0" applyNumberFormat="0" applyBorder="0" applyAlignment="0" applyProtection="0"/>
    <xf numFmtId="0" fontId="3" fillId="66" borderId="0" applyNumberFormat="0" applyBorder="0" applyAlignment="0" applyProtection="0"/>
    <xf numFmtId="0" fontId="3" fillId="70" borderId="0" applyNumberFormat="0" applyBorder="0" applyAlignment="0" applyProtection="0"/>
    <xf numFmtId="0" fontId="3" fillId="70" borderId="0" applyNumberFormat="0" applyBorder="0" applyAlignment="0" applyProtection="0"/>
    <xf numFmtId="0" fontId="3" fillId="70" borderId="0" applyNumberFormat="0" applyBorder="0" applyAlignment="0" applyProtection="0"/>
    <xf numFmtId="0" fontId="3" fillId="74" borderId="0" applyNumberFormat="0" applyBorder="0" applyAlignment="0" applyProtection="0"/>
    <xf numFmtId="0" fontId="3" fillId="74" borderId="0" applyNumberFormat="0" applyBorder="0" applyAlignment="0" applyProtection="0"/>
    <xf numFmtId="0" fontId="3" fillId="74" borderId="0" applyNumberFormat="0" applyBorder="0" applyAlignment="0" applyProtection="0"/>
    <xf numFmtId="0" fontId="3" fillId="78" borderId="0" applyNumberFormat="0" applyBorder="0" applyAlignment="0" applyProtection="0"/>
    <xf numFmtId="0" fontId="3" fillId="78" borderId="0" applyNumberFormat="0" applyBorder="0" applyAlignment="0" applyProtection="0"/>
    <xf numFmtId="0" fontId="3" fillId="78" borderId="0" applyNumberFormat="0" applyBorder="0" applyAlignment="0" applyProtection="0"/>
    <xf numFmtId="0" fontId="3" fillId="82" borderId="0" applyNumberFormat="0" applyBorder="0" applyAlignment="0" applyProtection="0"/>
    <xf numFmtId="0" fontId="3" fillId="82" borderId="0" applyNumberFormat="0" applyBorder="0" applyAlignment="0" applyProtection="0"/>
    <xf numFmtId="0" fontId="3" fillId="82" borderId="0" applyNumberFormat="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59" borderId="81" applyNumberFormat="0" applyFont="0" applyAlignment="0" applyProtection="0"/>
    <xf numFmtId="0" fontId="3" fillId="61" borderId="0" applyNumberFormat="0" applyBorder="0" applyAlignment="0" applyProtection="0"/>
    <xf numFmtId="0" fontId="3" fillId="62" borderId="0" applyNumberFormat="0" applyBorder="0" applyAlignment="0" applyProtection="0"/>
    <xf numFmtId="0" fontId="3" fillId="65" borderId="0" applyNumberFormat="0" applyBorder="0" applyAlignment="0" applyProtection="0"/>
    <xf numFmtId="0" fontId="3" fillId="66" borderId="0" applyNumberFormat="0" applyBorder="0" applyAlignment="0" applyProtection="0"/>
    <xf numFmtId="0" fontId="3" fillId="69" borderId="0" applyNumberFormat="0" applyBorder="0" applyAlignment="0" applyProtection="0"/>
    <xf numFmtId="0" fontId="3" fillId="70" borderId="0" applyNumberFormat="0" applyBorder="0" applyAlignment="0" applyProtection="0"/>
    <xf numFmtId="0" fontId="3" fillId="73" borderId="0" applyNumberFormat="0" applyBorder="0" applyAlignment="0" applyProtection="0"/>
    <xf numFmtId="0" fontId="3" fillId="74" borderId="0" applyNumberFormat="0" applyBorder="0" applyAlignment="0" applyProtection="0"/>
    <xf numFmtId="0" fontId="3" fillId="77" borderId="0" applyNumberFormat="0" applyBorder="0" applyAlignment="0" applyProtection="0"/>
    <xf numFmtId="0" fontId="3" fillId="78" borderId="0" applyNumberFormat="0" applyBorder="0" applyAlignment="0" applyProtection="0"/>
    <xf numFmtId="0" fontId="3" fillId="81" borderId="0" applyNumberFormat="0" applyBorder="0" applyAlignment="0" applyProtection="0"/>
    <xf numFmtId="0" fontId="3" fillId="82" borderId="0" applyNumberFormat="0" applyBorder="0" applyAlignment="0" applyProtection="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3" fillId="59" borderId="81" applyNumberFormat="0" applyFont="0" applyAlignment="0" applyProtection="0"/>
    <xf numFmtId="0" fontId="16" fillId="0" borderId="0"/>
    <xf numFmtId="43" fontId="3" fillId="0" borderId="0" applyFont="0" applyFill="0" applyBorder="0" applyAlignment="0" applyProtection="0"/>
    <xf numFmtId="4" fontId="45" fillId="0" borderId="69" applyNumberFormat="0" applyProtection="0">
      <alignment horizontal="right" vertical="center"/>
    </xf>
    <xf numFmtId="4" fontId="18" fillId="123" borderId="8" applyNumberFormat="0" applyProtection="0">
      <alignment vertical="center"/>
    </xf>
    <xf numFmtId="4" fontId="45" fillId="34" borderId="83" applyNumberFormat="0" applyProtection="0">
      <alignment horizontal="right" vertical="center"/>
    </xf>
    <xf numFmtId="4" fontId="45" fillId="40" borderId="83" applyNumberFormat="0" applyProtection="0">
      <alignment horizontal="left" vertical="center" indent="1"/>
    </xf>
    <xf numFmtId="4" fontId="45" fillId="37" borderId="69" applyNumberFormat="0" applyProtection="0">
      <alignment horizontal="right" vertical="center"/>
    </xf>
    <xf numFmtId="4" fontId="40" fillId="106" borderId="8" applyNumberFormat="0" applyProtection="0">
      <alignment vertical="center"/>
    </xf>
    <xf numFmtId="0" fontId="16" fillId="107" borderId="8" applyNumberFormat="0" applyProtection="0">
      <alignment horizontal="left" vertical="center" indent="1"/>
    </xf>
    <xf numFmtId="4" fontId="45" fillId="37" borderId="69" applyNumberFormat="0" applyProtection="0">
      <alignment horizontal="right" vertical="center"/>
    </xf>
    <xf numFmtId="4" fontId="45" fillId="0" borderId="69" applyNumberFormat="0" applyProtection="0">
      <alignment horizontal="right" vertical="center"/>
    </xf>
    <xf numFmtId="0" fontId="45" fillId="41" borderId="69" applyNumberFormat="0" applyProtection="0">
      <alignment horizontal="left" vertical="center" indent="1"/>
    </xf>
    <xf numFmtId="0" fontId="16" fillId="46" borderId="8" applyNumberFormat="0" applyProtection="0">
      <alignment horizontal="left" vertical="center" indent="1"/>
    </xf>
    <xf numFmtId="4" fontId="18" fillId="106" borderId="8" applyNumberFormat="0" applyProtection="0">
      <alignment horizontal="left" vertical="center" indent="1"/>
    </xf>
    <xf numFmtId="4" fontId="18" fillId="119" borderId="90" applyNumberFormat="0" applyProtection="0">
      <alignment horizontal="left" vertical="center" indent="1"/>
    </xf>
    <xf numFmtId="0" fontId="45" fillId="10" borderId="69" applyNumberFormat="0" applyProtection="0">
      <alignment horizontal="left" vertical="center" indent="1"/>
    </xf>
    <xf numFmtId="4" fontId="45" fillId="35" borderId="69" applyNumberFormat="0" applyProtection="0">
      <alignment horizontal="right" vertical="center"/>
    </xf>
    <xf numFmtId="0" fontId="119" fillId="33" borderId="9" applyNumberFormat="0" applyProtection="0">
      <alignment horizontal="left" vertical="top" indent="1"/>
    </xf>
    <xf numFmtId="0" fontId="120" fillId="8" borderId="92" applyBorder="0"/>
    <xf numFmtId="0" fontId="45" fillId="121" borderId="69" applyNumberFormat="0" applyProtection="0">
      <alignment horizontal="left" vertical="center" indent="1"/>
    </xf>
    <xf numFmtId="0" fontId="45" fillId="41" borderId="9" applyNumberFormat="0" applyProtection="0">
      <alignment horizontal="left" vertical="top" indent="1"/>
    </xf>
    <xf numFmtId="4" fontId="45" fillId="39" borderId="69" applyNumberFormat="0" applyProtection="0">
      <alignment horizontal="right" vertical="center"/>
    </xf>
    <xf numFmtId="4" fontId="45" fillId="35" borderId="69" applyNumberFormat="0" applyProtection="0">
      <alignment horizontal="right" vertical="center"/>
    </xf>
    <xf numFmtId="0" fontId="45" fillId="10" borderId="69" applyNumberFormat="0" applyProtection="0">
      <alignment horizontal="left" vertical="center" indent="1"/>
    </xf>
    <xf numFmtId="4" fontId="18" fillId="113" borderId="8" applyNumberFormat="0" applyProtection="0">
      <alignment horizontal="right" vertical="center"/>
    </xf>
    <xf numFmtId="0" fontId="45" fillId="10" borderId="69" applyNumberFormat="0" applyProtection="0">
      <alignment horizontal="left" vertical="center" indent="1"/>
    </xf>
    <xf numFmtId="4" fontId="124" fillId="5" borderId="69" applyNumberFormat="0" applyProtection="0">
      <alignment horizontal="right" vertical="center"/>
    </xf>
    <xf numFmtId="4" fontId="18" fillId="117" borderId="8" applyNumberFormat="0" applyProtection="0">
      <alignment horizontal="right" vertical="center"/>
    </xf>
    <xf numFmtId="4" fontId="45" fillId="33" borderId="69" applyNumberFormat="0" applyProtection="0">
      <alignment vertical="center"/>
    </xf>
    <xf numFmtId="4" fontId="45" fillId="37" borderId="69" applyNumberFormat="0" applyProtection="0">
      <alignment horizontal="right" vertical="center"/>
    </xf>
    <xf numFmtId="0" fontId="45" fillId="121" borderId="69" applyNumberFormat="0" applyProtection="0">
      <alignment horizontal="left" vertical="center" indent="1"/>
    </xf>
    <xf numFmtId="4" fontId="18" fillId="46" borderId="8" applyNumberFormat="0" applyProtection="0">
      <alignment horizontal="left" vertical="center" indent="1"/>
    </xf>
    <xf numFmtId="4" fontId="45" fillId="37" borderId="69" applyNumberFormat="0" applyProtection="0">
      <alignment horizontal="right" vertical="center"/>
    </xf>
    <xf numFmtId="4" fontId="37" fillId="118" borderId="8" applyNumberFormat="0" applyProtection="0">
      <alignment horizontal="left" vertical="center" indent="1"/>
    </xf>
    <xf numFmtId="4" fontId="45" fillId="9" borderId="69" applyNumberFormat="0" applyProtection="0">
      <alignment horizontal="right" vertical="center"/>
    </xf>
    <xf numFmtId="0" fontId="45" fillId="6" borderId="69" applyNumberFormat="0" applyProtection="0">
      <alignment horizontal="left" vertical="center" indent="1"/>
    </xf>
    <xf numFmtId="0" fontId="121" fillId="4" borderId="9" applyNumberFormat="0" applyProtection="0">
      <alignment horizontal="left" vertical="top" indent="1"/>
    </xf>
    <xf numFmtId="4" fontId="45" fillId="41" borderId="83" applyNumberFormat="0" applyProtection="0">
      <alignment horizontal="left" vertical="center" indent="1"/>
    </xf>
    <xf numFmtId="0" fontId="45" fillId="124" borderId="94"/>
    <xf numFmtId="4" fontId="45" fillId="51" borderId="69" applyNumberFormat="0" applyProtection="0">
      <alignment horizontal="left" vertical="center" indent="1"/>
    </xf>
    <xf numFmtId="0" fontId="36" fillId="10" borderId="8" applyNumberFormat="0" applyAlignment="0" applyProtection="0"/>
    <xf numFmtId="0" fontId="18" fillId="4" borderId="7" applyNumberFormat="0" applyFont="0" applyAlignment="0" applyProtection="0"/>
    <xf numFmtId="4" fontId="18" fillId="112" borderId="8" applyNumberFormat="0" applyProtection="0">
      <alignment horizontal="right" vertical="center"/>
    </xf>
    <xf numFmtId="0" fontId="16" fillId="45" borderId="8" applyNumberFormat="0" applyProtection="0">
      <alignment horizontal="left" vertical="center" indent="1"/>
    </xf>
    <xf numFmtId="0" fontId="16" fillId="46" borderId="8" applyNumberFormat="0" applyProtection="0">
      <alignment horizontal="left" vertical="center" indent="1"/>
    </xf>
    <xf numFmtId="4" fontId="45" fillId="38" borderId="69" applyNumberFormat="0" applyProtection="0">
      <alignment horizontal="right" vertical="center"/>
    </xf>
    <xf numFmtId="4" fontId="18" fillId="108" borderId="8" applyNumberFormat="0" applyProtection="0">
      <alignment horizontal="right" vertical="center"/>
    </xf>
    <xf numFmtId="4" fontId="45" fillId="51" borderId="69" applyNumberFormat="0" applyProtection="0">
      <alignment horizontal="left" vertical="center" indent="1"/>
    </xf>
    <xf numFmtId="0" fontId="45" fillId="41" borderId="69" applyNumberFormat="0" applyProtection="0">
      <alignment horizontal="left" vertical="center" indent="1"/>
    </xf>
    <xf numFmtId="4" fontId="45" fillId="2" borderId="69" applyNumberFormat="0" applyProtection="0">
      <alignment horizontal="right" vertical="center"/>
    </xf>
    <xf numFmtId="0" fontId="16" fillId="107" borderId="8" applyNumberFormat="0" applyProtection="0">
      <alignment horizontal="left" vertical="center" indent="1"/>
    </xf>
    <xf numFmtId="4" fontId="18" fillId="109" borderId="8" applyNumberFormat="0" applyProtection="0">
      <alignment horizontal="right" vertical="center"/>
    </xf>
    <xf numFmtId="0" fontId="45" fillId="6" borderId="69" applyNumberFormat="0" applyProtection="0">
      <alignment horizontal="left" vertical="center" indent="1"/>
    </xf>
    <xf numFmtId="4" fontId="45" fillId="51" borderId="69" applyNumberFormat="0" applyProtection="0">
      <alignment horizontal="left" vertical="center" indent="1"/>
    </xf>
    <xf numFmtId="4" fontId="45" fillId="41" borderId="83" applyNumberFormat="0" applyProtection="0">
      <alignment horizontal="left" vertical="center" indent="1"/>
    </xf>
    <xf numFmtId="0" fontId="16" fillId="107" borderId="8" applyNumberFormat="0" applyProtection="0">
      <alignment horizontal="left" vertical="center" indent="1"/>
    </xf>
    <xf numFmtId="4" fontId="18" fillId="119" borderId="8" applyNumberFormat="0" applyProtection="0">
      <alignment horizontal="right" vertical="center"/>
    </xf>
    <xf numFmtId="4" fontId="40" fillId="106" borderId="8" applyNumberFormat="0" applyProtection="0">
      <alignment vertical="center"/>
    </xf>
    <xf numFmtId="4" fontId="18" fillId="119" borderId="8" applyNumberFormat="0" applyProtection="0">
      <alignment horizontal="right" vertical="center"/>
    </xf>
    <xf numFmtId="4" fontId="45" fillId="40" borderId="83" applyNumberFormat="0" applyProtection="0">
      <alignment horizontal="left" vertical="center" indent="1"/>
    </xf>
    <xf numFmtId="0" fontId="45" fillId="2" borderId="9" applyNumberFormat="0" applyProtection="0">
      <alignment horizontal="left" vertical="top" indent="1"/>
    </xf>
    <xf numFmtId="4" fontId="45" fillId="33" borderId="69" applyNumberFormat="0" applyProtection="0">
      <alignment vertical="center"/>
    </xf>
    <xf numFmtId="4" fontId="118" fillId="123" borderId="94" applyNumberFormat="0" applyProtection="0">
      <alignment vertical="center"/>
    </xf>
    <xf numFmtId="0" fontId="121" fillId="2" borderId="9" applyNumberFormat="0" applyProtection="0">
      <alignment horizontal="left" vertical="top" indent="1"/>
    </xf>
    <xf numFmtId="4" fontId="45" fillId="37" borderId="69" applyNumberFormat="0" applyProtection="0">
      <alignment horizontal="right" vertical="center"/>
    </xf>
    <xf numFmtId="0" fontId="109" fillId="101" borderId="69" applyNumberFormat="0" applyAlignment="0" applyProtection="0"/>
    <xf numFmtId="4" fontId="45" fillId="51" borderId="69" applyNumberFormat="0" applyProtection="0">
      <alignment horizontal="left" vertical="center" indent="1"/>
    </xf>
    <xf numFmtId="4" fontId="40" fillId="123" borderId="8" applyNumberFormat="0" applyProtection="0">
      <alignment vertical="center"/>
    </xf>
    <xf numFmtId="4" fontId="45" fillId="33" borderId="69" applyNumberFormat="0" applyProtection="0">
      <alignment vertical="center"/>
    </xf>
    <xf numFmtId="0" fontId="16" fillId="107" borderId="8" applyNumberFormat="0" applyProtection="0">
      <alignment horizontal="left" vertical="center" indent="1"/>
    </xf>
    <xf numFmtId="4" fontId="45" fillId="40" borderId="83" applyNumberFormat="0" applyProtection="0">
      <alignment horizontal="left" vertical="center" indent="1"/>
    </xf>
    <xf numFmtId="4" fontId="18" fillId="119" borderId="8" applyNumberFormat="0" applyProtection="0">
      <alignment horizontal="right" vertical="center"/>
    </xf>
    <xf numFmtId="0" fontId="16" fillId="107" borderId="8" applyNumberFormat="0" applyProtection="0">
      <alignment horizontal="left" vertical="center" indent="1"/>
    </xf>
    <xf numFmtId="4" fontId="45" fillId="39" borderId="69" applyNumberFormat="0" applyProtection="0">
      <alignment horizontal="right" vertical="center"/>
    </xf>
    <xf numFmtId="0" fontId="33" fillId="27" borderId="69" applyNumberFormat="0" applyAlignment="0" applyProtection="0"/>
    <xf numFmtId="4" fontId="18" fillId="112" borderId="8" applyNumberFormat="0" applyProtection="0">
      <alignment horizontal="right" vertical="center"/>
    </xf>
    <xf numFmtId="4" fontId="45" fillId="38" borderId="69" applyNumberFormat="0" applyProtection="0">
      <alignment horizontal="right" vertical="center"/>
    </xf>
    <xf numFmtId="4" fontId="45" fillId="106" borderId="69" applyNumberFormat="0" applyProtection="0">
      <alignment horizontal="left" vertical="center" indent="1"/>
    </xf>
    <xf numFmtId="4" fontId="45" fillId="36" borderId="69" applyNumberFormat="0" applyProtection="0">
      <alignment horizontal="right" vertical="center"/>
    </xf>
    <xf numFmtId="4" fontId="45" fillId="41" borderId="83" applyNumberFormat="0" applyProtection="0">
      <alignment horizontal="left" vertical="center" indent="1"/>
    </xf>
    <xf numFmtId="4" fontId="45" fillId="110" borderId="69" applyNumberFormat="0" applyProtection="0">
      <alignment horizontal="right" vertical="center"/>
    </xf>
    <xf numFmtId="4" fontId="45" fillId="2" borderId="83" applyNumberFormat="0" applyProtection="0">
      <alignment horizontal="left" vertical="center" indent="1"/>
    </xf>
    <xf numFmtId="4" fontId="45" fillId="39" borderId="69" applyNumberFormat="0" applyProtection="0">
      <alignment horizontal="right" vertical="center"/>
    </xf>
    <xf numFmtId="4" fontId="45" fillId="41" borderId="83" applyNumberFormat="0" applyProtection="0">
      <alignment horizontal="left" vertical="center" indent="1"/>
    </xf>
    <xf numFmtId="4" fontId="18" fillId="106" borderId="8" applyNumberFormat="0" applyProtection="0">
      <alignment horizontal="left" vertical="center" indent="1"/>
    </xf>
    <xf numFmtId="4" fontId="18" fillId="115" borderId="8" applyNumberFormat="0" applyProtection="0">
      <alignment horizontal="right" vertical="center"/>
    </xf>
    <xf numFmtId="4" fontId="18" fillId="106" borderId="8" applyNumberFormat="0" applyProtection="0">
      <alignment horizontal="left" vertical="center" indent="1"/>
    </xf>
    <xf numFmtId="4" fontId="45" fillId="38" borderId="69" applyNumberFormat="0" applyProtection="0">
      <alignment horizontal="right" vertical="center"/>
    </xf>
    <xf numFmtId="4" fontId="45" fillId="2" borderId="83" applyNumberFormat="0" applyProtection="0">
      <alignment horizontal="left" vertical="center" indent="1"/>
    </xf>
    <xf numFmtId="4" fontId="45" fillId="35" borderId="69" applyNumberFormat="0" applyProtection="0">
      <alignment horizontal="right" vertical="center"/>
    </xf>
    <xf numFmtId="0" fontId="45" fillId="2" borderId="9" applyNumberFormat="0" applyProtection="0">
      <alignment horizontal="left" vertical="top" indent="1"/>
    </xf>
    <xf numFmtId="4" fontId="45" fillId="7" borderId="69" applyNumberFormat="0" applyProtection="0">
      <alignment horizontal="right" vertical="center"/>
    </xf>
    <xf numFmtId="0" fontId="36" fillId="10" borderId="8" applyNumberFormat="0" applyAlignment="0" applyProtection="0"/>
    <xf numFmtId="4" fontId="45" fillId="51" borderId="69" applyNumberFormat="0" applyProtection="0">
      <alignment horizontal="left" vertical="center" indent="1"/>
    </xf>
    <xf numFmtId="4" fontId="45" fillId="40" borderId="83" applyNumberFormat="0" applyProtection="0">
      <alignment horizontal="left" vertical="center" indent="1"/>
    </xf>
    <xf numFmtId="0" fontId="45" fillId="41" borderId="9" applyNumberFormat="0" applyProtection="0">
      <alignment horizontal="left" vertical="top" indent="1"/>
    </xf>
    <xf numFmtId="4" fontId="45" fillId="37" borderId="69" applyNumberFormat="0" applyProtection="0">
      <alignment horizontal="right" vertical="center"/>
    </xf>
    <xf numFmtId="0" fontId="16" fillId="122" borderId="8" applyNumberFormat="0" applyProtection="0">
      <alignment horizontal="left" vertical="center" indent="1"/>
    </xf>
    <xf numFmtId="0" fontId="36" fillId="101" borderId="8" applyNumberFormat="0" applyAlignment="0" applyProtection="0"/>
    <xf numFmtId="0" fontId="110" fillId="10" borderId="1" applyNumberFormat="0" applyAlignment="0" applyProtection="0"/>
    <xf numFmtId="4" fontId="18" fillId="123" borderId="8" applyNumberFormat="0" applyProtection="0">
      <alignment horizontal="left" vertical="center" indent="1"/>
    </xf>
    <xf numFmtId="4" fontId="45" fillId="34" borderId="83" applyNumberFormat="0" applyProtection="0">
      <alignment horizontal="right" vertical="center"/>
    </xf>
    <xf numFmtId="4" fontId="18" fillId="46" borderId="8" applyNumberFormat="0" applyProtection="0">
      <alignment horizontal="left" vertical="center" indent="1"/>
    </xf>
    <xf numFmtId="4" fontId="121" fillId="10" borderId="9" applyNumberFormat="0" applyProtection="0">
      <alignment horizontal="left" vertical="center" indent="1"/>
    </xf>
    <xf numFmtId="4" fontId="45" fillId="41" borderId="83" applyNumberFormat="0" applyProtection="0">
      <alignment horizontal="left" vertical="center" indent="1"/>
    </xf>
    <xf numFmtId="0" fontId="45" fillId="41" borderId="69" applyNumberFormat="0" applyProtection="0">
      <alignment horizontal="left" vertical="center" indent="1"/>
    </xf>
    <xf numFmtId="4" fontId="123" fillId="42" borderId="83" applyNumberFormat="0" applyProtection="0">
      <alignment horizontal="left" vertical="center" indent="1"/>
    </xf>
    <xf numFmtId="4" fontId="45" fillId="51" borderId="69" applyNumberFormat="0" applyProtection="0">
      <alignment horizontal="left" vertical="center" indent="1"/>
    </xf>
    <xf numFmtId="0" fontId="16" fillId="107" borderId="8" applyNumberFormat="0" applyProtection="0">
      <alignment horizontal="left" vertical="center" indent="1"/>
    </xf>
    <xf numFmtId="0" fontId="45" fillId="124" borderId="94"/>
    <xf numFmtId="0" fontId="45" fillId="6" borderId="69" applyNumberFormat="0" applyProtection="0">
      <alignment horizontal="left" vertical="center" indent="1"/>
    </xf>
    <xf numFmtId="0" fontId="16" fillId="107" borderId="8" applyNumberFormat="0" applyProtection="0">
      <alignment horizontal="left" vertical="center" indent="1"/>
    </xf>
    <xf numFmtId="4" fontId="45" fillId="38" borderId="69" applyNumberFormat="0" applyProtection="0">
      <alignment horizontal="right" vertical="center"/>
    </xf>
    <xf numFmtId="4" fontId="45" fillId="2" borderId="69" applyNumberFormat="0" applyProtection="0">
      <alignment horizontal="right" vertical="center"/>
    </xf>
    <xf numFmtId="4" fontId="18" fillId="111" borderId="8" applyNumberFormat="0" applyProtection="0">
      <alignment horizontal="right" vertical="center"/>
    </xf>
    <xf numFmtId="4" fontId="45" fillId="35" borderId="69" applyNumberFormat="0" applyProtection="0">
      <alignment horizontal="right" vertical="center"/>
    </xf>
    <xf numFmtId="4" fontId="18" fillId="119" borderId="8" applyNumberFormat="0" applyProtection="0">
      <alignment horizontal="left" vertical="center" indent="1"/>
    </xf>
    <xf numFmtId="4" fontId="18" fillId="119" borderId="8" applyNumberFormat="0" applyProtection="0">
      <alignment horizontal="right" vertical="center"/>
    </xf>
    <xf numFmtId="0" fontId="18" fillId="4" borderId="7" applyNumberFormat="0" applyFont="0" applyAlignment="0" applyProtection="0"/>
    <xf numFmtId="0" fontId="45" fillId="6" borderId="9" applyNumberFormat="0" applyProtection="0">
      <alignment horizontal="left" vertical="top" indent="1"/>
    </xf>
    <xf numFmtId="0" fontId="27" fillId="0" borderId="93" applyNumberFormat="0" applyFill="0" applyAlignment="0" applyProtection="0"/>
    <xf numFmtId="0" fontId="45" fillId="10" borderId="69" applyNumberFormat="0" applyProtection="0">
      <alignment horizontal="left" vertical="center" indent="1"/>
    </xf>
    <xf numFmtId="4" fontId="18" fillId="117" borderId="8" applyNumberFormat="0" applyProtection="0">
      <alignment horizontal="right" vertical="center"/>
    </xf>
    <xf numFmtId="4" fontId="18" fillId="123" borderId="8" applyNumberFormat="0" applyProtection="0">
      <alignment vertical="center"/>
    </xf>
    <xf numFmtId="4" fontId="45" fillId="51" borderId="69" applyNumberFormat="0" applyProtection="0">
      <alignment horizontal="left" vertical="center" indent="1"/>
    </xf>
    <xf numFmtId="0" fontId="16" fillId="122" borderId="8" applyNumberFormat="0" applyProtection="0">
      <alignment horizontal="left" vertical="center" indent="1"/>
    </xf>
    <xf numFmtId="4" fontId="45" fillId="9" borderId="69" applyNumberFormat="0" applyProtection="0">
      <alignment horizontal="right" vertical="center"/>
    </xf>
    <xf numFmtId="4" fontId="18" fillId="114" borderId="8" applyNumberFormat="0" applyProtection="0">
      <alignment horizontal="right" vertical="center"/>
    </xf>
    <xf numFmtId="4" fontId="45" fillId="36" borderId="69" applyNumberFormat="0" applyProtection="0">
      <alignment horizontal="right" vertical="center"/>
    </xf>
    <xf numFmtId="4" fontId="45" fillId="34" borderId="83" applyNumberFormat="0" applyProtection="0">
      <alignment horizontal="right" vertical="center"/>
    </xf>
    <xf numFmtId="0" fontId="27" fillId="0" borderId="12" applyNumberFormat="0" applyFill="0" applyAlignment="0" applyProtection="0"/>
    <xf numFmtId="4" fontId="45" fillId="7" borderId="69" applyNumberFormat="0" applyProtection="0">
      <alignment horizontal="right" vertical="center"/>
    </xf>
    <xf numFmtId="4" fontId="45" fillId="40" borderId="83" applyNumberFormat="0" applyProtection="0">
      <alignment horizontal="left" vertical="center" indent="1"/>
    </xf>
    <xf numFmtId="4" fontId="45" fillId="110" borderId="69" applyNumberFormat="0" applyProtection="0">
      <alignment horizontal="right" vertical="center"/>
    </xf>
    <xf numFmtId="4" fontId="45" fillId="7" borderId="69" applyNumberFormat="0" applyProtection="0">
      <alignment horizontal="right" vertical="center"/>
    </xf>
    <xf numFmtId="4" fontId="45" fillId="51" borderId="69" applyNumberFormat="0" applyProtection="0">
      <alignment horizontal="left" vertical="center" indent="1"/>
    </xf>
    <xf numFmtId="4" fontId="45" fillId="110" borderId="69" applyNumberFormat="0" applyProtection="0">
      <alignment horizontal="right" vertical="center"/>
    </xf>
    <xf numFmtId="0" fontId="45" fillId="121" borderId="69" applyNumberFormat="0" applyProtection="0">
      <alignment horizontal="left" vertical="center" indent="1"/>
    </xf>
    <xf numFmtId="4" fontId="45" fillId="51" borderId="69" applyNumberFormat="0" applyProtection="0">
      <alignment horizontal="left" vertical="center" indent="1"/>
    </xf>
    <xf numFmtId="4" fontId="45" fillId="36" borderId="69" applyNumberFormat="0" applyProtection="0">
      <alignment horizontal="right" vertical="center"/>
    </xf>
    <xf numFmtId="4" fontId="45" fillId="2" borderId="69" applyNumberFormat="0" applyProtection="0">
      <alignment horizontal="right" vertical="center"/>
    </xf>
    <xf numFmtId="4" fontId="45" fillId="51" borderId="69" applyNumberFormat="0" applyProtection="0">
      <alignment horizontal="left" vertical="center" indent="1"/>
    </xf>
    <xf numFmtId="0" fontId="121" fillId="4" borderId="9" applyNumberFormat="0" applyProtection="0">
      <alignment horizontal="left" vertical="top" indent="1"/>
    </xf>
    <xf numFmtId="0" fontId="16" fillId="107" borderId="8" applyNumberFormat="0" applyProtection="0">
      <alignment horizontal="left" vertical="center" indent="1"/>
    </xf>
    <xf numFmtId="4" fontId="45" fillId="36" borderId="69" applyNumberFormat="0" applyProtection="0">
      <alignment horizontal="right" vertical="center"/>
    </xf>
    <xf numFmtId="4" fontId="45" fillId="35" borderId="69" applyNumberFormat="0" applyProtection="0">
      <alignment horizontal="right" vertical="center"/>
    </xf>
    <xf numFmtId="0" fontId="45" fillId="121" borderId="69" applyNumberFormat="0" applyProtection="0">
      <alignment horizontal="left" vertical="center" indent="1"/>
    </xf>
    <xf numFmtId="0" fontId="45" fillId="6" borderId="69" applyNumberFormat="0" applyProtection="0">
      <alignment horizontal="left" vertical="center" indent="1"/>
    </xf>
    <xf numFmtId="4" fontId="118" fillId="106" borderId="69" applyNumberFormat="0" applyProtection="0">
      <alignment vertical="center"/>
    </xf>
    <xf numFmtId="4" fontId="45" fillId="33" borderId="69" applyNumberFormat="0" applyProtection="0">
      <alignment vertical="center"/>
    </xf>
    <xf numFmtId="4" fontId="118" fillId="106" borderId="69" applyNumberFormat="0" applyProtection="0">
      <alignment vertical="center"/>
    </xf>
    <xf numFmtId="0" fontId="16" fillId="46" borderId="8" applyNumberFormat="0" applyProtection="0">
      <alignment horizontal="left" vertical="center" indent="1"/>
    </xf>
    <xf numFmtId="4" fontId="45" fillId="34" borderId="83" applyNumberFormat="0" applyProtection="0">
      <alignment horizontal="right" vertical="center"/>
    </xf>
    <xf numFmtId="4" fontId="45" fillId="106" borderId="69" applyNumberFormat="0" applyProtection="0">
      <alignment horizontal="left" vertical="center" indent="1"/>
    </xf>
    <xf numFmtId="4" fontId="16" fillId="8" borderId="83" applyNumberFormat="0" applyProtection="0">
      <alignment horizontal="left" vertical="center" indent="1"/>
    </xf>
    <xf numFmtId="0" fontId="45" fillId="6" borderId="69" applyNumberFormat="0" applyProtection="0">
      <alignment horizontal="left" vertical="center" indent="1"/>
    </xf>
    <xf numFmtId="4" fontId="16" fillId="8" borderId="83" applyNumberFormat="0" applyProtection="0">
      <alignment horizontal="left" vertical="center" indent="1"/>
    </xf>
    <xf numFmtId="0" fontId="16" fillId="46" borderId="8" applyNumberFormat="0" applyProtection="0">
      <alignment horizontal="left" vertical="center" indent="1"/>
    </xf>
    <xf numFmtId="0" fontId="16" fillId="107" borderId="8" applyNumberFormat="0" applyProtection="0">
      <alignment horizontal="left" vertical="center" indent="1"/>
    </xf>
    <xf numFmtId="4" fontId="18" fillId="106" borderId="8" applyNumberFormat="0" applyProtection="0">
      <alignment vertical="center"/>
    </xf>
    <xf numFmtId="4" fontId="45" fillId="36" borderId="69" applyNumberFormat="0" applyProtection="0">
      <alignment horizontal="right" vertical="center"/>
    </xf>
    <xf numFmtId="4" fontId="16" fillId="8" borderId="83" applyNumberFormat="0" applyProtection="0">
      <alignment horizontal="left" vertical="center" indent="1"/>
    </xf>
    <xf numFmtId="4" fontId="37" fillId="118" borderId="8" applyNumberFormat="0" applyProtection="0">
      <alignment horizontal="left" vertical="center" indent="1"/>
    </xf>
    <xf numFmtId="4" fontId="18" fillId="116" borderId="8" applyNumberFormat="0" applyProtection="0">
      <alignment horizontal="right" vertical="center"/>
    </xf>
    <xf numFmtId="4" fontId="18" fillId="106" borderId="8" applyNumberFormat="0" applyProtection="0">
      <alignment vertical="center"/>
    </xf>
    <xf numFmtId="4" fontId="40" fillId="123" borderId="8" applyNumberFormat="0" applyProtection="0">
      <alignment vertical="center"/>
    </xf>
    <xf numFmtId="4" fontId="40" fillId="119" borderId="8" applyNumberFormat="0" applyProtection="0">
      <alignment horizontal="right" vertical="center"/>
    </xf>
    <xf numFmtId="4" fontId="18" fillId="114" borderId="8" applyNumberFormat="0" applyProtection="0">
      <alignment horizontal="right" vertical="center"/>
    </xf>
    <xf numFmtId="0" fontId="18" fillId="4" borderId="7" applyNumberFormat="0" applyFont="0" applyAlignment="0" applyProtection="0"/>
    <xf numFmtId="4" fontId="18" fillId="108" borderId="8" applyNumberFormat="0" applyProtection="0">
      <alignment horizontal="right" vertical="center"/>
    </xf>
    <xf numFmtId="4" fontId="45" fillId="9" borderId="69" applyNumberFormat="0" applyProtection="0">
      <alignment horizontal="right" vertical="center"/>
    </xf>
    <xf numFmtId="4" fontId="124" fillId="5" borderId="69" applyNumberFormat="0" applyProtection="0">
      <alignment horizontal="right" vertical="center"/>
    </xf>
    <xf numFmtId="0" fontId="16" fillId="122" borderId="8" applyNumberFormat="0" applyProtection="0">
      <alignment horizontal="left" vertical="center" indent="1"/>
    </xf>
    <xf numFmtId="0" fontId="45" fillId="41" borderId="69" applyNumberFormat="0" applyProtection="0">
      <alignment horizontal="left" vertical="center" indent="1"/>
    </xf>
    <xf numFmtId="0" fontId="45" fillId="121" borderId="69" applyNumberFormat="0" applyProtection="0">
      <alignment horizontal="left" vertical="center" indent="1"/>
    </xf>
    <xf numFmtId="4" fontId="45" fillId="34" borderId="83" applyNumberFormat="0" applyProtection="0">
      <alignment horizontal="right" vertical="center"/>
    </xf>
    <xf numFmtId="4" fontId="45" fillId="106" borderId="69" applyNumberFormat="0" applyProtection="0">
      <alignment horizontal="left" vertical="center" indent="1"/>
    </xf>
    <xf numFmtId="0" fontId="45" fillId="8" borderId="9" applyNumberFormat="0" applyProtection="0">
      <alignment horizontal="left" vertical="top" indent="1"/>
    </xf>
    <xf numFmtId="4" fontId="45" fillId="34" borderId="83" applyNumberFormat="0" applyProtection="0">
      <alignment horizontal="right" vertical="center"/>
    </xf>
    <xf numFmtId="4" fontId="45" fillId="2" borderId="83" applyNumberFormat="0" applyProtection="0">
      <alignment horizontal="left" vertical="center" indent="1"/>
    </xf>
    <xf numFmtId="4" fontId="45" fillId="40" borderId="83" applyNumberFormat="0" applyProtection="0">
      <alignment horizontal="left" vertical="center" indent="1"/>
    </xf>
    <xf numFmtId="4" fontId="45" fillId="2" borderId="69" applyNumberFormat="0" applyProtection="0">
      <alignment horizontal="right" vertical="center"/>
    </xf>
    <xf numFmtId="0" fontId="45" fillId="8" borderId="9" applyNumberFormat="0" applyProtection="0">
      <alignment horizontal="left" vertical="top" indent="1"/>
    </xf>
    <xf numFmtId="4" fontId="45" fillId="38" borderId="69" applyNumberFormat="0" applyProtection="0">
      <alignment horizontal="right" vertical="center"/>
    </xf>
    <xf numFmtId="0" fontId="45" fillId="121" borderId="69" applyNumberFormat="0" applyProtection="0">
      <alignment horizontal="left" vertical="center" indent="1"/>
    </xf>
    <xf numFmtId="0" fontId="116" fillId="11" borderId="1" applyNumberFormat="0" applyAlignment="0" applyProtection="0"/>
    <xf numFmtId="4" fontId="18" fillId="123" borderId="8" applyNumberFormat="0" applyProtection="0">
      <alignment horizontal="left" vertical="center" indent="1"/>
    </xf>
    <xf numFmtId="4" fontId="121" fillId="4" borderId="9" applyNumberFormat="0" applyProtection="0">
      <alignment vertical="center"/>
    </xf>
    <xf numFmtId="4" fontId="121" fillId="4" borderId="9" applyNumberFormat="0" applyProtection="0">
      <alignment vertical="center"/>
    </xf>
    <xf numFmtId="0" fontId="45" fillId="6" borderId="9" applyNumberFormat="0" applyProtection="0">
      <alignment horizontal="left" vertical="top" indent="1"/>
    </xf>
    <xf numFmtId="4" fontId="45" fillId="110" borderId="69" applyNumberFormat="0" applyProtection="0">
      <alignment horizontal="right" vertical="center"/>
    </xf>
    <xf numFmtId="4" fontId="45" fillId="2" borderId="83" applyNumberFormat="0" applyProtection="0">
      <alignment horizontal="left" vertical="center" indent="1"/>
    </xf>
    <xf numFmtId="0" fontId="45" fillId="10" borderId="69" applyNumberFormat="0" applyProtection="0">
      <alignment horizontal="left" vertical="center" indent="1"/>
    </xf>
    <xf numFmtId="4" fontId="18" fillId="119" borderId="8" applyNumberFormat="0" applyProtection="0">
      <alignment horizontal="left" vertical="center" indent="1"/>
    </xf>
    <xf numFmtId="4" fontId="45" fillId="9" borderId="69" applyNumberFormat="0" applyProtection="0">
      <alignment horizontal="right" vertical="center"/>
    </xf>
    <xf numFmtId="4" fontId="45" fillId="2" borderId="69" applyNumberFormat="0" applyProtection="0">
      <alignment horizontal="right" vertical="center"/>
    </xf>
    <xf numFmtId="0" fontId="45" fillId="41" borderId="69" applyNumberFormat="0" applyProtection="0">
      <alignment horizontal="left" vertical="center" indent="1"/>
    </xf>
    <xf numFmtId="4" fontId="118" fillId="43" borderId="69" applyNumberFormat="0" applyProtection="0">
      <alignment horizontal="right" vertical="center"/>
    </xf>
    <xf numFmtId="4" fontId="45" fillId="2" borderId="69" applyNumberFormat="0" applyProtection="0">
      <alignment horizontal="right" vertical="center"/>
    </xf>
    <xf numFmtId="4" fontId="45" fillId="0" borderId="69" applyNumberFormat="0" applyProtection="0">
      <alignment horizontal="right" vertical="center"/>
    </xf>
    <xf numFmtId="0" fontId="16" fillId="45" borderId="8" applyNumberFormat="0" applyProtection="0">
      <alignment horizontal="left" vertical="center" indent="1"/>
    </xf>
    <xf numFmtId="4" fontId="18" fillId="111" borderId="8" applyNumberFormat="0" applyProtection="0">
      <alignment horizontal="right" vertical="center"/>
    </xf>
    <xf numFmtId="0" fontId="16" fillId="107" borderId="8" applyNumberFormat="0" applyProtection="0">
      <alignment horizontal="left" vertical="center" indent="1"/>
    </xf>
    <xf numFmtId="4" fontId="18" fillId="106" borderId="8" applyNumberFormat="0" applyProtection="0">
      <alignment vertical="center"/>
    </xf>
    <xf numFmtId="4" fontId="45" fillId="39" borderId="69" applyNumberFormat="0" applyProtection="0">
      <alignment horizontal="right" vertical="center"/>
    </xf>
    <xf numFmtId="0" fontId="33" fillId="27" borderId="69" applyNumberFormat="0" applyAlignment="0" applyProtection="0"/>
    <xf numFmtId="0" fontId="45" fillId="41" borderId="69" applyNumberFormat="0" applyProtection="0">
      <alignment horizontal="left" vertical="center" indent="1"/>
    </xf>
    <xf numFmtId="4" fontId="18" fillId="115" borderId="8" applyNumberFormat="0" applyProtection="0">
      <alignment horizontal="right" vertical="center"/>
    </xf>
    <xf numFmtId="4" fontId="45" fillId="9" borderId="69" applyNumberFormat="0" applyProtection="0">
      <alignment horizontal="right" vertical="center"/>
    </xf>
    <xf numFmtId="4" fontId="45" fillId="39" borderId="69" applyNumberFormat="0" applyProtection="0">
      <alignment horizontal="right" vertical="center"/>
    </xf>
    <xf numFmtId="0" fontId="16" fillId="107" borderId="8" applyNumberFormat="0" applyProtection="0">
      <alignment horizontal="left" vertical="center" indent="1"/>
    </xf>
    <xf numFmtId="4" fontId="18" fillId="109" borderId="8" applyNumberFormat="0" applyProtection="0">
      <alignment horizontal="right" vertical="center"/>
    </xf>
    <xf numFmtId="4" fontId="45" fillId="0" borderId="69" applyNumberFormat="0" applyProtection="0">
      <alignment horizontal="right" vertical="center"/>
    </xf>
    <xf numFmtId="4" fontId="45" fillId="110" borderId="69" applyNumberFormat="0" applyProtection="0">
      <alignment horizontal="right" vertical="center"/>
    </xf>
    <xf numFmtId="4" fontId="18" fillId="106" borderId="8" applyNumberFormat="0" applyProtection="0">
      <alignment horizontal="left" vertical="center" indent="1"/>
    </xf>
    <xf numFmtId="4" fontId="45" fillId="51" borderId="69" applyNumberFormat="0" applyProtection="0">
      <alignment horizontal="left" vertical="center" indent="1"/>
    </xf>
    <xf numFmtId="0" fontId="16" fillId="122" borderId="8" applyNumberFormat="0" applyProtection="0">
      <alignment horizontal="left" vertical="center" indent="1"/>
    </xf>
    <xf numFmtId="4" fontId="18" fillId="123" borderId="8" applyNumberFormat="0" applyProtection="0">
      <alignment horizontal="left" vertical="center" indent="1"/>
    </xf>
    <xf numFmtId="4" fontId="45" fillId="7" borderId="69" applyNumberFormat="0" applyProtection="0">
      <alignment horizontal="right" vertical="center"/>
    </xf>
    <xf numFmtId="0" fontId="116" fillId="11" borderId="1" applyNumberFormat="0" applyAlignment="0" applyProtection="0"/>
    <xf numFmtId="4" fontId="118" fillId="43" borderId="69" applyNumberFormat="0" applyProtection="0">
      <alignment horizontal="right" vertical="center"/>
    </xf>
    <xf numFmtId="4" fontId="45" fillId="110" borderId="69" applyNumberFormat="0" applyProtection="0">
      <alignment horizontal="right" vertical="center"/>
    </xf>
    <xf numFmtId="0" fontId="16" fillId="45" borderId="8" applyNumberFormat="0" applyProtection="0">
      <alignment horizontal="left" vertical="center" indent="1"/>
    </xf>
    <xf numFmtId="0" fontId="120" fillId="8" borderId="92" applyBorder="0"/>
    <xf numFmtId="0" fontId="45" fillId="6" borderId="69" applyNumberFormat="0" applyProtection="0">
      <alignment horizontal="left" vertical="center" indent="1"/>
    </xf>
    <xf numFmtId="4" fontId="18" fillId="116" borderId="8" applyNumberFormat="0" applyProtection="0">
      <alignment horizontal="right" vertical="center"/>
    </xf>
    <xf numFmtId="4" fontId="45" fillId="36" borderId="69" applyNumberFormat="0" applyProtection="0">
      <alignment horizontal="right" vertical="center"/>
    </xf>
    <xf numFmtId="4" fontId="45" fillId="9" borderId="69" applyNumberFormat="0" applyProtection="0">
      <alignment horizontal="right" vertical="center"/>
    </xf>
    <xf numFmtId="4" fontId="45" fillId="38" borderId="69" applyNumberFormat="0" applyProtection="0">
      <alignment horizontal="right" vertical="center"/>
    </xf>
    <xf numFmtId="4" fontId="121" fillId="10" borderId="9" applyNumberFormat="0" applyProtection="0">
      <alignment horizontal="left" vertical="center" indent="1"/>
    </xf>
    <xf numFmtId="4" fontId="45" fillId="7" borderId="69" applyNumberFormat="0" applyProtection="0">
      <alignment horizontal="right" vertical="center"/>
    </xf>
    <xf numFmtId="4" fontId="45" fillId="33" borderId="69" applyNumberFormat="0" applyProtection="0">
      <alignment vertical="center"/>
    </xf>
    <xf numFmtId="4" fontId="18" fillId="123" borderId="8" applyNumberFormat="0" applyProtection="0">
      <alignment horizontal="left" vertical="center" indent="1"/>
    </xf>
    <xf numFmtId="4" fontId="45" fillId="106" borderId="69" applyNumberFormat="0" applyProtection="0">
      <alignment horizontal="left" vertical="center" indent="1"/>
    </xf>
    <xf numFmtId="0" fontId="45" fillId="10" borderId="69" applyNumberFormat="0" applyProtection="0">
      <alignment horizontal="left" vertical="center" indent="1"/>
    </xf>
    <xf numFmtId="4" fontId="45" fillId="41" borderId="83" applyNumberFormat="0" applyProtection="0">
      <alignment horizontal="left" vertical="center" indent="1"/>
    </xf>
    <xf numFmtId="4" fontId="18" fillId="113" borderId="8" applyNumberFormat="0" applyProtection="0">
      <alignment horizontal="right" vertical="center"/>
    </xf>
    <xf numFmtId="4" fontId="45" fillId="35" borderId="69" applyNumberFormat="0" applyProtection="0">
      <alignment horizontal="right" vertical="center"/>
    </xf>
    <xf numFmtId="4" fontId="16" fillId="8" borderId="83" applyNumberFormat="0" applyProtection="0">
      <alignment horizontal="left" vertical="center" indent="1"/>
    </xf>
    <xf numFmtId="0" fontId="16" fillId="45" borderId="8" applyNumberFormat="0" applyProtection="0">
      <alignment horizontal="left" vertical="center" indent="1"/>
    </xf>
    <xf numFmtId="4" fontId="45" fillId="39" borderId="69" applyNumberFormat="0" applyProtection="0">
      <alignment horizontal="right" vertical="center"/>
    </xf>
    <xf numFmtId="4" fontId="45" fillId="2" borderId="83" applyNumberFormat="0" applyProtection="0">
      <alignment horizontal="left" vertical="center" indent="1"/>
    </xf>
    <xf numFmtId="4" fontId="42" fillId="119" borderId="8" applyNumberFormat="0" applyProtection="0">
      <alignment horizontal="right" vertical="center"/>
    </xf>
    <xf numFmtId="4" fontId="45" fillId="2" borderId="83" applyNumberFormat="0" applyProtection="0">
      <alignment horizontal="left" vertical="center" indent="1"/>
    </xf>
    <xf numFmtId="4" fontId="45" fillId="106" borderId="69" applyNumberFormat="0" applyProtection="0">
      <alignment horizontal="left" vertical="center" indent="1"/>
    </xf>
    <xf numFmtId="4" fontId="18" fillId="106" borderId="8" applyNumberFormat="0" applyProtection="0">
      <alignment vertical="center"/>
    </xf>
    <xf numFmtId="4" fontId="45" fillId="106" borderId="69" applyNumberFormat="0" applyProtection="0">
      <alignment horizontal="left" vertical="center" indent="1"/>
    </xf>
    <xf numFmtId="0" fontId="45" fillId="26" borderId="69" applyNumberFormat="0" applyFont="0" applyAlignment="0" applyProtection="0"/>
    <xf numFmtId="0" fontId="110" fillId="10" borderId="1" applyNumberFormat="0" applyAlignment="0" applyProtection="0"/>
    <xf numFmtId="4" fontId="45" fillId="7" borderId="69" applyNumberFormat="0" applyProtection="0">
      <alignment horizontal="right" vertical="center"/>
    </xf>
    <xf numFmtId="0" fontId="119" fillId="33" borderId="9" applyNumberFormat="0" applyProtection="0">
      <alignment horizontal="left" vertical="top" indent="1"/>
    </xf>
    <xf numFmtId="4" fontId="45" fillId="33" borderId="69" applyNumberFormat="0" applyProtection="0">
      <alignment vertical="center"/>
    </xf>
    <xf numFmtId="0" fontId="109" fillId="101" borderId="69" applyNumberFormat="0" applyAlignment="0" applyProtection="0"/>
    <xf numFmtId="4" fontId="123" fillId="42" borderId="83" applyNumberFormat="0" applyProtection="0">
      <alignment horizontal="left" vertical="center" indent="1"/>
    </xf>
    <xf numFmtId="0" fontId="45" fillId="124" borderId="94"/>
    <xf numFmtId="0" fontId="121" fillId="2" borderId="9" applyNumberFormat="0" applyProtection="0">
      <alignment horizontal="left" vertical="top" indent="1"/>
    </xf>
    <xf numFmtId="4" fontId="42" fillId="119" borderId="8" applyNumberFormat="0" applyProtection="0">
      <alignment horizontal="right" vertical="center"/>
    </xf>
    <xf numFmtId="4" fontId="45" fillId="0" borderId="69" applyNumberFormat="0" applyProtection="0">
      <alignment horizontal="right" vertical="center"/>
    </xf>
    <xf numFmtId="0" fontId="16" fillId="107" borderId="8" applyNumberFormat="0" applyProtection="0">
      <alignment horizontal="left" vertical="center" indent="1"/>
    </xf>
    <xf numFmtId="4" fontId="45" fillId="0" borderId="69" applyNumberFormat="0" applyProtection="0">
      <alignment horizontal="right" vertical="center"/>
    </xf>
    <xf numFmtId="4" fontId="45" fillId="51" borderId="69" applyNumberFormat="0" applyProtection="0">
      <alignment horizontal="left" vertical="center" indent="1"/>
    </xf>
    <xf numFmtId="4" fontId="40" fillId="119" borderId="8" applyNumberFormat="0" applyProtection="0">
      <alignment horizontal="right" vertical="center"/>
    </xf>
    <xf numFmtId="0" fontId="36" fillId="101" borderId="8" applyNumberFormat="0" applyAlignment="0" applyProtection="0"/>
    <xf numFmtId="0" fontId="45" fillId="26" borderId="69" applyNumberFormat="0" applyFont="0" applyAlignment="0" applyProtection="0"/>
    <xf numFmtId="0" fontId="18" fillId="4" borderId="7" applyNumberFormat="0" applyFont="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105" fillId="72" borderId="0" applyNumberFormat="0" applyBorder="0" applyAlignment="0" applyProtection="0"/>
    <xf numFmtId="0" fontId="105" fillId="76" borderId="0" applyNumberFormat="0" applyBorder="0" applyAlignment="0" applyProtection="0"/>
    <xf numFmtId="0" fontId="105" fillId="80" borderId="0" applyNumberFormat="0" applyBorder="0" applyAlignment="0" applyProtection="0"/>
    <xf numFmtId="175" fontId="25" fillId="28" borderId="104" applyNumberFormat="0" applyAlignment="0" applyProtection="0"/>
    <xf numFmtId="175" fontId="33" fillId="27" borderId="104" applyNumberFormat="0" applyAlignment="0" applyProtection="0"/>
    <xf numFmtId="175" fontId="16" fillId="26" borderId="105" applyNumberFormat="0" applyFont="0" applyAlignment="0" applyProtection="0"/>
    <xf numFmtId="175" fontId="36" fillId="28" borderId="106" applyNumberFormat="0" applyAlignment="0" applyProtection="0"/>
    <xf numFmtId="4" fontId="37" fillId="33" borderId="107" applyNumberFormat="0" applyProtection="0">
      <alignment vertical="center"/>
    </xf>
    <xf numFmtId="4" fontId="38" fillId="33" borderId="107" applyNumberFormat="0" applyProtection="0">
      <alignment vertical="center"/>
    </xf>
    <xf numFmtId="4" fontId="37" fillId="33" borderId="107" applyNumberFormat="0" applyProtection="0">
      <alignment horizontal="left" vertical="center" indent="1"/>
    </xf>
    <xf numFmtId="175" fontId="37" fillId="33" borderId="107" applyNumberFormat="0" applyProtection="0">
      <alignment horizontal="left" vertical="top" indent="1"/>
    </xf>
    <xf numFmtId="4" fontId="18" fillId="7" borderId="107" applyNumberFormat="0" applyProtection="0">
      <alignment horizontal="right" vertical="center"/>
    </xf>
    <xf numFmtId="4" fontId="18" fillId="3" borderId="107" applyNumberFormat="0" applyProtection="0">
      <alignment horizontal="right" vertical="center"/>
    </xf>
    <xf numFmtId="4" fontId="18" fillId="34" borderId="107" applyNumberFormat="0" applyProtection="0">
      <alignment horizontal="right" vertical="center"/>
    </xf>
    <xf numFmtId="4" fontId="18" fillId="35" borderId="107" applyNumberFormat="0" applyProtection="0">
      <alignment horizontal="right" vertical="center"/>
    </xf>
    <xf numFmtId="4" fontId="18" fillId="36" borderId="107" applyNumberFormat="0" applyProtection="0">
      <alignment horizontal="right" vertical="center"/>
    </xf>
    <xf numFmtId="4" fontId="18" fillId="37" borderId="107" applyNumberFormat="0" applyProtection="0">
      <alignment horizontal="right" vertical="center"/>
    </xf>
    <xf numFmtId="4" fontId="18" fillId="9" borderId="107" applyNumberFormat="0" applyProtection="0">
      <alignment horizontal="right" vertical="center"/>
    </xf>
    <xf numFmtId="4" fontId="18" fillId="38" borderId="107" applyNumberFormat="0" applyProtection="0">
      <alignment horizontal="right" vertical="center"/>
    </xf>
    <xf numFmtId="4" fontId="18" fillId="39" borderId="107" applyNumberFormat="0" applyProtection="0">
      <alignment horizontal="right" vertical="center"/>
    </xf>
    <xf numFmtId="4" fontId="18" fillId="2" borderId="107" applyNumberFormat="0" applyProtection="0">
      <alignment horizontal="right" vertical="center"/>
    </xf>
    <xf numFmtId="175" fontId="16" fillId="8" borderId="107" applyNumberFormat="0" applyProtection="0">
      <alignment horizontal="left" vertical="center" indent="1"/>
    </xf>
    <xf numFmtId="175" fontId="16" fillId="8" borderId="107" applyNumberFormat="0" applyProtection="0">
      <alignment horizontal="left" vertical="top" indent="1"/>
    </xf>
    <xf numFmtId="175" fontId="16" fillId="2" borderId="107" applyNumberFormat="0" applyProtection="0">
      <alignment horizontal="left" vertical="center" indent="1"/>
    </xf>
    <xf numFmtId="175" fontId="16" fillId="2" borderId="107" applyNumberFormat="0" applyProtection="0">
      <alignment horizontal="left" vertical="top" indent="1"/>
    </xf>
    <xf numFmtId="175" fontId="16" fillId="6" borderId="107" applyNumberFormat="0" applyProtection="0">
      <alignment horizontal="left" vertical="center" indent="1"/>
    </xf>
    <xf numFmtId="175" fontId="16" fillId="6" borderId="107" applyNumberFormat="0" applyProtection="0">
      <alignment horizontal="left" vertical="top" indent="1"/>
    </xf>
    <xf numFmtId="175" fontId="16" fillId="41" borderId="107" applyNumberFormat="0" applyProtection="0">
      <alignment horizontal="left" vertical="center" indent="1"/>
    </xf>
    <xf numFmtId="175" fontId="16" fillId="41" borderId="107" applyNumberFormat="0" applyProtection="0">
      <alignment horizontal="left" vertical="top" indent="1"/>
    </xf>
    <xf numFmtId="4" fontId="18" fillId="4" borderId="107" applyNumberFormat="0" applyProtection="0">
      <alignment vertical="center"/>
    </xf>
    <xf numFmtId="4" fontId="40" fillId="4" borderId="107" applyNumberFormat="0" applyProtection="0">
      <alignment vertical="center"/>
    </xf>
    <xf numFmtId="4" fontId="18" fillId="4" borderId="107" applyNumberFormat="0" applyProtection="0">
      <alignment horizontal="left" vertical="center" indent="1"/>
    </xf>
    <xf numFmtId="175" fontId="18" fillId="4" borderId="107" applyNumberFormat="0" applyProtection="0">
      <alignment horizontal="left" vertical="top" indent="1"/>
    </xf>
    <xf numFmtId="4" fontId="18" fillId="41" borderId="107" applyNumberFormat="0" applyProtection="0">
      <alignment horizontal="right" vertical="center"/>
    </xf>
    <xf numFmtId="4" fontId="40" fillId="41" borderId="107" applyNumberFormat="0" applyProtection="0">
      <alignment horizontal="right" vertical="center"/>
    </xf>
    <xf numFmtId="4" fontId="18" fillId="2" borderId="107" applyNumberFormat="0" applyProtection="0">
      <alignment horizontal="left" vertical="center" indent="1"/>
    </xf>
    <xf numFmtId="175" fontId="18" fillId="2" borderId="107" applyNumberFormat="0" applyProtection="0">
      <alignment horizontal="left" vertical="top" indent="1"/>
    </xf>
    <xf numFmtId="4" fontId="42" fillId="41" borderId="107" applyNumberFormat="0" applyProtection="0">
      <alignment horizontal="right" vertical="center"/>
    </xf>
    <xf numFmtId="175" fontId="27" fillId="0" borderId="108" applyNumberFormat="0" applyFill="0" applyAlignment="0" applyProtection="0"/>
    <xf numFmtId="4" fontId="18" fillId="7" borderId="107" applyNumberFormat="0" applyProtection="0">
      <alignment horizontal="right" vertical="center"/>
    </xf>
    <xf numFmtId="4" fontId="18" fillId="3" borderId="107" applyNumberFormat="0" applyProtection="0">
      <alignment horizontal="right" vertical="center"/>
    </xf>
    <xf numFmtId="4" fontId="18" fillId="34" borderId="107" applyNumberFormat="0" applyProtection="0">
      <alignment horizontal="right" vertical="center"/>
    </xf>
    <xf numFmtId="4" fontId="18" fillId="35" borderId="107" applyNumberFormat="0" applyProtection="0">
      <alignment horizontal="right" vertical="center"/>
    </xf>
    <xf numFmtId="4" fontId="18" fillId="36" borderId="107" applyNumberFormat="0" applyProtection="0">
      <alignment horizontal="right" vertical="center"/>
    </xf>
    <xf numFmtId="4" fontId="18" fillId="37" borderId="107" applyNumberFormat="0" applyProtection="0">
      <alignment horizontal="right" vertical="center"/>
    </xf>
    <xf numFmtId="4" fontId="18" fillId="9" borderId="107" applyNumberFormat="0" applyProtection="0">
      <alignment horizontal="right" vertical="center"/>
    </xf>
    <xf numFmtId="4" fontId="18" fillId="38" borderId="107" applyNumberFormat="0" applyProtection="0">
      <alignment horizontal="right" vertical="center"/>
    </xf>
    <xf numFmtId="4" fontId="18" fillId="39" borderId="107" applyNumberFormat="0" applyProtection="0">
      <alignment horizontal="right" vertical="center"/>
    </xf>
    <xf numFmtId="4" fontId="18" fillId="2" borderId="107" applyNumberFormat="0" applyProtection="0">
      <alignment horizontal="right" vertical="center"/>
    </xf>
    <xf numFmtId="4" fontId="18" fillId="4" borderId="107" applyNumberFormat="0" applyProtection="0">
      <alignment vertical="center"/>
    </xf>
    <xf numFmtId="4" fontId="18" fillId="4" borderId="107" applyNumberFormat="0" applyProtection="0">
      <alignment horizontal="left" vertical="center" indent="1"/>
    </xf>
    <xf numFmtId="175" fontId="18" fillId="4" borderId="107" applyNumberFormat="0" applyProtection="0">
      <alignment horizontal="left" vertical="top" indent="1"/>
    </xf>
    <xf numFmtId="4" fontId="18" fillId="41" borderId="107" applyNumberFormat="0" applyProtection="0">
      <alignment horizontal="right" vertical="center"/>
    </xf>
    <xf numFmtId="4" fontId="18" fillId="2" borderId="107" applyNumberFormat="0" applyProtection="0">
      <alignment horizontal="left" vertical="center" indent="1"/>
    </xf>
    <xf numFmtId="175" fontId="18" fillId="2" borderId="107" applyNumberFormat="0" applyProtection="0">
      <alignment horizontal="left" vertical="top" indent="1"/>
    </xf>
    <xf numFmtId="175" fontId="2" fillId="0" borderId="0"/>
    <xf numFmtId="175" fontId="25" fillId="28" borderId="104" applyNumberFormat="0" applyAlignment="0" applyProtection="0"/>
    <xf numFmtId="175" fontId="33" fillId="27" borderId="104" applyNumberFormat="0" applyAlignment="0" applyProtection="0"/>
    <xf numFmtId="175" fontId="16" fillId="26" borderId="105" applyNumberFormat="0" applyFont="0" applyAlignment="0" applyProtection="0"/>
    <xf numFmtId="175" fontId="36" fillId="28" borderId="106" applyNumberFormat="0" applyAlignment="0" applyProtection="0"/>
    <xf numFmtId="175" fontId="27" fillId="0" borderId="108" applyNumberFormat="0" applyFill="0" applyAlignment="0" applyProtection="0"/>
    <xf numFmtId="175" fontId="2" fillId="0" borderId="0"/>
    <xf numFmtId="175" fontId="25" fillId="28" borderId="104" applyNumberFormat="0" applyAlignment="0" applyProtection="0"/>
    <xf numFmtId="175" fontId="33" fillId="27" borderId="104" applyNumberFormat="0" applyAlignment="0" applyProtection="0"/>
    <xf numFmtId="175" fontId="16" fillId="26" borderId="105" applyNumberFormat="0" applyFont="0" applyAlignment="0" applyProtection="0"/>
    <xf numFmtId="175" fontId="36" fillId="28" borderId="106" applyNumberFormat="0" applyAlignment="0" applyProtection="0"/>
    <xf numFmtId="175" fontId="27" fillId="0" borderId="108" applyNumberFormat="0" applyFill="0" applyAlignment="0" applyProtection="0"/>
    <xf numFmtId="175" fontId="2" fillId="0" borderId="0"/>
    <xf numFmtId="175" fontId="2" fillId="0" borderId="0"/>
    <xf numFmtId="175" fontId="25" fillId="28" borderId="104" applyNumberFormat="0" applyAlignment="0" applyProtection="0"/>
    <xf numFmtId="175" fontId="33" fillId="27" borderId="104" applyNumberFormat="0" applyAlignment="0" applyProtection="0"/>
    <xf numFmtId="175" fontId="16" fillId="26" borderId="105" applyNumberFormat="0" applyFont="0" applyAlignment="0" applyProtection="0"/>
    <xf numFmtId="175" fontId="36" fillId="28" borderId="106" applyNumberFormat="0" applyAlignment="0" applyProtection="0"/>
    <xf numFmtId="175" fontId="27" fillId="0" borderId="108" applyNumberFormat="0" applyFill="0" applyAlignment="0" applyProtection="0"/>
    <xf numFmtId="175" fontId="2" fillId="0" borderId="0"/>
    <xf numFmtId="175" fontId="2" fillId="0" borderId="0"/>
    <xf numFmtId="175" fontId="2" fillId="0" borderId="0"/>
    <xf numFmtId="175" fontId="2" fillId="0" borderId="0"/>
    <xf numFmtId="175" fontId="25" fillId="28" borderId="104" applyNumberFormat="0" applyAlignment="0" applyProtection="0"/>
    <xf numFmtId="175" fontId="33" fillId="27" borderId="104" applyNumberFormat="0" applyAlignment="0" applyProtection="0"/>
    <xf numFmtId="175" fontId="16" fillId="26" borderId="105" applyNumberFormat="0" applyFont="0" applyAlignment="0" applyProtection="0"/>
    <xf numFmtId="175" fontId="36" fillId="28" borderId="106" applyNumberFormat="0" applyAlignment="0" applyProtection="0"/>
    <xf numFmtId="175" fontId="27" fillId="0" borderId="108" applyNumberFormat="0" applyFill="0" applyAlignment="0" applyProtection="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0" fontId="2" fillId="0" borderId="0"/>
    <xf numFmtId="175" fontId="25" fillId="28" borderId="104" applyNumberFormat="0" applyAlignment="0" applyProtection="0"/>
    <xf numFmtId="175" fontId="33" fillId="27" borderId="104" applyNumberFormat="0" applyAlignment="0" applyProtection="0"/>
    <xf numFmtId="175" fontId="16" fillId="26" borderId="105" applyNumberFormat="0" applyFont="0" applyAlignment="0" applyProtection="0"/>
    <xf numFmtId="175" fontId="36" fillId="28" borderId="106" applyNumberFormat="0" applyAlignment="0" applyProtection="0"/>
    <xf numFmtId="175" fontId="27" fillId="0" borderId="108" applyNumberFormat="0" applyFill="0" applyAlignment="0" applyProtection="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0" fontId="2" fillId="0" borderId="0"/>
    <xf numFmtId="175" fontId="25" fillId="28" borderId="104" applyNumberFormat="0" applyAlignment="0" applyProtection="0"/>
    <xf numFmtId="175" fontId="33" fillId="27" borderId="104" applyNumberFormat="0" applyAlignment="0" applyProtection="0"/>
    <xf numFmtId="175" fontId="16" fillId="26" borderId="105" applyNumberFormat="0" applyFont="0" applyAlignment="0" applyProtection="0"/>
    <xf numFmtId="175" fontId="36" fillId="28" borderId="106" applyNumberFormat="0" applyAlignment="0" applyProtection="0"/>
    <xf numFmtId="175" fontId="27" fillId="0" borderId="108" applyNumberFormat="0" applyFill="0" applyAlignment="0" applyProtection="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0"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0" fontId="2" fillId="0" borderId="0"/>
    <xf numFmtId="0" fontId="2" fillId="0" borderId="0"/>
    <xf numFmtId="175" fontId="25" fillId="28" borderId="104" applyNumberFormat="0" applyAlignment="0" applyProtection="0"/>
    <xf numFmtId="175" fontId="33" fillId="27" borderId="104" applyNumberFormat="0" applyAlignment="0" applyProtection="0"/>
    <xf numFmtId="175" fontId="16" fillId="26" borderId="105" applyNumberFormat="0" applyFont="0" applyAlignment="0" applyProtection="0"/>
    <xf numFmtId="175" fontId="36" fillId="28" borderId="106" applyNumberFormat="0" applyAlignment="0" applyProtection="0"/>
    <xf numFmtId="175" fontId="27" fillId="0" borderId="108" applyNumberFormat="0" applyFill="0" applyAlignment="0" applyProtection="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0"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0"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0"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0"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0"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0"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0"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0" fontId="2" fillId="0" borderId="0"/>
    <xf numFmtId="0"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0"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0"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0"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0" fontId="2" fillId="0" borderId="0"/>
    <xf numFmtId="0" fontId="2" fillId="0" borderId="0"/>
    <xf numFmtId="4" fontId="45" fillId="0" borderId="109" applyNumberFormat="0" applyProtection="0">
      <alignment horizontal="right" vertical="center"/>
    </xf>
    <xf numFmtId="4" fontId="45" fillId="51" borderId="109" applyNumberFormat="0" applyProtection="0">
      <alignment horizontal="left" vertical="center" indent="1"/>
    </xf>
    <xf numFmtId="43" fontId="2" fillId="0" borderId="0" applyFont="0" applyFill="0" applyBorder="0" applyAlignment="0" applyProtection="0"/>
    <xf numFmtId="0" fontId="2" fillId="0" borderId="0"/>
    <xf numFmtId="0" fontId="2" fillId="66" borderId="0" applyNumberFormat="0" applyBorder="0" applyAlignment="0" applyProtection="0"/>
    <xf numFmtId="0" fontId="2" fillId="70" borderId="0" applyNumberFormat="0" applyBorder="0" applyAlignment="0" applyProtection="0"/>
    <xf numFmtId="0" fontId="2" fillId="74" borderId="0" applyNumberFormat="0" applyBorder="0" applyAlignment="0" applyProtection="0"/>
    <xf numFmtId="0" fontId="2" fillId="73" borderId="0" applyNumberFormat="0" applyBorder="0" applyAlignment="0" applyProtection="0"/>
    <xf numFmtId="0" fontId="2" fillId="65" borderId="0" applyNumberFormat="0" applyBorder="0" applyAlignment="0" applyProtection="0"/>
    <xf numFmtId="0" fontId="37" fillId="33" borderId="107" applyNumberFormat="0" applyProtection="0">
      <alignment horizontal="left" vertical="top" indent="1"/>
    </xf>
    <xf numFmtId="0" fontId="2" fillId="61" borderId="0" applyNumberFormat="0" applyBorder="0" applyAlignment="0" applyProtection="0"/>
    <xf numFmtId="0" fontId="16" fillId="8" borderId="107" applyNumberFormat="0" applyProtection="0">
      <alignment horizontal="left" vertical="center" indent="1"/>
    </xf>
    <xf numFmtId="0" fontId="16" fillId="8" borderId="107" applyNumberFormat="0" applyProtection="0">
      <alignment horizontal="left" vertical="top" indent="1"/>
    </xf>
    <xf numFmtId="0" fontId="16" fillId="2" borderId="107" applyNumberFormat="0" applyProtection="0">
      <alignment horizontal="left" vertical="center" indent="1"/>
    </xf>
    <xf numFmtId="0" fontId="16" fillId="2" borderId="107" applyNumberFormat="0" applyProtection="0">
      <alignment horizontal="left" vertical="top" indent="1"/>
    </xf>
    <xf numFmtId="0" fontId="16" fillId="6" borderId="107" applyNumberFormat="0" applyProtection="0">
      <alignment horizontal="left" vertical="center" indent="1"/>
    </xf>
    <xf numFmtId="0" fontId="16" fillId="6" borderId="107" applyNumberFormat="0" applyProtection="0">
      <alignment horizontal="left" vertical="top" indent="1"/>
    </xf>
    <xf numFmtId="0" fontId="16" fillId="41" borderId="107" applyNumberFormat="0" applyProtection="0">
      <alignment horizontal="left" vertical="center" indent="1"/>
    </xf>
    <xf numFmtId="0" fontId="16" fillId="41" borderId="107" applyNumberFormat="0" applyProtection="0">
      <alignment horizontal="left" vertical="top" indent="1"/>
    </xf>
    <xf numFmtId="0" fontId="2" fillId="61" borderId="0" applyNumberFormat="0" applyBorder="0" applyAlignment="0" applyProtection="0"/>
    <xf numFmtId="0" fontId="2" fillId="62" borderId="0" applyNumberFormat="0" applyBorder="0" applyAlignment="0" applyProtection="0"/>
    <xf numFmtId="0" fontId="18" fillId="4" borderId="107" applyNumberFormat="0" applyProtection="0">
      <alignment horizontal="left" vertical="top" indent="1"/>
    </xf>
    <xf numFmtId="0" fontId="2" fillId="61" borderId="0" applyNumberFormat="0" applyBorder="0" applyAlignment="0" applyProtection="0"/>
    <xf numFmtId="0" fontId="2" fillId="61" borderId="0" applyNumberFormat="0" applyBorder="0" applyAlignment="0" applyProtection="0"/>
    <xf numFmtId="0" fontId="18" fillId="2" borderId="107" applyNumberFormat="0" applyProtection="0">
      <alignment horizontal="left" vertical="top" indent="1"/>
    </xf>
    <xf numFmtId="0" fontId="2" fillId="69" borderId="0" applyNumberFormat="0" applyBorder="0" applyAlignment="0" applyProtection="0"/>
    <xf numFmtId="0" fontId="2" fillId="77" borderId="0" applyNumberFormat="0" applyBorder="0" applyAlignment="0" applyProtection="0"/>
    <xf numFmtId="0" fontId="2" fillId="78" borderId="0" applyNumberFormat="0" applyBorder="0" applyAlignment="0" applyProtection="0"/>
    <xf numFmtId="0" fontId="2" fillId="81" borderId="0" applyNumberFormat="0" applyBorder="0" applyAlignment="0" applyProtection="0"/>
    <xf numFmtId="0" fontId="2" fillId="61" borderId="0" applyNumberFormat="0" applyBorder="0" applyAlignment="0" applyProtection="0"/>
    <xf numFmtId="0" fontId="2" fillId="61" borderId="0" applyNumberFormat="0" applyBorder="0" applyAlignment="0" applyProtection="0"/>
    <xf numFmtId="0" fontId="2" fillId="61" borderId="0" applyNumberFormat="0" applyBorder="0" applyAlignment="0" applyProtection="0"/>
    <xf numFmtId="0" fontId="2" fillId="65" borderId="0" applyNumberFormat="0" applyBorder="0" applyAlignment="0" applyProtection="0"/>
    <xf numFmtId="0" fontId="2" fillId="65" borderId="0" applyNumberFormat="0" applyBorder="0" applyAlignment="0" applyProtection="0"/>
    <xf numFmtId="0" fontId="2" fillId="65" borderId="0" applyNumberFormat="0" applyBorder="0" applyAlignment="0" applyProtection="0"/>
    <xf numFmtId="0" fontId="2" fillId="65" borderId="0" applyNumberFormat="0" applyBorder="0" applyAlignment="0" applyProtection="0"/>
    <xf numFmtId="0" fontId="2" fillId="65" borderId="0" applyNumberFormat="0" applyBorder="0" applyAlignment="0" applyProtection="0"/>
    <xf numFmtId="0" fontId="2" fillId="65" borderId="0" applyNumberFormat="0" applyBorder="0" applyAlignment="0" applyProtection="0"/>
    <xf numFmtId="0" fontId="2" fillId="65" borderId="0" applyNumberFormat="0" applyBorder="0" applyAlignment="0" applyProtection="0"/>
    <xf numFmtId="0" fontId="2" fillId="69" borderId="0" applyNumberFormat="0" applyBorder="0" applyAlignment="0" applyProtection="0"/>
    <xf numFmtId="0" fontId="2" fillId="69" borderId="0" applyNumberFormat="0" applyBorder="0" applyAlignment="0" applyProtection="0"/>
    <xf numFmtId="0" fontId="2" fillId="69" borderId="0" applyNumberFormat="0" applyBorder="0" applyAlignment="0" applyProtection="0"/>
    <xf numFmtId="0" fontId="2" fillId="69" borderId="0" applyNumberFormat="0" applyBorder="0" applyAlignment="0" applyProtection="0"/>
    <xf numFmtId="0" fontId="2" fillId="69" borderId="0" applyNumberFormat="0" applyBorder="0" applyAlignment="0" applyProtection="0"/>
    <xf numFmtId="0" fontId="2" fillId="69" borderId="0" applyNumberFormat="0" applyBorder="0" applyAlignment="0" applyProtection="0"/>
    <xf numFmtId="0" fontId="2" fillId="69" borderId="0" applyNumberFormat="0" applyBorder="0" applyAlignment="0" applyProtection="0"/>
    <xf numFmtId="0" fontId="2" fillId="61" borderId="0" applyNumberFormat="0" applyBorder="0" applyAlignment="0" applyProtection="0"/>
    <xf numFmtId="0" fontId="2" fillId="82" borderId="0" applyNumberFormat="0" applyBorder="0" applyAlignment="0" applyProtection="0"/>
    <xf numFmtId="0" fontId="2" fillId="0" borderId="0"/>
    <xf numFmtId="0" fontId="2" fillId="73" borderId="0" applyNumberFormat="0" applyBorder="0" applyAlignment="0" applyProtection="0"/>
    <xf numFmtId="0" fontId="2" fillId="73" borderId="0" applyNumberFormat="0" applyBorder="0" applyAlignment="0" applyProtection="0"/>
    <xf numFmtId="0" fontId="2" fillId="73" borderId="0" applyNumberFormat="0" applyBorder="0" applyAlignment="0" applyProtection="0"/>
    <xf numFmtId="0" fontId="2" fillId="73" borderId="0" applyNumberFormat="0" applyBorder="0" applyAlignment="0" applyProtection="0"/>
    <xf numFmtId="0" fontId="2" fillId="73" borderId="0" applyNumberFormat="0" applyBorder="0" applyAlignment="0" applyProtection="0"/>
    <xf numFmtId="0" fontId="2" fillId="73" borderId="0" applyNumberFormat="0" applyBorder="0" applyAlignment="0" applyProtection="0"/>
    <xf numFmtId="0" fontId="2" fillId="73" borderId="0" applyNumberFormat="0" applyBorder="0" applyAlignment="0" applyProtection="0"/>
    <xf numFmtId="0" fontId="2" fillId="77" borderId="0" applyNumberFormat="0" applyBorder="0" applyAlignment="0" applyProtection="0"/>
    <xf numFmtId="0" fontId="2" fillId="77" borderId="0" applyNumberFormat="0" applyBorder="0" applyAlignment="0" applyProtection="0"/>
    <xf numFmtId="0" fontId="2" fillId="77" borderId="0" applyNumberFormat="0" applyBorder="0" applyAlignment="0" applyProtection="0"/>
    <xf numFmtId="0" fontId="2" fillId="77" borderId="0" applyNumberFormat="0" applyBorder="0" applyAlignment="0" applyProtection="0"/>
    <xf numFmtId="0" fontId="2" fillId="77" borderId="0" applyNumberFormat="0" applyBorder="0" applyAlignment="0" applyProtection="0"/>
    <xf numFmtId="0" fontId="2" fillId="77" borderId="0" applyNumberFormat="0" applyBorder="0" applyAlignment="0" applyProtection="0"/>
    <xf numFmtId="0" fontId="2" fillId="77" borderId="0" applyNumberFormat="0" applyBorder="0" applyAlignment="0" applyProtection="0"/>
    <xf numFmtId="0" fontId="2" fillId="81" borderId="0" applyNumberFormat="0" applyBorder="0" applyAlignment="0" applyProtection="0"/>
    <xf numFmtId="0" fontId="2" fillId="81" borderId="0" applyNumberFormat="0" applyBorder="0" applyAlignment="0" applyProtection="0"/>
    <xf numFmtId="0" fontId="2" fillId="81" borderId="0" applyNumberFormat="0" applyBorder="0" applyAlignment="0" applyProtection="0"/>
    <xf numFmtId="0" fontId="2" fillId="81" borderId="0" applyNumberFormat="0" applyBorder="0" applyAlignment="0" applyProtection="0"/>
    <xf numFmtId="0" fontId="2" fillId="81" borderId="0" applyNumberFormat="0" applyBorder="0" applyAlignment="0" applyProtection="0"/>
    <xf numFmtId="0" fontId="2" fillId="81" borderId="0" applyNumberFormat="0" applyBorder="0" applyAlignment="0" applyProtection="0"/>
    <xf numFmtId="0" fontId="2" fillId="81" borderId="0" applyNumberFormat="0" applyBorder="0" applyAlignment="0" applyProtection="0"/>
    <xf numFmtId="0" fontId="2" fillId="62" borderId="0" applyNumberFormat="0" applyBorder="0" applyAlignment="0" applyProtection="0"/>
    <xf numFmtId="0" fontId="2" fillId="62" borderId="0" applyNumberFormat="0" applyBorder="0" applyAlignment="0" applyProtection="0"/>
    <xf numFmtId="0" fontId="2" fillId="62" borderId="0" applyNumberFormat="0" applyBorder="0" applyAlignment="0" applyProtection="0"/>
    <xf numFmtId="0" fontId="2" fillId="62" borderId="0" applyNumberFormat="0" applyBorder="0" applyAlignment="0" applyProtection="0"/>
    <xf numFmtId="0" fontId="2" fillId="62" borderId="0" applyNumberFormat="0" applyBorder="0" applyAlignment="0" applyProtection="0"/>
    <xf numFmtId="0" fontId="2" fillId="62" borderId="0" applyNumberFormat="0" applyBorder="0" applyAlignment="0" applyProtection="0"/>
    <xf numFmtId="0" fontId="2" fillId="62" borderId="0" applyNumberFormat="0" applyBorder="0" applyAlignment="0" applyProtection="0"/>
    <xf numFmtId="0" fontId="2" fillId="66" borderId="0" applyNumberFormat="0" applyBorder="0" applyAlignment="0" applyProtection="0"/>
    <xf numFmtId="0" fontId="2" fillId="66" borderId="0" applyNumberFormat="0" applyBorder="0" applyAlignment="0" applyProtection="0"/>
    <xf numFmtId="0" fontId="2" fillId="66" borderId="0" applyNumberFormat="0" applyBorder="0" applyAlignment="0" applyProtection="0"/>
    <xf numFmtId="0" fontId="2" fillId="66" borderId="0" applyNumberFormat="0" applyBorder="0" applyAlignment="0" applyProtection="0"/>
    <xf numFmtId="0" fontId="2" fillId="66" borderId="0" applyNumberFormat="0" applyBorder="0" applyAlignment="0" applyProtection="0"/>
    <xf numFmtId="0" fontId="2" fillId="66" borderId="0" applyNumberFormat="0" applyBorder="0" applyAlignment="0" applyProtection="0"/>
    <xf numFmtId="0" fontId="2" fillId="66" borderId="0" applyNumberFormat="0" applyBorder="0" applyAlignment="0" applyProtection="0"/>
    <xf numFmtId="0" fontId="2" fillId="70" borderId="0" applyNumberFormat="0" applyBorder="0" applyAlignment="0" applyProtection="0"/>
    <xf numFmtId="0" fontId="2" fillId="70" borderId="0" applyNumberFormat="0" applyBorder="0" applyAlignment="0" applyProtection="0"/>
    <xf numFmtId="0" fontId="2" fillId="70" borderId="0" applyNumberFormat="0" applyBorder="0" applyAlignment="0" applyProtection="0"/>
    <xf numFmtId="0" fontId="2" fillId="70" borderId="0" applyNumberFormat="0" applyBorder="0" applyAlignment="0" applyProtection="0"/>
    <xf numFmtId="0" fontId="2" fillId="70" borderId="0" applyNumberFormat="0" applyBorder="0" applyAlignment="0" applyProtection="0"/>
    <xf numFmtId="0" fontId="2" fillId="70" borderId="0" applyNumberFormat="0" applyBorder="0" applyAlignment="0" applyProtection="0"/>
    <xf numFmtId="0" fontId="2" fillId="70" borderId="0" applyNumberFormat="0" applyBorder="0" applyAlignment="0" applyProtection="0"/>
    <xf numFmtId="0" fontId="2" fillId="74" borderId="0" applyNumberFormat="0" applyBorder="0" applyAlignment="0" applyProtection="0"/>
    <xf numFmtId="0" fontId="2" fillId="74" borderId="0" applyNumberFormat="0" applyBorder="0" applyAlignment="0" applyProtection="0"/>
    <xf numFmtId="0" fontId="2" fillId="74" borderId="0" applyNumberFormat="0" applyBorder="0" applyAlignment="0" applyProtection="0"/>
    <xf numFmtId="0" fontId="2" fillId="74" borderId="0" applyNumberFormat="0" applyBorder="0" applyAlignment="0" applyProtection="0"/>
    <xf numFmtId="0" fontId="2" fillId="74" borderId="0" applyNumberFormat="0" applyBorder="0" applyAlignment="0" applyProtection="0"/>
    <xf numFmtId="0" fontId="2" fillId="74" borderId="0" applyNumberFormat="0" applyBorder="0" applyAlignment="0" applyProtection="0"/>
    <xf numFmtId="0" fontId="2" fillId="74" borderId="0" applyNumberFormat="0" applyBorder="0" applyAlignment="0" applyProtection="0"/>
    <xf numFmtId="0" fontId="2" fillId="78" borderId="0" applyNumberFormat="0" applyBorder="0" applyAlignment="0" applyProtection="0"/>
    <xf numFmtId="0" fontId="2" fillId="78" borderId="0" applyNumberFormat="0" applyBorder="0" applyAlignment="0" applyProtection="0"/>
    <xf numFmtId="0" fontId="2" fillId="78" borderId="0" applyNumberFormat="0" applyBorder="0" applyAlignment="0" applyProtection="0"/>
    <xf numFmtId="0" fontId="2" fillId="78" borderId="0" applyNumberFormat="0" applyBorder="0" applyAlignment="0" applyProtection="0"/>
    <xf numFmtId="0" fontId="2" fillId="78" borderId="0" applyNumberFormat="0" applyBorder="0" applyAlignment="0" applyProtection="0"/>
    <xf numFmtId="0" fontId="2" fillId="78" borderId="0" applyNumberFormat="0" applyBorder="0" applyAlignment="0" applyProtection="0"/>
    <xf numFmtId="0" fontId="2" fillId="78" borderId="0" applyNumberFormat="0" applyBorder="0" applyAlignment="0" applyProtection="0"/>
    <xf numFmtId="0" fontId="2" fillId="82" borderId="0" applyNumberFormat="0" applyBorder="0" applyAlignment="0" applyProtection="0"/>
    <xf numFmtId="0" fontId="2" fillId="82" borderId="0" applyNumberFormat="0" applyBorder="0" applyAlignment="0" applyProtection="0"/>
    <xf numFmtId="0" fontId="2" fillId="82" borderId="0" applyNumberFormat="0" applyBorder="0" applyAlignment="0" applyProtection="0"/>
    <xf numFmtId="0" fontId="2" fillId="82" borderId="0" applyNumberFormat="0" applyBorder="0" applyAlignment="0" applyProtection="0"/>
    <xf numFmtId="0" fontId="2" fillId="82" borderId="0" applyNumberFormat="0" applyBorder="0" applyAlignment="0" applyProtection="0"/>
    <xf numFmtId="0" fontId="2" fillId="82" borderId="0" applyNumberFormat="0" applyBorder="0" applyAlignment="0" applyProtection="0"/>
    <xf numFmtId="0" fontId="2" fillId="82" borderId="0" applyNumberFormat="0" applyBorder="0" applyAlignment="0" applyProtection="0"/>
    <xf numFmtId="0" fontId="109" fillId="101" borderId="109" applyNumberFormat="0" applyAlignment="0" applyProtection="0"/>
    <xf numFmtId="0" fontId="110" fillId="10" borderId="104" applyNumberFormat="0" applyAlignment="0" applyProtection="0"/>
    <xf numFmtId="44" fontId="2" fillId="0" borderId="0" applyFont="0" applyFill="0" applyBorder="0" applyAlignment="0" applyProtection="0"/>
    <xf numFmtId="44" fontId="2" fillId="0" borderId="0" applyFont="0" applyFill="0" applyBorder="0" applyAlignment="0" applyProtection="0"/>
    <xf numFmtId="0" fontId="33" fillId="27" borderId="109" applyNumberFormat="0" applyAlignment="0" applyProtection="0"/>
    <xf numFmtId="0" fontId="116" fillId="11" borderId="104" applyNumberFormat="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59" borderId="81" applyNumberFormat="0" applyFont="0" applyAlignment="0" applyProtection="0"/>
    <xf numFmtId="0" fontId="18" fillId="4" borderId="105" applyNumberFormat="0" applyFont="0" applyAlignment="0" applyProtection="0"/>
    <xf numFmtId="0" fontId="45" fillId="26" borderId="109" applyNumberFormat="0" applyFont="0" applyAlignment="0" applyProtection="0"/>
    <xf numFmtId="0" fontId="2" fillId="59" borderId="81" applyNumberFormat="0" applyFont="0" applyAlignment="0" applyProtection="0"/>
    <xf numFmtId="0" fontId="36" fillId="101" borderId="106" applyNumberFormat="0" applyAlignment="0" applyProtection="0"/>
    <xf numFmtId="0" fontId="36" fillId="10" borderId="106" applyNumberFormat="0" applyAlignment="0" applyProtection="0"/>
    <xf numFmtId="9" fontId="2" fillId="0" borderId="0" applyFont="0" applyFill="0" applyBorder="0" applyAlignment="0" applyProtection="0"/>
    <xf numFmtId="9" fontId="2" fillId="0" borderId="0" applyFont="0" applyFill="0" applyBorder="0" applyAlignment="0" applyProtection="0"/>
    <xf numFmtId="4" fontId="18" fillId="106" borderId="106" applyNumberFormat="0" applyProtection="0">
      <alignment vertical="center"/>
    </xf>
    <xf numFmtId="4" fontId="18" fillId="106" borderId="106" applyNumberFormat="0" applyProtection="0">
      <alignment vertical="center"/>
    </xf>
    <xf numFmtId="4" fontId="45" fillId="33" borderId="109" applyNumberFormat="0" applyProtection="0">
      <alignment vertical="center"/>
    </xf>
    <xf numFmtId="4" fontId="45" fillId="33" borderId="109" applyNumberFormat="0" applyProtection="0">
      <alignment vertical="center"/>
    </xf>
    <xf numFmtId="4" fontId="45" fillId="33" borderId="109" applyNumberFormat="0" applyProtection="0">
      <alignment vertical="center"/>
    </xf>
    <xf numFmtId="4" fontId="40" fillId="106" borderId="106" applyNumberFormat="0" applyProtection="0">
      <alignment vertical="center"/>
    </xf>
    <xf numFmtId="4" fontId="118" fillId="106" borderId="109" applyNumberFormat="0" applyProtection="0">
      <alignment vertical="center"/>
    </xf>
    <xf numFmtId="4" fontId="18" fillId="106" borderId="106" applyNumberFormat="0" applyProtection="0">
      <alignment horizontal="left" vertical="center" indent="1"/>
    </xf>
    <xf numFmtId="4" fontId="45" fillId="106" borderId="109" applyNumberFormat="0" applyProtection="0">
      <alignment horizontal="left" vertical="center" indent="1"/>
    </xf>
    <xf numFmtId="4" fontId="45" fillId="106" borderId="109" applyNumberFormat="0" applyProtection="0">
      <alignment horizontal="left" vertical="center" indent="1"/>
    </xf>
    <xf numFmtId="4" fontId="45" fillId="106" borderId="109" applyNumberFormat="0" applyProtection="0">
      <alignment horizontal="left" vertical="center" indent="1"/>
    </xf>
    <xf numFmtId="4" fontId="18" fillId="106" borderId="106" applyNumberFormat="0" applyProtection="0">
      <alignment horizontal="left" vertical="center" indent="1"/>
    </xf>
    <xf numFmtId="0" fontId="119" fillId="33" borderId="107" applyNumberFormat="0" applyProtection="0">
      <alignment horizontal="left" vertical="top" indent="1"/>
    </xf>
    <xf numFmtId="0" fontId="16" fillId="107" borderId="106" applyNumberFormat="0" applyProtection="0">
      <alignment horizontal="left" vertical="center" indent="1"/>
    </xf>
    <xf numFmtId="4" fontId="45" fillId="51" borderId="109" applyNumberFormat="0" applyProtection="0">
      <alignment horizontal="left" vertical="center" indent="1"/>
    </xf>
    <xf numFmtId="4" fontId="45" fillId="51" borderId="109" applyNumberFormat="0" applyProtection="0">
      <alignment horizontal="left" vertical="center" indent="1"/>
    </xf>
    <xf numFmtId="4" fontId="45" fillId="51" borderId="109" applyNumberFormat="0" applyProtection="0">
      <alignment horizontal="left" vertical="center" indent="1"/>
    </xf>
    <xf numFmtId="4" fontId="18" fillId="108" borderId="106" applyNumberFormat="0" applyProtection="0">
      <alignment horizontal="right" vertical="center"/>
    </xf>
    <xf numFmtId="4" fontId="45" fillId="7" borderId="109" applyNumberFormat="0" applyProtection="0">
      <alignment horizontal="right" vertical="center"/>
    </xf>
    <xf numFmtId="4" fontId="45" fillId="7" borderId="109" applyNumberFormat="0" applyProtection="0">
      <alignment horizontal="right" vertical="center"/>
    </xf>
    <xf numFmtId="4" fontId="45" fillId="7" borderId="109" applyNumberFormat="0" applyProtection="0">
      <alignment horizontal="right" vertical="center"/>
    </xf>
    <xf numFmtId="4" fontId="18" fillId="109" borderId="106" applyNumberFormat="0" applyProtection="0">
      <alignment horizontal="right" vertical="center"/>
    </xf>
    <xf numFmtId="4" fontId="45" fillId="110" borderId="109" applyNumberFormat="0" applyProtection="0">
      <alignment horizontal="right" vertical="center"/>
    </xf>
    <xf numFmtId="4" fontId="45" fillId="110" borderId="109" applyNumberFormat="0" applyProtection="0">
      <alignment horizontal="right" vertical="center"/>
    </xf>
    <xf numFmtId="4" fontId="45" fillId="110" borderId="109" applyNumberFormat="0" applyProtection="0">
      <alignment horizontal="right" vertical="center"/>
    </xf>
    <xf numFmtId="4" fontId="18" fillId="111" borderId="106" applyNumberFormat="0" applyProtection="0">
      <alignment horizontal="right" vertical="center"/>
    </xf>
    <xf numFmtId="4" fontId="45" fillId="34" borderId="110" applyNumberFormat="0" applyProtection="0">
      <alignment horizontal="right" vertical="center"/>
    </xf>
    <xf numFmtId="4" fontId="45" fillId="34" borderId="110" applyNumberFormat="0" applyProtection="0">
      <alignment horizontal="right" vertical="center"/>
    </xf>
    <xf numFmtId="4" fontId="45" fillId="34" borderId="110" applyNumberFormat="0" applyProtection="0">
      <alignment horizontal="right" vertical="center"/>
    </xf>
    <xf numFmtId="4" fontId="18" fillId="112" borderId="106" applyNumberFormat="0" applyProtection="0">
      <alignment horizontal="right" vertical="center"/>
    </xf>
    <xf numFmtId="4" fontId="45" fillId="35" borderId="109" applyNumberFormat="0" applyProtection="0">
      <alignment horizontal="right" vertical="center"/>
    </xf>
    <xf numFmtId="4" fontId="45" fillId="35" borderId="109" applyNumberFormat="0" applyProtection="0">
      <alignment horizontal="right" vertical="center"/>
    </xf>
    <xf numFmtId="4" fontId="45" fillId="35" borderId="109" applyNumberFormat="0" applyProtection="0">
      <alignment horizontal="right" vertical="center"/>
    </xf>
    <xf numFmtId="4" fontId="18" fillId="113" borderId="106" applyNumberFormat="0" applyProtection="0">
      <alignment horizontal="right" vertical="center"/>
    </xf>
    <xf numFmtId="4" fontId="45" fillId="36" borderId="109" applyNumberFormat="0" applyProtection="0">
      <alignment horizontal="right" vertical="center"/>
    </xf>
    <xf numFmtId="4" fontId="45" fillId="36" borderId="109" applyNumberFormat="0" applyProtection="0">
      <alignment horizontal="right" vertical="center"/>
    </xf>
    <xf numFmtId="4" fontId="45" fillId="36" borderId="109" applyNumberFormat="0" applyProtection="0">
      <alignment horizontal="right" vertical="center"/>
    </xf>
    <xf numFmtId="4" fontId="18" fillId="114" borderId="106" applyNumberFormat="0" applyProtection="0">
      <alignment horizontal="right" vertical="center"/>
    </xf>
    <xf numFmtId="4" fontId="45" fillId="37" borderId="109" applyNumberFormat="0" applyProtection="0">
      <alignment horizontal="right" vertical="center"/>
    </xf>
    <xf numFmtId="4" fontId="45" fillId="37" borderId="109" applyNumberFormat="0" applyProtection="0">
      <alignment horizontal="right" vertical="center"/>
    </xf>
    <xf numFmtId="4" fontId="45" fillId="37" borderId="109" applyNumberFormat="0" applyProtection="0">
      <alignment horizontal="right" vertical="center"/>
    </xf>
    <xf numFmtId="4" fontId="18" fillId="115" borderId="106" applyNumberFormat="0" applyProtection="0">
      <alignment horizontal="right" vertical="center"/>
    </xf>
    <xf numFmtId="4" fontId="45" fillId="9" borderId="109" applyNumberFormat="0" applyProtection="0">
      <alignment horizontal="right" vertical="center"/>
    </xf>
    <xf numFmtId="4" fontId="45" fillId="9" borderId="109" applyNumberFormat="0" applyProtection="0">
      <alignment horizontal="right" vertical="center"/>
    </xf>
    <xf numFmtId="4" fontId="45" fillId="9" borderId="109" applyNumberFormat="0" applyProtection="0">
      <alignment horizontal="right" vertical="center"/>
    </xf>
    <xf numFmtId="4" fontId="18" fillId="116" borderId="106" applyNumberFormat="0" applyProtection="0">
      <alignment horizontal="right" vertical="center"/>
    </xf>
    <xf numFmtId="4" fontId="45" fillId="38" borderId="109" applyNumberFormat="0" applyProtection="0">
      <alignment horizontal="right" vertical="center"/>
    </xf>
    <xf numFmtId="4" fontId="45" fillId="38" borderId="109" applyNumberFormat="0" applyProtection="0">
      <alignment horizontal="right" vertical="center"/>
    </xf>
    <xf numFmtId="4" fontId="45" fillId="38" borderId="109" applyNumberFormat="0" applyProtection="0">
      <alignment horizontal="right" vertical="center"/>
    </xf>
    <xf numFmtId="4" fontId="18" fillId="117" borderId="106" applyNumberFormat="0" applyProtection="0">
      <alignment horizontal="right" vertical="center"/>
    </xf>
    <xf numFmtId="4" fontId="45" fillId="39" borderId="109" applyNumberFormat="0" applyProtection="0">
      <alignment horizontal="right" vertical="center"/>
    </xf>
    <xf numFmtId="4" fontId="45" fillId="39" borderId="109" applyNumberFormat="0" applyProtection="0">
      <alignment horizontal="right" vertical="center"/>
    </xf>
    <xf numFmtId="4" fontId="45" fillId="39" borderId="109" applyNumberFormat="0" applyProtection="0">
      <alignment horizontal="right" vertical="center"/>
    </xf>
    <xf numFmtId="4" fontId="37" fillId="118" borderId="106" applyNumberFormat="0" applyProtection="0">
      <alignment horizontal="left" vertical="center" indent="1"/>
    </xf>
    <xf numFmtId="4" fontId="45" fillId="40" borderId="110" applyNumberFormat="0" applyProtection="0">
      <alignment horizontal="left" vertical="center" indent="1"/>
    </xf>
    <xf numFmtId="4" fontId="45" fillId="40" borderId="110" applyNumberFormat="0" applyProtection="0">
      <alignment horizontal="left" vertical="center" indent="1"/>
    </xf>
    <xf numFmtId="4" fontId="45" fillId="40" borderId="110" applyNumberFormat="0" applyProtection="0">
      <alignment horizontal="left" vertical="center" indent="1"/>
    </xf>
    <xf numFmtId="4" fontId="18" fillId="119" borderId="111" applyNumberFormat="0" applyProtection="0">
      <alignment horizontal="left" vertical="center" indent="1"/>
    </xf>
    <xf numFmtId="4" fontId="16" fillId="8" borderId="110" applyNumberFormat="0" applyProtection="0">
      <alignment horizontal="left" vertical="center" indent="1"/>
    </xf>
    <xf numFmtId="4" fontId="16" fillId="8" borderId="110" applyNumberFormat="0" applyProtection="0">
      <alignment horizontal="left" vertical="center" indent="1"/>
    </xf>
    <xf numFmtId="0" fontId="16" fillId="107" borderId="106" applyNumberFormat="0" applyProtection="0">
      <alignment horizontal="left" vertical="center" indent="1"/>
    </xf>
    <xf numFmtId="4" fontId="45" fillId="2" borderId="109" applyNumberFormat="0" applyProtection="0">
      <alignment horizontal="right" vertical="center"/>
    </xf>
    <xf numFmtId="4" fontId="45" fillId="2" borderId="109" applyNumberFormat="0" applyProtection="0">
      <alignment horizontal="right" vertical="center"/>
    </xf>
    <xf numFmtId="4" fontId="45" fillId="2" borderId="109" applyNumberFormat="0" applyProtection="0">
      <alignment horizontal="right" vertical="center"/>
    </xf>
    <xf numFmtId="4" fontId="18" fillId="119" borderId="106" applyNumberFormat="0" applyProtection="0">
      <alignment horizontal="left" vertical="center" indent="1"/>
    </xf>
    <xf numFmtId="4" fontId="45" fillId="41" borderId="110" applyNumberFormat="0" applyProtection="0">
      <alignment horizontal="left" vertical="center" indent="1"/>
    </xf>
    <xf numFmtId="4" fontId="45" fillId="41" borderId="110" applyNumberFormat="0" applyProtection="0">
      <alignment horizontal="left" vertical="center" indent="1"/>
    </xf>
    <xf numFmtId="4" fontId="45" fillId="41" borderId="110" applyNumberFormat="0" applyProtection="0">
      <alignment horizontal="left" vertical="center" indent="1"/>
    </xf>
    <xf numFmtId="4" fontId="18" fillId="46" borderId="106" applyNumberFormat="0" applyProtection="0">
      <alignment horizontal="left" vertical="center" indent="1"/>
    </xf>
    <xf numFmtId="4" fontId="45" fillId="2" borderId="110" applyNumberFormat="0" applyProtection="0">
      <alignment horizontal="left" vertical="center" indent="1"/>
    </xf>
    <xf numFmtId="4" fontId="45" fillId="2" borderId="110" applyNumberFormat="0" applyProtection="0">
      <alignment horizontal="left" vertical="center" indent="1"/>
    </xf>
    <xf numFmtId="4" fontId="45" fillId="2" borderId="110" applyNumberFormat="0" applyProtection="0">
      <alignment horizontal="left" vertical="center" indent="1"/>
    </xf>
    <xf numFmtId="0" fontId="16" fillId="46" borderId="106" applyNumberFormat="0" applyProtection="0">
      <alignment horizontal="left" vertical="center" indent="1"/>
    </xf>
    <xf numFmtId="0" fontId="45" fillId="10" borderId="109" applyNumberFormat="0" applyProtection="0">
      <alignment horizontal="left" vertical="center" indent="1"/>
    </xf>
    <xf numFmtId="0" fontId="45" fillId="10" borderId="109" applyNumberFormat="0" applyProtection="0">
      <alignment horizontal="left" vertical="center" indent="1"/>
    </xf>
    <xf numFmtId="0" fontId="45" fillId="10" borderId="109" applyNumberFormat="0" applyProtection="0">
      <alignment horizontal="left" vertical="center" indent="1"/>
    </xf>
    <xf numFmtId="0" fontId="16" fillId="46" borderId="106" applyNumberFormat="0" applyProtection="0">
      <alignment horizontal="left" vertical="center" indent="1"/>
    </xf>
    <xf numFmtId="0" fontId="45" fillId="8" borderId="107" applyNumberFormat="0" applyProtection="0">
      <alignment horizontal="left" vertical="top" indent="1"/>
    </xf>
    <xf numFmtId="0" fontId="16" fillId="45" borderId="106" applyNumberFormat="0" applyProtection="0">
      <alignment horizontal="left" vertical="center" indent="1"/>
    </xf>
    <xf numFmtId="0" fontId="45" fillId="121" borderId="109" applyNumberFormat="0" applyProtection="0">
      <alignment horizontal="left" vertical="center" indent="1"/>
    </xf>
    <xf numFmtId="0" fontId="45" fillId="121" borderId="109" applyNumberFormat="0" applyProtection="0">
      <alignment horizontal="left" vertical="center" indent="1"/>
    </xf>
    <xf numFmtId="0" fontId="45" fillId="121" borderId="109" applyNumberFormat="0" applyProtection="0">
      <alignment horizontal="left" vertical="center" indent="1"/>
    </xf>
    <xf numFmtId="0" fontId="16" fillId="45" borderId="106" applyNumberFormat="0" applyProtection="0">
      <alignment horizontal="left" vertical="center" indent="1"/>
    </xf>
    <xf numFmtId="0" fontId="45" fillId="2" borderId="107" applyNumberFormat="0" applyProtection="0">
      <alignment horizontal="left" vertical="top" indent="1"/>
    </xf>
    <xf numFmtId="0" fontId="16" fillId="122" borderId="106" applyNumberFormat="0" applyProtection="0">
      <alignment horizontal="left" vertical="center" indent="1"/>
    </xf>
    <xf numFmtId="0" fontId="45" fillId="6" borderId="109" applyNumberFormat="0" applyProtection="0">
      <alignment horizontal="left" vertical="center" indent="1"/>
    </xf>
    <xf numFmtId="0" fontId="45" fillId="6" borderId="109" applyNumberFormat="0" applyProtection="0">
      <alignment horizontal="left" vertical="center" indent="1"/>
    </xf>
    <xf numFmtId="0" fontId="45" fillId="6" borderId="109" applyNumberFormat="0" applyProtection="0">
      <alignment horizontal="left" vertical="center" indent="1"/>
    </xf>
    <xf numFmtId="0" fontId="16" fillId="122" borderId="106" applyNumberFormat="0" applyProtection="0">
      <alignment horizontal="left" vertical="center" indent="1"/>
    </xf>
    <xf numFmtId="0" fontId="45" fillId="6" borderId="107" applyNumberFormat="0" applyProtection="0">
      <alignment horizontal="left" vertical="top" indent="1"/>
    </xf>
    <xf numFmtId="0" fontId="16" fillId="107" borderId="106" applyNumberFormat="0" applyProtection="0">
      <alignment horizontal="left" vertical="center" indent="1"/>
    </xf>
    <xf numFmtId="0" fontId="45" fillId="41" borderId="109" applyNumberFormat="0" applyProtection="0">
      <alignment horizontal="left" vertical="center" indent="1"/>
    </xf>
    <xf numFmtId="0" fontId="45" fillId="41" borderId="109" applyNumberFormat="0" applyProtection="0">
      <alignment horizontal="left" vertical="center" indent="1"/>
    </xf>
    <xf numFmtId="0" fontId="45" fillId="41" borderId="109" applyNumberFormat="0" applyProtection="0">
      <alignment horizontal="left" vertical="center" indent="1"/>
    </xf>
    <xf numFmtId="0" fontId="16" fillId="107" borderId="106" applyNumberFormat="0" applyProtection="0">
      <alignment horizontal="left" vertical="center" indent="1"/>
    </xf>
    <xf numFmtId="0" fontId="45" fillId="41" borderId="107" applyNumberFormat="0" applyProtection="0">
      <alignment horizontal="left" vertical="top" indent="1"/>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20" fillId="8" borderId="112" applyBorder="0"/>
    <xf numFmtId="4" fontId="18" fillId="123" borderId="106" applyNumberFormat="0" applyProtection="0">
      <alignment vertical="center"/>
    </xf>
    <xf numFmtId="4" fontId="121" fillId="4" borderId="107" applyNumberFormat="0" applyProtection="0">
      <alignment vertical="center"/>
    </xf>
    <xf numFmtId="4" fontId="40" fillId="123" borderId="106" applyNumberFormat="0" applyProtection="0">
      <alignment vertical="center"/>
    </xf>
    <xf numFmtId="4" fontId="18" fillId="123" borderId="106" applyNumberFormat="0" applyProtection="0">
      <alignment horizontal="left" vertical="center" indent="1"/>
    </xf>
    <xf numFmtId="4" fontId="121" fillId="10" borderId="107" applyNumberFormat="0" applyProtection="0">
      <alignment horizontal="left" vertical="center" indent="1"/>
    </xf>
    <xf numFmtId="4" fontId="18" fillId="123" borderId="106" applyNumberFormat="0" applyProtection="0">
      <alignment horizontal="left" vertical="center" indent="1"/>
    </xf>
    <xf numFmtId="0" fontId="121" fillId="4" borderId="107" applyNumberFormat="0" applyProtection="0">
      <alignment horizontal="left" vertical="top" indent="1"/>
    </xf>
    <xf numFmtId="4" fontId="18" fillId="119" borderId="106" applyNumberFormat="0" applyProtection="0">
      <alignment horizontal="right" vertical="center"/>
    </xf>
    <xf numFmtId="4" fontId="18" fillId="119" borderId="106" applyNumberFormat="0" applyProtection="0">
      <alignment horizontal="right" vertical="center"/>
    </xf>
    <xf numFmtId="4" fontId="45" fillId="0" borderId="109" applyNumberFormat="0" applyProtection="0">
      <alignment horizontal="right" vertical="center"/>
    </xf>
    <xf numFmtId="4" fontId="45" fillId="0" borderId="109" applyNumberFormat="0" applyProtection="0">
      <alignment horizontal="right" vertical="center"/>
    </xf>
    <xf numFmtId="4" fontId="45" fillId="0" borderId="109" applyNumberFormat="0" applyProtection="0">
      <alignment horizontal="right" vertical="center"/>
    </xf>
    <xf numFmtId="4" fontId="40" fillId="119" borderId="106" applyNumberFormat="0" applyProtection="0">
      <alignment horizontal="right" vertical="center"/>
    </xf>
    <xf numFmtId="4" fontId="118" fillId="43" borderId="109" applyNumberFormat="0" applyProtection="0">
      <alignment horizontal="right" vertical="center"/>
    </xf>
    <xf numFmtId="0" fontId="16" fillId="107" borderId="106" applyNumberFormat="0" applyProtection="0">
      <alignment horizontal="left" vertical="center" indent="1"/>
    </xf>
    <xf numFmtId="4" fontId="45" fillId="51" borderId="109" applyNumberFormat="0" applyProtection="0">
      <alignment horizontal="left" vertical="center" indent="1"/>
    </xf>
    <xf numFmtId="4" fontId="45" fillId="51" borderId="109" applyNumberFormat="0" applyProtection="0">
      <alignment horizontal="left" vertical="center" indent="1"/>
    </xf>
    <xf numFmtId="4" fontId="45" fillId="51" borderId="109" applyNumberFormat="0" applyProtection="0">
      <alignment horizontal="left" vertical="center" indent="1"/>
    </xf>
    <xf numFmtId="0" fontId="16" fillId="107" borderId="106" applyNumberFormat="0" applyProtection="0">
      <alignment horizontal="left" vertical="center" indent="1"/>
    </xf>
    <xf numFmtId="0" fontId="121" fillId="2" borderId="107" applyNumberFormat="0" applyProtection="0">
      <alignment horizontal="left" vertical="top" indent="1"/>
    </xf>
    <xf numFmtId="4" fontId="123" fillId="42" borderId="110" applyNumberFormat="0" applyProtection="0">
      <alignment horizontal="left" vertical="center" indent="1"/>
    </xf>
    <xf numFmtId="4" fontId="42" fillId="119" borderId="106" applyNumberFormat="0" applyProtection="0">
      <alignment horizontal="right" vertical="center"/>
    </xf>
    <xf numFmtId="4" fontId="124" fillId="5" borderId="109" applyNumberFormat="0" applyProtection="0">
      <alignment horizontal="right" vertical="center"/>
    </xf>
    <xf numFmtId="0" fontId="27" fillId="0" borderId="108" applyNumberFormat="0" applyFill="0" applyAlignment="0" applyProtection="0"/>
    <xf numFmtId="0" fontId="27" fillId="0" borderId="113" applyNumberFormat="0" applyFill="0" applyAlignment="0" applyProtection="0"/>
    <xf numFmtId="0" fontId="2" fillId="61" borderId="0" applyNumberFormat="0" applyBorder="0" applyAlignment="0" applyProtection="0"/>
    <xf numFmtId="0" fontId="2" fillId="65" borderId="0" applyNumberFormat="0" applyBorder="0" applyAlignment="0" applyProtection="0"/>
    <xf numFmtId="0" fontId="2" fillId="69" borderId="0" applyNumberFormat="0" applyBorder="0" applyAlignment="0" applyProtection="0"/>
    <xf numFmtId="0" fontId="2" fillId="73" borderId="0" applyNumberFormat="0" applyBorder="0" applyAlignment="0" applyProtection="0"/>
    <xf numFmtId="0" fontId="2" fillId="77" borderId="0" applyNumberFormat="0" applyBorder="0" applyAlignment="0" applyProtection="0"/>
    <xf numFmtId="0" fontId="2" fillId="81" borderId="0" applyNumberFormat="0" applyBorder="0" applyAlignment="0" applyProtection="0"/>
    <xf numFmtId="0" fontId="2" fillId="62" borderId="0" applyNumberFormat="0" applyBorder="0" applyAlignment="0" applyProtection="0"/>
    <xf numFmtId="0" fontId="2" fillId="66" borderId="0" applyNumberFormat="0" applyBorder="0" applyAlignment="0" applyProtection="0"/>
    <xf numFmtId="0" fontId="2" fillId="70" borderId="0" applyNumberFormat="0" applyBorder="0" applyAlignment="0" applyProtection="0"/>
    <xf numFmtId="0" fontId="2" fillId="74" borderId="0" applyNumberFormat="0" applyBorder="0" applyAlignment="0" applyProtection="0"/>
    <xf numFmtId="0" fontId="2" fillId="78" borderId="0" applyNumberFormat="0" applyBorder="0" applyAlignment="0" applyProtection="0"/>
    <xf numFmtId="0" fontId="2" fillId="82" borderId="0" applyNumberFormat="0" applyBorder="0" applyAlignment="0" applyProtection="0"/>
    <xf numFmtId="0" fontId="2" fillId="0" borderId="0"/>
    <xf numFmtId="0" fontId="2" fillId="0" borderId="0"/>
    <xf numFmtId="0" fontId="2" fillId="59" borderId="81" applyNumberFormat="0" applyFont="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61" borderId="0" applyNumberFormat="0" applyBorder="0" applyAlignment="0" applyProtection="0"/>
    <xf numFmtId="0" fontId="2" fillId="61" borderId="0" applyNumberFormat="0" applyBorder="0" applyAlignment="0" applyProtection="0"/>
    <xf numFmtId="0" fontId="2" fillId="61" borderId="0" applyNumberFormat="0" applyBorder="0" applyAlignment="0" applyProtection="0"/>
    <xf numFmtId="0" fontId="2" fillId="65" borderId="0" applyNumberFormat="0" applyBorder="0" applyAlignment="0" applyProtection="0"/>
    <xf numFmtId="0" fontId="2" fillId="65" borderId="0" applyNumberFormat="0" applyBorder="0" applyAlignment="0" applyProtection="0"/>
    <xf numFmtId="0" fontId="2" fillId="65" borderId="0" applyNumberFormat="0" applyBorder="0" applyAlignment="0" applyProtection="0"/>
    <xf numFmtId="0" fontId="2" fillId="69" borderId="0" applyNumberFormat="0" applyBorder="0" applyAlignment="0" applyProtection="0"/>
    <xf numFmtId="0" fontId="2" fillId="69" borderId="0" applyNumberFormat="0" applyBorder="0" applyAlignment="0" applyProtection="0"/>
    <xf numFmtId="0" fontId="2" fillId="69" borderId="0" applyNumberFormat="0" applyBorder="0" applyAlignment="0" applyProtection="0"/>
    <xf numFmtId="0" fontId="2" fillId="73" borderId="0" applyNumberFormat="0" applyBorder="0" applyAlignment="0" applyProtection="0"/>
    <xf numFmtId="0" fontId="2" fillId="73" borderId="0" applyNumberFormat="0" applyBorder="0" applyAlignment="0" applyProtection="0"/>
    <xf numFmtId="0" fontId="2" fillId="73" borderId="0" applyNumberFormat="0" applyBorder="0" applyAlignment="0" applyProtection="0"/>
    <xf numFmtId="0" fontId="2" fillId="77" borderId="0" applyNumberFormat="0" applyBorder="0" applyAlignment="0" applyProtection="0"/>
    <xf numFmtId="0" fontId="2" fillId="77" borderId="0" applyNumberFormat="0" applyBorder="0" applyAlignment="0" applyProtection="0"/>
    <xf numFmtId="0" fontId="2" fillId="77" borderId="0" applyNumberFormat="0" applyBorder="0" applyAlignment="0" applyProtection="0"/>
    <xf numFmtId="0" fontId="2" fillId="81" borderId="0" applyNumberFormat="0" applyBorder="0" applyAlignment="0" applyProtection="0"/>
    <xf numFmtId="0" fontId="2" fillId="81" borderId="0" applyNumberFormat="0" applyBorder="0" applyAlignment="0" applyProtection="0"/>
    <xf numFmtId="0" fontId="2" fillId="81" borderId="0" applyNumberFormat="0" applyBorder="0" applyAlignment="0" applyProtection="0"/>
    <xf numFmtId="0" fontId="2" fillId="62" borderId="0" applyNumberFormat="0" applyBorder="0" applyAlignment="0" applyProtection="0"/>
    <xf numFmtId="0" fontId="2" fillId="62" borderId="0" applyNumberFormat="0" applyBorder="0" applyAlignment="0" applyProtection="0"/>
    <xf numFmtId="0" fontId="2" fillId="62" borderId="0" applyNumberFormat="0" applyBorder="0" applyAlignment="0" applyProtection="0"/>
    <xf numFmtId="0" fontId="2" fillId="66" borderId="0" applyNumberFormat="0" applyBorder="0" applyAlignment="0" applyProtection="0"/>
    <xf numFmtId="0" fontId="2" fillId="66" borderId="0" applyNumberFormat="0" applyBorder="0" applyAlignment="0" applyProtection="0"/>
    <xf numFmtId="0" fontId="2" fillId="66" borderId="0" applyNumberFormat="0" applyBorder="0" applyAlignment="0" applyProtection="0"/>
    <xf numFmtId="0" fontId="2" fillId="70" borderId="0" applyNumberFormat="0" applyBorder="0" applyAlignment="0" applyProtection="0"/>
    <xf numFmtId="0" fontId="2" fillId="70" borderId="0" applyNumberFormat="0" applyBorder="0" applyAlignment="0" applyProtection="0"/>
    <xf numFmtId="0" fontId="2" fillId="70" borderId="0" applyNumberFormat="0" applyBorder="0" applyAlignment="0" applyProtection="0"/>
    <xf numFmtId="0" fontId="2" fillId="74" borderId="0" applyNumberFormat="0" applyBorder="0" applyAlignment="0" applyProtection="0"/>
    <xf numFmtId="0" fontId="2" fillId="74" borderId="0" applyNumberFormat="0" applyBorder="0" applyAlignment="0" applyProtection="0"/>
    <xf numFmtId="0" fontId="2" fillId="74" borderId="0" applyNumberFormat="0" applyBorder="0" applyAlignment="0" applyProtection="0"/>
    <xf numFmtId="0" fontId="2" fillId="78" borderId="0" applyNumberFormat="0" applyBorder="0" applyAlignment="0" applyProtection="0"/>
    <xf numFmtId="0" fontId="2" fillId="78" borderId="0" applyNumberFormat="0" applyBorder="0" applyAlignment="0" applyProtection="0"/>
    <xf numFmtId="0" fontId="2" fillId="78" borderId="0" applyNumberFormat="0" applyBorder="0" applyAlignment="0" applyProtection="0"/>
    <xf numFmtId="0" fontId="2" fillId="82" borderId="0" applyNumberFormat="0" applyBorder="0" applyAlignment="0" applyProtection="0"/>
    <xf numFmtId="0" fontId="2" fillId="82" borderId="0" applyNumberFormat="0" applyBorder="0" applyAlignment="0" applyProtection="0"/>
    <xf numFmtId="0" fontId="2" fillId="82" borderId="0" applyNumberFormat="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61" borderId="0" applyNumberFormat="0" applyBorder="0" applyAlignment="0" applyProtection="0"/>
    <xf numFmtId="0" fontId="2" fillId="65" borderId="0" applyNumberFormat="0" applyBorder="0" applyAlignment="0" applyProtection="0"/>
    <xf numFmtId="0" fontId="2" fillId="69" borderId="0" applyNumberFormat="0" applyBorder="0" applyAlignment="0" applyProtection="0"/>
    <xf numFmtId="0" fontId="2" fillId="73" borderId="0" applyNumberFormat="0" applyBorder="0" applyAlignment="0" applyProtection="0"/>
    <xf numFmtId="0" fontId="2" fillId="77" borderId="0" applyNumberFormat="0" applyBorder="0" applyAlignment="0" applyProtection="0"/>
    <xf numFmtId="0" fontId="2" fillId="81" borderId="0" applyNumberFormat="0" applyBorder="0" applyAlignment="0" applyProtection="0"/>
    <xf numFmtId="0" fontId="2" fillId="62" borderId="0" applyNumberFormat="0" applyBorder="0" applyAlignment="0" applyProtection="0"/>
    <xf numFmtId="0" fontId="2" fillId="66" borderId="0" applyNumberFormat="0" applyBorder="0" applyAlignment="0" applyProtection="0"/>
    <xf numFmtId="0" fontId="2" fillId="70" borderId="0" applyNumberFormat="0" applyBorder="0" applyAlignment="0" applyProtection="0"/>
    <xf numFmtId="0" fontId="2" fillId="74" borderId="0" applyNumberFormat="0" applyBorder="0" applyAlignment="0" applyProtection="0"/>
    <xf numFmtId="0" fontId="2" fillId="78" borderId="0" applyNumberFormat="0" applyBorder="0" applyAlignment="0" applyProtection="0"/>
    <xf numFmtId="0" fontId="2" fillId="82" borderId="0" applyNumberFormat="0" applyBorder="0" applyAlignment="0" applyProtection="0"/>
    <xf numFmtId="0" fontId="2" fillId="0" borderId="0"/>
    <xf numFmtId="0" fontId="2" fillId="0" borderId="0"/>
    <xf numFmtId="0" fontId="2" fillId="59" borderId="81" applyNumberFormat="0" applyFont="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61" borderId="0" applyNumberFormat="0" applyBorder="0" applyAlignment="0" applyProtection="0"/>
    <xf numFmtId="0" fontId="2" fillId="61" borderId="0" applyNumberFormat="0" applyBorder="0" applyAlignment="0" applyProtection="0"/>
    <xf numFmtId="0" fontId="2" fillId="61" borderId="0" applyNumberFormat="0" applyBorder="0" applyAlignment="0" applyProtection="0"/>
    <xf numFmtId="0" fontId="2" fillId="65" borderId="0" applyNumberFormat="0" applyBorder="0" applyAlignment="0" applyProtection="0"/>
    <xf numFmtId="0" fontId="2" fillId="65" borderId="0" applyNumberFormat="0" applyBorder="0" applyAlignment="0" applyProtection="0"/>
    <xf numFmtId="0" fontId="2" fillId="65" borderId="0" applyNumberFormat="0" applyBorder="0" applyAlignment="0" applyProtection="0"/>
    <xf numFmtId="0" fontId="2" fillId="69" borderId="0" applyNumberFormat="0" applyBorder="0" applyAlignment="0" applyProtection="0"/>
    <xf numFmtId="0" fontId="2" fillId="69" borderId="0" applyNumberFormat="0" applyBorder="0" applyAlignment="0" applyProtection="0"/>
    <xf numFmtId="0" fontId="2" fillId="69" borderId="0" applyNumberFormat="0" applyBorder="0" applyAlignment="0" applyProtection="0"/>
    <xf numFmtId="0" fontId="2" fillId="73" borderId="0" applyNumberFormat="0" applyBorder="0" applyAlignment="0" applyProtection="0"/>
    <xf numFmtId="0" fontId="2" fillId="73" borderId="0" applyNumberFormat="0" applyBorder="0" applyAlignment="0" applyProtection="0"/>
    <xf numFmtId="0" fontId="2" fillId="73" borderId="0" applyNumberFormat="0" applyBorder="0" applyAlignment="0" applyProtection="0"/>
    <xf numFmtId="0" fontId="2" fillId="77" borderId="0" applyNumberFormat="0" applyBorder="0" applyAlignment="0" applyProtection="0"/>
    <xf numFmtId="0" fontId="2" fillId="77" borderId="0" applyNumberFormat="0" applyBorder="0" applyAlignment="0" applyProtection="0"/>
    <xf numFmtId="0" fontId="2" fillId="77" borderId="0" applyNumberFormat="0" applyBorder="0" applyAlignment="0" applyProtection="0"/>
    <xf numFmtId="0" fontId="2" fillId="81" borderId="0" applyNumberFormat="0" applyBorder="0" applyAlignment="0" applyProtection="0"/>
    <xf numFmtId="0" fontId="2" fillId="81" borderId="0" applyNumberFormat="0" applyBorder="0" applyAlignment="0" applyProtection="0"/>
    <xf numFmtId="0" fontId="2" fillId="81" borderId="0" applyNumberFormat="0" applyBorder="0" applyAlignment="0" applyProtection="0"/>
    <xf numFmtId="0" fontId="2" fillId="62" borderId="0" applyNumberFormat="0" applyBorder="0" applyAlignment="0" applyProtection="0"/>
    <xf numFmtId="0" fontId="2" fillId="62" borderId="0" applyNumberFormat="0" applyBorder="0" applyAlignment="0" applyProtection="0"/>
    <xf numFmtId="0" fontId="2" fillId="62" borderId="0" applyNumberFormat="0" applyBorder="0" applyAlignment="0" applyProtection="0"/>
    <xf numFmtId="0" fontId="2" fillId="66" borderId="0" applyNumberFormat="0" applyBorder="0" applyAlignment="0" applyProtection="0"/>
    <xf numFmtId="0" fontId="2" fillId="66" borderId="0" applyNumberFormat="0" applyBorder="0" applyAlignment="0" applyProtection="0"/>
    <xf numFmtId="0" fontId="2" fillId="66" borderId="0" applyNumberFormat="0" applyBorder="0" applyAlignment="0" applyProtection="0"/>
    <xf numFmtId="0" fontId="2" fillId="70" borderId="0" applyNumberFormat="0" applyBorder="0" applyAlignment="0" applyProtection="0"/>
    <xf numFmtId="0" fontId="2" fillId="70" borderId="0" applyNumberFormat="0" applyBorder="0" applyAlignment="0" applyProtection="0"/>
    <xf numFmtId="0" fontId="2" fillId="70" borderId="0" applyNumberFormat="0" applyBorder="0" applyAlignment="0" applyProtection="0"/>
    <xf numFmtId="0" fontId="2" fillId="74" borderId="0" applyNumberFormat="0" applyBorder="0" applyAlignment="0" applyProtection="0"/>
    <xf numFmtId="0" fontId="2" fillId="74" borderId="0" applyNumberFormat="0" applyBorder="0" applyAlignment="0" applyProtection="0"/>
    <xf numFmtId="0" fontId="2" fillId="74" borderId="0" applyNumberFormat="0" applyBorder="0" applyAlignment="0" applyProtection="0"/>
    <xf numFmtId="0" fontId="2" fillId="78" borderId="0" applyNumberFormat="0" applyBorder="0" applyAlignment="0" applyProtection="0"/>
    <xf numFmtId="0" fontId="2" fillId="78" borderId="0" applyNumberFormat="0" applyBorder="0" applyAlignment="0" applyProtection="0"/>
    <xf numFmtId="0" fontId="2" fillId="78" borderId="0" applyNumberFormat="0" applyBorder="0" applyAlignment="0" applyProtection="0"/>
    <xf numFmtId="0" fontId="2" fillId="82" borderId="0" applyNumberFormat="0" applyBorder="0" applyAlignment="0" applyProtection="0"/>
    <xf numFmtId="0" fontId="2" fillId="82" borderId="0" applyNumberFormat="0" applyBorder="0" applyAlignment="0" applyProtection="0"/>
    <xf numFmtId="0" fontId="2" fillId="82" borderId="0" applyNumberFormat="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59" borderId="81" applyNumberFormat="0" applyFont="0" applyAlignment="0" applyProtection="0"/>
    <xf numFmtId="0" fontId="2" fillId="61" borderId="0" applyNumberFormat="0" applyBorder="0" applyAlignment="0" applyProtection="0"/>
    <xf numFmtId="0" fontId="2" fillId="62" borderId="0" applyNumberFormat="0" applyBorder="0" applyAlignment="0" applyProtection="0"/>
    <xf numFmtId="0" fontId="2" fillId="65" borderId="0" applyNumberFormat="0" applyBorder="0" applyAlignment="0" applyProtection="0"/>
    <xf numFmtId="0" fontId="2" fillId="66" borderId="0" applyNumberFormat="0" applyBorder="0" applyAlignment="0" applyProtection="0"/>
    <xf numFmtId="0" fontId="2" fillId="69" borderId="0" applyNumberFormat="0" applyBorder="0" applyAlignment="0" applyProtection="0"/>
    <xf numFmtId="0" fontId="2" fillId="70" borderId="0" applyNumberFormat="0" applyBorder="0" applyAlignment="0" applyProtection="0"/>
    <xf numFmtId="0" fontId="2" fillId="73" borderId="0" applyNumberFormat="0" applyBorder="0" applyAlignment="0" applyProtection="0"/>
    <xf numFmtId="0" fontId="2" fillId="74" borderId="0" applyNumberFormat="0" applyBorder="0" applyAlignment="0" applyProtection="0"/>
    <xf numFmtId="0" fontId="2" fillId="77" borderId="0" applyNumberFormat="0" applyBorder="0" applyAlignment="0" applyProtection="0"/>
    <xf numFmtId="0" fontId="2" fillId="78" borderId="0" applyNumberFormat="0" applyBorder="0" applyAlignment="0" applyProtection="0"/>
    <xf numFmtId="0" fontId="2" fillId="81" borderId="0" applyNumberFormat="0" applyBorder="0" applyAlignment="0" applyProtection="0"/>
    <xf numFmtId="0" fontId="2" fillId="82" borderId="0" applyNumberFormat="0" applyBorder="0" applyAlignment="0" applyProtection="0"/>
    <xf numFmtId="0" fontId="2" fillId="59" borderId="81" applyNumberFormat="0" applyFont="0" applyAlignment="0" applyProtection="0"/>
    <xf numFmtId="0" fontId="2" fillId="61" borderId="0" applyNumberFormat="0" applyBorder="0" applyAlignment="0" applyProtection="0"/>
    <xf numFmtId="0" fontId="2" fillId="62" borderId="0" applyNumberFormat="0" applyBorder="0" applyAlignment="0" applyProtection="0"/>
    <xf numFmtId="0" fontId="2" fillId="65" borderId="0" applyNumberFormat="0" applyBorder="0" applyAlignment="0" applyProtection="0"/>
    <xf numFmtId="0" fontId="2" fillId="66" borderId="0" applyNumberFormat="0" applyBorder="0" applyAlignment="0" applyProtection="0"/>
    <xf numFmtId="0" fontId="2" fillId="69" borderId="0" applyNumberFormat="0" applyBorder="0" applyAlignment="0" applyProtection="0"/>
    <xf numFmtId="0" fontId="2" fillId="70" borderId="0" applyNumberFormat="0" applyBorder="0" applyAlignment="0" applyProtection="0"/>
    <xf numFmtId="0" fontId="2" fillId="73" borderId="0" applyNumberFormat="0" applyBorder="0" applyAlignment="0" applyProtection="0"/>
    <xf numFmtId="0" fontId="2" fillId="74" borderId="0" applyNumberFormat="0" applyBorder="0" applyAlignment="0" applyProtection="0"/>
    <xf numFmtId="0" fontId="2" fillId="77" borderId="0" applyNumberFormat="0" applyBorder="0" applyAlignment="0" applyProtection="0"/>
    <xf numFmtId="0" fontId="2" fillId="78" borderId="0" applyNumberFormat="0" applyBorder="0" applyAlignment="0" applyProtection="0"/>
    <xf numFmtId="0" fontId="2" fillId="81" borderId="0" applyNumberFormat="0" applyBorder="0" applyAlignment="0" applyProtection="0"/>
    <xf numFmtId="0" fontId="2" fillId="82" borderId="0" applyNumberFormat="0" applyBorder="0" applyAlignment="0" applyProtection="0"/>
    <xf numFmtId="0" fontId="2" fillId="0" borderId="0"/>
    <xf numFmtId="0" fontId="2" fillId="59" borderId="81" applyNumberFormat="0" applyFont="0" applyAlignment="0" applyProtection="0"/>
    <xf numFmtId="0" fontId="2" fillId="61" borderId="0" applyNumberFormat="0" applyBorder="0" applyAlignment="0" applyProtection="0"/>
    <xf numFmtId="0" fontId="2" fillId="62" borderId="0" applyNumberFormat="0" applyBorder="0" applyAlignment="0" applyProtection="0"/>
    <xf numFmtId="0" fontId="2" fillId="65" borderId="0" applyNumberFormat="0" applyBorder="0" applyAlignment="0" applyProtection="0"/>
    <xf numFmtId="0" fontId="2" fillId="66" borderId="0" applyNumberFormat="0" applyBorder="0" applyAlignment="0" applyProtection="0"/>
    <xf numFmtId="0" fontId="2" fillId="69" borderId="0" applyNumberFormat="0" applyBorder="0" applyAlignment="0" applyProtection="0"/>
    <xf numFmtId="0" fontId="2" fillId="70" borderId="0" applyNumberFormat="0" applyBorder="0" applyAlignment="0" applyProtection="0"/>
    <xf numFmtId="0" fontId="2" fillId="73" borderId="0" applyNumberFormat="0" applyBorder="0" applyAlignment="0" applyProtection="0"/>
    <xf numFmtId="0" fontId="2" fillId="74" borderId="0" applyNumberFormat="0" applyBorder="0" applyAlignment="0" applyProtection="0"/>
    <xf numFmtId="0" fontId="2" fillId="77" borderId="0" applyNumberFormat="0" applyBorder="0" applyAlignment="0" applyProtection="0"/>
    <xf numFmtId="0" fontId="2" fillId="78" borderId="0" applyNumberFormat="0" applyBorder="0" applyAlignment="0" applyProtection="0"/>
    <xf numFmtId="0" fontId="2" fillId="81" borderId="0" applyNumberFormat="0" applyBorder="0" applyAlignment="0" applyProtection="0"/>
    <xf numFmtId="0" fontId="2" fillId="82" borderId="0" applyNumberFormat="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59" borderId="81" applyNumberFormat="0" applyFont="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59" borderId="81" applyNumberFormat="0" applyFont="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8" fillId="4" borderId="105" applyNumberFormat="0" applyFont="0" applyAlignment="0" applyProtection="0"/>
    <xf numFmtId="0" fontId="2" fillId="0" borderId="0"/>
    <xf numFmtId="44" fontId="2" fillId="0" borderId="0" applyFont="0" applyFill="0" applyBorder="0" applyAlignment="0" applyProtection="0"/>
    <xf numFmtId="0" fontId="2" fillId="0" borderId="0"/>
    <xf numFmtId="0" fontId="2" fillId="59" borderId="81" applyNumberFormat="0" applyFont="0" applyAlignment="0" applyProtection="0"/>
    <xf numFmtId="0" fontId="2" fillId="0" borderId="0"/>
    <xf numFmtId="0" fontId="2" fillId="0" borderId="0"/>
    <xf numFmtId="0" fontId="2" fillId="0" borderId="0"/>
    <xf numFmtId="0" fontId="2" fillId="61" borderId="0" applyNumberFormat="0" applyBorder="0" applyAlignment="0" applyProtection="0"/>
    <xf numFmtId="0" fontId="2" fillId="61" borderId="0" applyNumberFormat="0" applyBorder="0" applyAlignment="0" applyProtection="0"/>
    <xf numFmtId="0" fontId="2" fillId="61" borderId="0" applyNumberFormat="0" applyBorder="0" applyAlignment="0" applyProtection="0"/>
    <xf numFmtId="0" fontId="2" fillId="61" borderId="0" applyNumberFormat="0" applyBorder="0" applyAlignment="0" applyProtection="0"/>
    <xf numFmtId="0" fontId="2" fillId="61" borderId="0" applyNumberFormat="0" applyBorder="0" applyAlignment="0" applyProtection="0"/>
    <xf numFmtId="0" fontId="2" fillId="61" borderId="0" applyNumberFormat="0" applyBorder="0" applyAlignment="0" applyProtection="0"/>
    <xf numFmtId="0" fontId="2" fillId="61" borderId="0" applyNumberFormat="0" applyBorder="0" applyAlignment="0" applyProtection="0"/>
    <xf numFmtId="0" fontId="2" fillId="65" borderId="0" applyNumberFormat="0" applyBorder="0" applyAlignment="0" applyProtection="0"/>
    <xf numFmtId="0" fontId="2" fillId="65" borderId="0" applyNumberFormat="0" applyBorder="0" applyAlignment="0" applyProtection="0"/>
    <xf numFmtId="0" fontId="2" fillId="65" borderId="0" applyNumberFormat="0" applyBorder="0" applyAlignment="0" applyProtection="0"/>
    <xf numFmtId="0" fontId="2" fillId="65" borderId="0" applyNumberFormat="0" applyBorder="0" applyAlignment="0" applyProtection="0"/>
    <xf numFmtId="0" fontId="2" fillId="65" borderId="0" applyNumberFormat="0" applyBorder="0" applyAlignment="0" applyProtection="0"/>
    <xf numFmtId="0" fontId="2" fillId="65" borderId="0" applyNumberFormat="0" applyBorder="0" applyAlignment="0" applyProtection="0"/>
    <xf numFmtId="0" fontId="2" fillId="65" borderId="0" applyNumberFormat="0" applyBorder="0" applyAlignment="0" applyProtection="0"/>
    <xf numFmtId="0" fontId="2" fillId="69" borderId="0" applyNumberFormat="0" applyBorder="0" applyAlignment="0" applyProtection="0"/>
    <xf numFmtId="0" fontId="2" fillId="69" borderId="0" applyNumberFormat="0" applyBorder="0" applyAlignment="0" applyProtection="0"/>
    <xf numFmtId="0" fontId="2" fillId="69" borderId="0" applyNumberFormat="0" applyBorder="0" applyAlignment="0" applyProtection="0"/>
    <xf numFmtId="0" fontId="2" fillId="69" borderId="0" applyNumberFormat="0" applyBorder="0" applyAlignment="0" applyProtection="0"/>
    <xf numFmtId="0" fontId="2" fillId="69" borderId="0" applyNumberFormat="0" applyBorder="0" applyAlignment="0" applyProtection="0"/>
    <xf numFmtId="0" fontId="2" fillId="69" borderId="0" applyNumberFormat="0" applyBorder="0" applyAlignment="0" applyProtection="0"/>
    <xf numFmtId="0" fontId="2" fillId="69" borderId="0" applyNumberFormat="0" applyBorder="0" applyAlignment="0" applyProtection="0"/>
    <xf numFmtId="0" fontId="2" fillId="73" borderId="0" applyNumberFormat="0" applyBorder="0" applyAlignment="0" applyProtection="0"/>
    <xf numFmtId="0" fontId="2" fillId="73" borderId="0" applyNumberFormat="0" applyBorder="0" applyAlignment="0" applyProtection="0"/>
    <xf numFmtId="0" fontId="2" fillId="73" borderId="0" applyNumberFormat="0" applyBorder="0" applyAlignment="0" applyProtection="0"/>
    <xf numFmtId="0" fontId="2" fillId="73" borderId="0" applyNumberFormat="0" applyBorder="0" applyAlignment="0" applyProtection="0"/>
    <xf numFmtId="0" fontId="2" fillId="73" borderId="0" applyNumberFormat="0" applyBorder="0" applyAlignment="0" applyProtection="0"/>
    <xf numFmtId="0" fontId="2" fillId="73" borderId="0" applyNumberFormat="0" applyBorder="0" applyAlignment="0" applyProtection="0"/>
    <xf numFmtId="0" fontId="2" fillId="73" borderId="0" applyNumberFormat="0" applyBorder="0" applyAlignment="0" applyProtection="0"/>
    <xf numFmtId="0" fontId="2" fillId="77" borderId="0" applyNumberFormat="0" applyBorder="0" applyAlignment="0" applyProtection="0"/>
    <xf numFmtId="0" fontId="2" fillId="77" borderId="0" applyNumberFormat="0" applyBorder="0" applyAlignment="0" applyProtection="0"/>
    <xf numFmtId="0" fontId="2" fillId="77" borderId="0" applyNumberFormat="0" applyBorder="0" applyAlignment="0" applyProtection="0"/>
    <xf numFmtId="0" fontId="2" fillId="77" borderId="0" applyNumberFormat="0" applyBorder="0" applyAlignment="0" applyProtection="0"/>
    <xf numFmtId="0" fontId="2" fillId="77" borderId="0" applyNumberFormat="0" applyBorder="0" applyAlignment="0" applyProtection="0"/>
    <xf numFmtId="0" fontId="2" fillId="77" borderId="0" applyNumberFormat="0" applyBorder="0" applyAlignment="0" applyProtection="0"/>
    <xf numFmtId="0" fontId="2" fillId="77" borderId="0" applyNumberFormat="0" applyBorder="0" applyAlignment="0" applyProtection="0"/>
    <xf numFmtId="0" fontId="2" fillId="81" borderId="0" applyNumberFormat="0" applyBorder="0" applyAlignment="0" applyProtection="0"/>
    <xf numFmtId="0" fontId="2" fillId="81" borderId="0" applyNumberFormat="0" applyBorder="0" applyAlignment="0" applyProtection="0"/>
    <xf numFmtId="0" fontId="2" fillId="81" borderId="0" applyNumberFormat="0" applyBorder="0" applyAlignment="0" applyProtection="0"/>
    <xf numFmtId="0" fontId="2" fillId="81" borderId="0" applyNumberFormat="0" applyBorder="0" applyAlignment="0" applyProtection="0"/>
    <xf numFmtId="0" fontId="2" fillId="81" borderId="0" applyNumberFormat="0" applyBorder="0" applyAlignment="0" applyProtection="0"/>
    <xf numFmtId="0" fontId="2" fillId="81" borderId="0" applyNumberFormat="0" applyBorder="0" applyAlignment="0" applyProtection="0"/>
    <xf numFmtId="0" fontId="2" fillId="81" borderId="0" applyNumberFormat="0" applyBorder="0" applyAlignment="0" applyProtection="0"/>
    <xf numFmtId="0" fontId="2" fillId="62" borderId="0" applyNumberFormat="0" applyBorder="0" applyAlignment="0" applyProtection="0"/>
    <xf numFmtId="0" fontId="2" fillId="62" borderId="0" applyNumberFormat="0" applyBorder="0" applyAlignment="0" applyProtection="0"/>
    <xf numFmtId="0" fontId="2" fillId="62" borderId="0" applyNumberFormat="0" applyBorder="0" applyAlignment="0" applyProtection="0"/>
    <xf numFmtId="0" fontId="2" fillId="62" borderId="0" applyNumberFormat="0" applyBorder="0" applyAlignment="0" applyProtection="0"/>
    <xf numFmtId="0" fontId="2" fillId="62" borderId="0" applyNumberFormat="0" applyBorder="0" applyAlignment="0" applyProtection="0"/>
    <xf numFmtId="0" fontId="2" fillId="62" borderId="0" applyNumberFormat="0" applyBorder="0" applyAlignment="0" applyProtection="0"/>
    <xf numFmtId="0" fontId="2" fillId="62" borderId="0" applyNumberFormat="0" applyBorder="0" applyAlignment="0" applyProtection="0"/>
    <xf numFmtId="0" fontId="2" fillId="66" borderId="0" applyNumberFormat="0" applyBorder="0" applyAlignment="0" applyProtection="0"/>
    <xf numFmtId="0" fontId="2" fillId="66" borderId="0" applyNumberFormat="0" applyBorder="0" applyAlignment="0" applyProtection="0"/>
    <xf numFmtId="0" fontId="2" fillId="66" borderId="0" applyNumberFormat="0" applyBorder="0" applyAlignment="0" applyProtection="0"/>
    <xf numFmtId="0" fontId="2" fillId="66" borderId="0" applyNumberFormat="0" applyBorder="0" applyAlignment="0" applyProtection="0"/>
    <xf numFmtId="0" fontId="2" fillId="66" borderId="0" applyNumberFormat="0" applyBorder="0" applyAlignment="0" applyProtection="0"/>
    <xf numFmtId="0" fontId="2" fillId="66" borderId="0" applyNumberFormat="0" applyBorder="0" applyAlignment="0" applyProtection="0"/>
    <xf numFmtId="0" fontId="2" fillId="66" borderId="0" applyNumberFormat="0" applyBorder="0" applyAlignment="0" applyProtection="0"/>
    <xf numFmtId="0" fontId="2" fillId="70" borderId="0" applyNumberFormat="0" applyBorder="0" applyAlignment="0" applyProtection="0"/>
    <xf numFmtId="0" fontId="2" fillId="70" borderId="0" applyNumberFormat="0" applyBorder="0" applyAlignment="0" applyProtection="0"/>
    <xf numFmtId="0" fontId="2" fillId="70" borderId="0" applyNumberFormat="0" applyBorder="0" applyAlignment="0" applyProtection="0"/>
    <xf numFmtId="0" fontId="2" fillId="70" borderId="0" applyNumberFormat="0" applyBorder="0" applyAlignment="0" applyProtection="0"/>
    <xf numFmtId="0" fontId="2" fillId="70" borderId="0" applyNumberFormat="0" applyBorder="0" applyAlignment="0" applyProtection="0"/>
    <xf numFmtId="0" fontId="2" fillId="70" borderId="0" applyNumberFormat="0" applyBorder="0" applyAlignment="0" applyProtection="0"/>
    <xf numFmtId="0" fontId="2" fillId="70" borderId="0" applyNumberFormat="0" applyBorder="0" applyAlignment="0" applyProtection="0"/>
    <xf numFmtId="0" fontId="2" fillId="74" borderId="0" applyNumberFormat="0" applyBorder="0" applyAlignment="0" applyProtection="0"/>
    <xf numFmtId="0" fontId="2" fillId="74" borderId="0" applyNumberFormat="0" applyBorder="0" applyAlignment="0" applyProtection="0"/>
    <xf numFmtId="0" fontId="2" fillId="74" borderId="0" applyNumberFormat="0" applyBorder="0" applyAlignment="0" applyProtection="0"/>
    <xf numFmtId="0" fontId="2" fillId="74" borderId="0" applyNumberFormat="0" applyBorder="0" applyAlignment="0" applyProtection="0"/>
    <xf numFmtId="0" fontId="2" fillId="74" borderId="0" applyNumberFormat="0" applyBorder="0" applyAlignment="0" applyProtection="0"/>
    <xf numFmtId="0" fontId="2" fillId="74" borderId="0" applyNumberFormat="0" applyBorder="0" applyAlignment="0" applyProtection="0"/>
    <xf numFmtId="0" fontId="2" fillId="74" borderId="0" applyNumberFormat="0" applyBorder="0" applyAlignment="0" applyProtection="0"/>
    <xf numFmtId="0" fontId="2" fillId="78" borderId="0" applyNumberFormat="0" applyBorder="0" applyAlignment="0" applyProtection="0"/>
    <xf numFmtId="0" fontId="2" fillId="78" borderId="0" applyNumberFormat="0" applyBorder="0" applyAlignment="0" applyProtection="0"/>
    <xf numFmtId="0" fontId="2" fillId="78" borderId="0" applyNumberFormat="0" applyBorder="0" applyAlignment="0" applyProtection="0"/>
    <xf numFmtId="0" fontId="2" fillId="78" borderId="0" applyNumberFormat="0" applyBorder="0" applyAlignment="0" applyProtection="0"/>
    <xf numFmtId="0" fontId="2" fillId="78" borderId="0" applyNumberFormat="0" applyBorder="0" applyAlignment="0" applyProtection="0"/>
    <xf numFmtId="0" fontId="2" fillId="78" borderId="0" applyNumberFormat="0" applyBorder="0" applyAlignment="0" applyProtection="0"/>
    <xf numFmtId="0" fontId="2" fillId="78" borderId="0" applyNumberFormat="0" applyBorder="0" applyAlignment="0" applyProtection="0"/>
    <xf numFmtId="0" fontId="2" fillId="82" borderId="0" applyNumberFormat="0" applyBorder="0" applyAlignment="0" applyProtection="0"/>
    <xf numFmtId="0" fontId="2" fillId="82" borderId="0" applyNumberFormat="0" applyBorder="0" applyAlignment="0" applyProtection="0"/>
    <xf numFmtId="0" fontId="2" fillId="82" borderId="0" applyNumberFormat="0" applyBorder="0" applyAlignment="0" applyProtection="0"/>
    <xf numFmtId="0" fontId="2" fillId="82" borderId="0" applyNumberFormat="0" applyBorder="0" applyAlignment="0" applyProtection="0"/>
    <xf numFmtId="0" fontId="2" fillId="82" borderId="0" applyNumberFormat="0" applyBorder="0" applyAlignment="0" applyProtection="0"/>
    <xf numFmtId="0" fontId="2" fillId="82" borderId="0" applyNumberFormat="0" applyBorder="0" applyAlignment="0" applyProtection="0"/>
    <xf numFmtId="0" fontId="2" fillId="82" borderId="0" applyNumberFormat="0" applyBorder="0" applyAlignment="0" applyProtection="0"/>
    <xf numFmtId="44"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59" borderId="81" applyNumberFormat="0" applyFont="0" applyAlignment="0" applyProtection="0"/>
    <xf numFmtId="0" fontId="2" fillId="59" borderId="81" applyNumberFormat="0" applyFont="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61" borderId="0" applyNumberFormat="0" applyBorder="0" applyAlignment="0" applyProtection="0"/>
    <xf numFmtId="0" fontId="2" fillId="62" borderId="0" applyNumberFormat="0" applyBorder="0" applyAlignment="0" applyProtection="0"/>
    <xf numFmtId="0" fontId="2" fillId="65" borderId="0" applyNumberFormat="0" applyBorder="0" applyAlignment="0" applyProtection="0"/>
    <xf numFmtId="0" fontId="2" fillId="66" borderId="0" applyNumberFormat="0" applyBorder="0" applyAlignment="0" applyProtection="0"/>
    <xf numFmtId="0" fontId="2" fillId="69" borderId="0" applyNumberFormat="0" applyBorder="0" applyAlignment="0" applyProtection="0"/>
    <xf numFmtId="0" fontId="2" fillId="70" borderId="0" applyNumberFormat="0" applyBorder="0" applyAlignment="0" applyProtection="0"/>
    <xf numFmtId="0" fontId="2" fillId="73" borderId="0" applyNumberFormat="0" applyBorder="0" applyAlignment="0" applyProtection="0"/>
    <xf numFmtId="0" fontId="2" fillId="74" borderId="0" applyNumberFormat="0" applyBorder="0" applyAlignment="0" applyProtection="0"/>
    <xf numFmtId="0" fontId="2" fillId="77" borderId="0" applyNumberFormat="0" applyBorder="0" applyAlignment="0" applyProtection="0"/>
    <xf numFmtId="0" fontId="2" fillId="78" borderId="0" applyNumberFormat="0" applyBorder="0" applyAlignment="0" applyProtection="0"/>
    <xf numFmtId="0" fontId="2" fillId="81" borderId="0" applyNumberFormat="0" applyBorder="0" applyAlignment="0" applyProtection="0"/>
    <xf numFmtId="0" fontId="2" fillId="82" borderId="0" applyNumberFormat="0" applyBorder="0" applyAlignment="0" applyProtection="0"/>
    <xf numFmtId="0" fontId="2" fillId="61" borderId="0" applyNumberFormat="0" applyBorder="0" applyAlignment="0" applyProtection="0"/>
    <xf numFmtId="0" fontId="2" fillId="65" borderId="0" applyNumberFormat="0" applyBorder="0" applyAlignment="0" applyProtection="0"/>
    <xf numFmtId="0" fontId="2" fillId="69" borderId="0" applyNumberFormat="0" applyBorder="0" applyAlignment="0" applyProtection="0"/>
    <xf numFmtId="0" fontId="2" fillId="73" borderId="0" applyNumberFormat="0" applyBorder="0" applyAlignment="0" applyProtection="0"/>
    <xf numFmtId="0" fontId="2" fillId="77" borderId="0" applyNumberFormat="0" applyBorder="0" applyAlignment="0" applyProtection="0"/>
    <xf numFmtId="0" fontId="2" fillId="81" borderId="0" applyNumberFormat="0" applyBorder="0" applyAlignment="0" applyProtection="0"/>
    <xf numFmtId="0" fontId="2" fillId="62" borderId="0" applyNumberFormat="0" applyBorder="0" applyAlignment="0" applyProtection="0"/>
    <xf numFmtId="0" fontId="2" fillId="66" borderId="0" applyNumberFormat="0" applyBorder="0" applyAlignment="0" applyProtection="0"/>
    <xf numFmtId="0" fontId="2" fillId="70" borderId="0" applyNumberFormat="0" applyBorder="0" applyAlignment="0" applyProtection="0"/>
    <xf numFmtId="0" fontId="2" fillId="74" borderId="0" applyNumberFormat="0" applyBorder="0" applyAlignment="0" applyProtection="0"/>
    <xf numFmtId="0" fontId="2" fillId="78" borderId="0" applyNumberFormat="0" applyBorder="0" applyAlignment="0" applyProtection="0"/>
    <xf numFmtId="0" fontId="2" fillId="82" borderId="0" applyNumberFormat="0" applyBorder="0" applyAlignment="0" applyProtection="0"/>
    <xf numFmtId="0" fontId="2" fillId="0" borderId="0"/>
    <xf numFmtId="0" fontId="2" fillId="0" borderId="0"/>
    <xf numFmtId="0" fontId="2" fillId="59" borderId="81" applyNumberFormat="0" applyFont="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61" borderId="0" applyNumberFormat="0" applyBorder="0" applyAlignment="0" applyProtection="0"/>
    <xf numFmtId="0" fontId="2" fillId="61" borderId="0" applyNumberFormat="0" applyBorder="0" applyAlignment="0" applyProtection="0"/>
    <xf numFmtId="0" fontId="2" fillId="61" borderId="0" applyNumberFormat="0" applyBorder="0" applyAlignment="0" applyProtection="0"/>
    <xf numFmtId="0" fontId="2" fillId="65" borderId="0" applyNumberFormat="0" applyBorder="0" applyAlignment="0" applyProtection="0"/>
    <xf numFmtId="0" fontId="2" fillId="65" borderId="0" applyNumberFormat="0" applyBorder="0" applyAlignment="0" applyProtection="0"/>
    <xf numFmtId="0" fontId="2" fillId="65" borderId="0" applyNumberFormat="0" applyBorder="0" applyAlignment="0" applyProtection="0"/>
    <xf numFmtId="0" fontId="2" fillId="69" borderId="0" applyNumberFormat="0" applyBorder="0" applyAlignment="0" applyProtection="0"/>
    <xf numFmtId="0" fontId="2" fillId="69" borderId="0" applyNumberFormat="0" applyBorder="0" applyAlignment="0" applyProtection="0"/>
    <xf numFmtId="0" fontId="2" fillId="69" borderId="0" applyNumberFormat="0" applyBorder="0" applyAlignment="0" applyProtection="0"/>
    <xf numFmtId="0" fontId="2" fillId="73" borderId="0" applyNumberFormat="0" applyBorder="0" applyAlignment="0" applyProtection="0"/>
    <xf numFmtId="0" fontId="2" fillId="73" borderId="0" applyNumberFormat="0" applyBorder="0" applyAlignment="0" applyProtection="0"/>
    <xf numFmtId="0" fontId="2" fillId="73" borderId="0" applyNumberFormat="0" applyBorder="0" applyAlignment="0" applyProtection="0"/>
    <xf numFmtId="0" fontId="2" fillId="77" borderId="0" applyNumberFormat="0" applyBorder="0" applyAlignment="0" applyProtection="0"/>
    <xf numFmtId="0" fontId="2" fillId="77" borderId="0" applyNumberFormat="0" applyBorder="0" applyAlignment="0" applyProtection="0"/>
    <xf numFmtId="0" fontId="2" fillId="77" borderId="0" applyNumberFormat="0" applyBorder="0" applyAlignment="0" applyProtection="0"/>
    <xf numFmtId="0" fontId="2" fillId="81" borderId="0" applyNumberFormat="0" applyBorder="0" applyAlignment="0" applyProtection="0"/>
    <xf numFmtId="0" fontId="2" fillId="81" borderId="0" applyNumberFormat="0" applyBorder="0" applyAlignment="0" applyProtection="0"/>
    <xf numFmtId="0" fontId="2" fillId="81" borderId="0" applyNumberFormat="0" applyBorder="0" applyAlignment="0" applyProtection="0"/>
    <xf numFmtId="0" fontId="2" fillId="62" borderId="0" applyNumberFormat="0" applyBorder="0" applyAlignment="0" applyProtection="0"/>
    <xf numFmtId="0" fontId="2" fillId="62" borderId="0" applyNumberFormat="0" applyBorder="0" applyAlignment="0" applyProtection="0"/>
    <xf numFmtId="0" fontId="2" fillId="62" borderId="0" applyNumberFormat="0" applyBorder="0" applyAlignment="0" applyProtection="0"/>
    <xf numFmtId="0" fontId="2" fillId="66" borderId="0" applyNumberFormat="0" applyBorder="0" applyAlignment="0" applyProtection="0"/>
    <xf numFmtId="0" fontId="2" fillId="66" borderId="0" applyNumberFormat="0" applyBorder="0" applyAlignment="0" applyProtection="0"/>
    <xf numFmtId="0" fontId="2" fillId="66" borderId="0" applyNumberFormat="0" applyBorder="0" applyAlignment="0" applyProtection="0"/>
    <xf numFmtId="0" fontId="2" fillId="70" borderId="0" applyNumberFormat="0" applyBorder="0" applyAlignment="0" applyProtection="0"/>
    <xf numFmtId="0" fontId="2" fillId="70" borderId="0" applyNumberFormat="0" applyBorder="0" applyAlignment="0" applyProtection="0"/>
    <xf numFmtId="0" fontId="2" fillId="70" borderId="0" applyNumberFormat="0" applyBorder="0" applyAlignment="0" applyProtection="0"/>
    <xf numFmtId="0" fontId="2" fillId="74" borderId="0" applyNumberFormat="0" applyBorder="0" applyAlignment="0" applyProtection="0"/>
    <xf numFmtId="0" fontId="2" fillId="74" borderId="0" applyNumberFormat="0" applyBorder="0" applyAlignment="0" applyProtection="0"/>
    <xf numFmtId="0" fontId="2" fillId="74" borderId="0" applyNumberFormat="0" applyBorder="0" applyAlignment="0" applyProtection="0"/>
    <xf numFmtId="0" fontId="2" fillId="78" borderId="0" applyNumberFormat="0" applyBorder="0" applyAlignment="0" applyProtection="0"/>
    <xf numFmtId="0" fontId="2" fillId="78" borderId="0" applyNumberFormat="0" applyBorder="0" applyAlignment="0" applyProtection="0"/>
    <xf numFmtId="0" fontId="2" fillId="78" borderId="0" applyNumberFormat="0" applyBorder="0" applyAlignment="0" applyProtection="0"/>
    <xf numFmtId="0" fontId="2" fillId="82" borderId="0" applyNumberFormat="0" applyBorder="0" applyAlignment="0" applyProtection="0"/>
    <xf numFmtId="0" fontId="2" fillId="82" borderId="0" applyNumberFormat="0" applyBorder="0" applyAlignment="0" applyProtection="0"/>
    <xf numFmtId="0" fontId="2" fillId="82" borderId="0" applyNumberFormat="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61" borderId="0" applyNumberFormat="0" applyBorder="0" applyAlignment="0" applyProtection="0"/>
    <xf numFmtId="0" fontId="2" fillId="65" borderId="0" applyNumberFormat="0" applyBorder="0" applyAlignment="0" applyProtection="0"/>
    <xf numFmtId="0" fontId="2" fillId="69" borderId="0" applyNumberFormat="0" applyBorder="0" applyAlignment="0" applyProtection="0"/>
    <xf numFmtId="0" fontId="2" fillId="73" borderId="0" applyNumberFormat="0" applyBorder="0" applyAlignment="0" applyProtection="0"/>
    <xf numFmtId="0" fontId="2" fillId="77" borderId="0" applyNumberFormat="0" applyBorder="0" applyAlignment="0" applyProtection="0"/>
    <xf numFmtId="0" fontId="2" fillId="81" borderId="0" applyNumberFormat="0" applyBorder="0" applyAlignment="0" applyProtection="0"/>
    <xf numFmtId="0" fontId="2" fillId="62" borderId="0" applyNumberFormat="0" applyBorder="0" applyAlignment="0" applyProtection="0"/>
    <xf numFmtId="0" fontId="2" fillId="66" borderId="0" applyNumberFormat="0" applyBorder="0" applyAlignment="0" applyProtection="0"/>
    <xf numFmtId="0" fontId="2" fillId="70" borderId="0" applyNumberFormat="0" applyBorder="0" applyAlignment="0" applyProtection="0"/>
    <xf numFmtId="0" fontId="2" fillId="74" borderId="0" applyNumberFormat="0" applyBorder="0" applyAlignment="0" applyProtection="0"/>
    <xf numFmtId="0" fontId="2" fillId="78" borderId="0" applyNumberFormat="0" applyBorder="0" applyAlignment="0" applyProtection="0"/>
    <xf numFmtId="0" fontId="2" fillId="82" borderId="0" applyNumberFormat="0" applyBorder="0" applyAlignment="0" applyProtection="0"/>
    <xf numFmtId="0" fontId="2" fillId="0" borderId="0"/>
    <xf numFmtId="0" fontId="2" fillId="0" borderId="0"/>
    <xf numFmtId="0" fontId="2" fillId="59" borderId="81" applyNumberFormat="0" applyFont="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61" borderId="0" applyNumberFormat="0" applyBorder="0" applyAlignment="0" applyProtection="0"/>
    <xf numFmtId="0" fontId="2" fillId="61" borderId="0" applyNumberFormat="0" applyBorder="0" applyAlignment="0" applyProtection="0"/>
    <xf numFmtId="0" fontId="2" fillId="61" borderId="0" applyNumberFormat="0" applyBorder="0" applyAlignment="0" applyProtection="0"/>
    <xf numFmtId="0" fontId="2" fillId="65" borderId="0" applyNumberFormat="0" applyBorder="0" applyAlignment="0" applyProtection="0"/>
    <xf numFmtId="0" fontId="2" fillId="65" borderId="0" applyNumberFormat="0" applyBorder="0" applyAlignment="0" applyProtection="0"/>
    <xf numFmtId="0" fontId="2" fillId="65" borderId="0" applyNumberFormat="0" applyBorder="0" applyAlignment="0" applyProtection="0"/>
    <xf numFmtId="0" fontId="2" fillId="69" borderId="0" applyNumberFormat="0" applyBorder="0" applyAlignment="0" applyProtection="0"/>
    <xf numFmtId="0" fontId="2" fillId="69" borderId="0" applyNumberFormat="0" applyBorder="0" applyAlignment="0" applyProtection="0"/>
    <xf numFmtId="0" fontId="2" fillId="69" borderId="0" applyNumberFormat="0" applyBorder="0" applyAlignment="0" applyProtection="0"/>
    <xf numFmtId="0" fontId="2" fillId="73" borderId="0" applyNumberFormat="0" applyBorder="0" applyAlignment="0" applyProtection="0"/>
    <xf numFmtId="0" fontId="2" fillId="73" borderId="0" applyNumberFormat="0" applyBorder="0" applyAlignment="0" applyProtection="0"/>
    <xf numFmtId="0" fontId="2" fillId="73" borderId="0" applyNumberFormat="0" applyBorder="0" applyAlignment="0" applyProtection="0"/>
    <xf numFmtId="0" fontId="2" fillId="77" borderId="0" applyNumberFormat="0" applyBorder="0" applyAlignment="0" applyProtection="0"/>
    <xf numFmtId="0" fontId="2" fillId="77" borderId="0" applyNumberFormat="0" applyBorder="0" applyAlignment="0" applyProtection="0"/>
    <xf numFmtId="0" fontId="2" fillId="77" borderId="0" applyNumberFormat="0" applyBorder="0" applyAlignment="0" applyProtection="0"/>
    <xf numFmtId="0" fontId="2" fillId="81" borderId="0" applyNumberFormat="0" applyBorder="0" applyAlignment="0" applyProtection="0"/>
    <xf numFmtId="0" fontId="2" fillId="81" borderId="0" applyNumberFormat="0" applyBorder="0" applyAlignment="0" applyProtection="0"/>
    <xf numFmtId="0" fontId="2" fillId="81" borderId="0" applyNumberFormat="0" applyBorder="0" applyAlignment="0" applyProtection="0"/>
    <xf numFmtId="0" fontId="2" fillId="62" borderId="0" applyNumberFormat="0" applyBorder="0" applyAlignment="0" applyProtection="0"/>
    <xf numFmtId="0" fontId="2" fillId="62" borderId="0" applyNumberFormat="0" applyBorder="0" applyAlignment="0" applyProtection="0"/>
    <xf numFmtId="0" fontId="2" fillId="62" borderId="0" applyNumberFormat="0" applyBorder="0" applyAlignment="0" applyProtection="0"/>
    <xf numFmtId="0" fontId="2" fillId="66" borderId="0" applyNumberFormat="0" applyBorder="0" applyAlignment="0" applyProtection="0"/>
    <xf numFmtId="0" fontId="2" fillId="66" borderId="0" applyNumberFormat="0" applyBorder="0" applyAlignment="0" applyProtection="0"/>
    <xf numFmtId="0" fontId="2" fillId="66" borderId="0" applyNumberFormat="0" applyBorder="0" applyAlignment="0" applyProtection="0"/>
    <xf numFmtId="0" fontId="2" fillId="70" borderId="0" applyNumberFormat="0" applyBorder="0" applyAlignment="0" applyProtection="0"/>
    <xf numFmtId="0" fontId="2" fillId="70" borderId="0" applyNumberFormat="0" applyBorder="0" applyAlignment="0" applyProtection="0"/>
    <xf numFmtId="0" fontId="2" fillId="70" borderId="0" applyNumberFormat="0" applyBorder="0" applyAlignment="0" applyProtection="0"/>
    <xf numFmtId="0" fontId="2" fillId="74" borderId="0" applyNumberFormat="0" applyBorder="0" applyAlignment="0" applyProtection="0"/>
    <xf numFmtId="0" fontId="2" fillId="74" borderId="0" applyNumberFormat="0" applyBorder="0" applyAlignment="0" applyProtection="0"/>
    <xf numFmtId="0" fontId="2" fillId="74" borderId="0" applyNumberFormat="0" applyBorder="0" applyAlignment="0" applyProtection="0"/>
    <xf numFmtId="0" fontId="2" fillId="78" borderId="0" applyNumberFormat="0" applyBorder="0" applyAlignment="0" applyProtection="0"/>
    <xf numFmtId="0" fontId="2" fillId="78" borderId="0" applyNumberFormat="0" applyBorder="0" applyAlignment="0" applyProtection="0"/>
    <xf numFmtId="0" fontId="2" fillId="78" borderId="0" applyNumberFormat="0" applyBorder="0" applyAlignment="0" applyProtection="0"/>
    <xf numFmtId="0" fontId="2" fillId="82" borderId="0" applyNumberFormat="0" applyBorder="0" applyAlignment="0" applyProtection="0"/>
    <xf numFmtId="0" fontId="2" fillId="82" borderId="0" applyNumberFormat="0" applyBorder="0" applyAlignment="0" applyProtection="0"/>
    <xf numFmtId="0" fontId="2" fillId="82" borderId="0" applyNumberFormat="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59" borderId="81" applyNumberFormat="0" applyFont="0" applyAlignment="0" applyProtection="0"/>
    <xf numFmtId="0" fontId="2" fillId="61" borderId="0" applyNumberFormat="0" applyBorder="0" applyAlignment="0" applyProtection="0"/>
    <xf numFmtId="0" fontId="2" fillId="62" borderId="0" applyNumberFormat="0" applyBorder="0" applyAlignment="0" applyProtection="0"/>
    <xf numFmtId="0" fontId="2" fillId="65" borderId="0" applyNumberFormat="0" applyBorder="0" applyAlignment="0" applyProtection="0"/>
    <xf numFmtId="0" fontId="2" fillId="66" borderId="0" applyNumberFormat="0" applyBorder="0" applyAlignment="0" applyProtection="0"/>
    <xf numFmtId="0" fontId="2" fillId="69" borderId="0" applyNumberFormat="0" applyBorder="0" applyAlignment="0" applyProtection="0"/>
    <xf numFmtId="0" fontId="2" fillId="70" borderId="0" applyNumberFormat="0" applyBorder="0" applyAlignment="0" applyProtection="0"/>
    <xf numFmtId="0" fontId="2" fillId="73" borderId="0" applyNumberFormat="0" applyBorder="0" applyAlignment="0" applyProtection="0"/>
    <xf numFmtId="0" fontId="2" fillId="74" borderId="0" applyNumberFormat="0" applyBorder="0" applyAlignment="0" applyProtection="0"/>
    <xf numFmtId="0" fontId="2" fillId="77" borderId="0" applyNumberFormat="0" applyBorder="0" applyAlignment="0" applyProtection="0"/>
    <xf numFmtId="0" fontId="2" fillId="78" borderId="0" applyNumberFormat="0" applyBorder="0" applyAlignment="0" applyProtection="0"/>
    <xf numFmtId="0" fontId="2" fillId="81" borderId="0" applyNumberFormat="0" applyBorder="0" applyAlignment="0" applyProtection="0"/>
    <xf numFmtId="0" fontId="2" fillId="82" borderId="0" applyNumberFormat="0" applyBorder="0" applyAlignment="0" applyProtection="0"/>
    <xf numFmtId="0" fontId="2" fillId="59" borderId="81" applyNumberFormat="0" applyFont="0" applyAlignment="0" applyProtection="0"/>
    <xf numFmtId="43" fontId="2" fillId="0" borderId="0" applyFont="0" applyFill="0" applyBorder="0" applyAlignment="0" applyProtection="0"/>
    <xf numFmtId="4" fontId="45" fillId="0" borderId="109" applyNumberFormat="0" applyProtection="0">
      <alignment horizontal="right" vertical="center"/>
    </xf>
    <xf numFmtId="4" fontId="18" fillId="123" borderId="106" applyNumberFormat="0" applyProtection="0">
      <alignment vertical="center"/>
    </xf>
    <xf numFmtId="4" fontId="45" fillId="34" borderId="110" applyNumberFormat="0" applyProtection="0">
      <alignment horizontal="right" vertical="center"/>
    </xf>
    <xf numFmtId="4" fontId="45" fillId="40" borderId="110" applyNumberFormat="0" applyProtection="0">
      <alignment horizontal="left" vertical="center" indent="1"/>
    </xf>
    <xf numFmtId="4" fontId="45" fillId="37" borderId="109" applyNumberFormat="0" applyProtection="0">
      <alignment horizontal="right" vertical="center"/>
    </xf>
    <xf numFmtId="4" fontId="40" fillId="106" borderId="106" applyNumberFormat="0" applyProtection="0">
      <alignment vertical="center"/>
    </xf>
    <xf numFmtId="0" fontId="16" fillId="107" borderId="106" applyNumberFormat="0" applyProtection="0">
      <alignment horizontal="left" vertical="center" indent="1"/>
    </xf>
    <xf numFmtId="4" fontId="45" fillId="37" borderId="109" applyNumberFormat="0" applyProtection="0">
      <alignment horizontal="right" vertical="center"/>
    </xf>
    <xf numFmtId="4" fontId="45" fillId="0" borderId="109" applyNumberFormat="0" applyProtection="0">
      <alignment horizontal="right" vertical="center"/>
    </xf>
    <xf numFmtId="0" fontId="45" fillId="41" borderId="109" applyNumberFormat="0" applyProtection="0">
      <alignment horizontal="left" vertical="center" indent="1"/>
    </xf>
    <xf numFmtId="0" fontId="16" fillId="46" borderId="106" applyNumberFormat="0" applyProtection="0">
      <alignment horizontal="left" vertical="center" indent="1"/>
    </xf>
    <xf numFmtId="4" fontId="18" fillId="106" borderId="106" applyNumberFormat="0" applyProtection="0">
      <alignment horizontal="left" vertical="center" indent="1"/>
    </xf>
    <xf numFmtId="4" fontId="18" fillId="119" borderId="111" applyNumberFormat="0" applyProtection="0">
      <alignment horizontal="left" vertical="center" indent="1"/>
    </xf>
    <xf numFmtId="0" fontId="45" fillId="10" borderId="109" applyNumberFormat="0" applyProtection="0">
      <alignment horizontal="left" vertical="center" indent="1"/>
    </xf>
    <xf numFmtId="4" fontId="45" fillId="35" borderId="109" applyNumberFormat="0" applyProtection="0">
      <alignment horizontal="right" vertical="center"/>
    </xf>
    <xf numFmtId="0" fontId="119" fillId="33" borderId="107" applyNumberFormat="0" applyProtection="0">
      <alignment horizontal="left" vertical="top" indent="1"/>
    </xf>
    <xf numFmtId="0" fontId="120" fillId="8" borderId="112" applyBorder="0"/>
    <xf numFmtId="0" fontId="45" fillId="121" borderId="109" applyNumberFormat="0" applyProtection="0">
      <alignment horizontal="left" vertical="center" indent="1"/>
    </xf>
    <xf numFmtId="0" fontId="45" fillId="41" borderId="107" applyNumberFormat="0" applyProtection="0">
      <alignment horizontal="left" vertical="top" indent="1"/>
    </xf>
    <xf numFmtId="4" fontId="45" fillId="39" borderId="109" applyNumberFormat="0" applyProtection="0">
      <alignment horizontal="right" vertical="center"/>
    </xf>
    <xf numFmtId="4" fontId="45" fillId="35" borderId="109" applyNumberFormat="0" applyProtection="0">
      <alignment horizontal="right" vertical="center"/>
    </xf>
    <xf numFmtId="0" fontId="45" fillId="10" borderId="109" applyNumberFormat="0" applyProtection="0">
      <alignment horizontal="left" vertical="center" indent="1"/>
    </xf>
    <xf numFmtId="4" fontId="18" fillId="113" borderId="106" applyNumberFormat="0" applyProtection="0">
      <alignment horizontal="right" vertical="center"/>
    </xf>
    <xf numFmtId="0" fontId="45" fillId="10" borderId="109" applyNumberFormat="0" applyProtection="0">
      <alignment horizontal="left" vertical="center" indent="1"/>
    </xf>
    <xf numFmtId="4" fontId="124" fillId="5" borderId="109" applyNumberFormat="0" applyProtection="0">
      <alignment horizontal="right" vertical="center"/>
    </xf>
    <xf numFmtId="4" fontId="18" fillId="117" borderId="106" applyNumberFormat="0" applyProtection="0">
      <alignment horizontal="right" vertical="center"/>
    </xf>
    <xf numFmtId="4" fontId="45" fillId="33" borderId="109" applyNumberFormat="0" applyProtection="0">
      <alignment vertical="center"/>
    </xf>
    <xf numFmtId="4" fontId="45" fillId="37" borderId="109" applyNumberFormat="0" applyProtection="0">
      <alignment horizontal="right" vertical="center"/>
    </xf>
    <xf numFmtId="0" fontId="45" fillId="121" borderId="109" applyNumberFormat="0" applyProtection="0">
      <alignment horizontal="left" vertical="center" indent="1"/>
    </xf>
    <xf numFmtId="4" fontId="18" fillId="46" borderId="106" applyNumberFormat="0" applyProtection="0">
      <alignment horizontal="left" vertical="center" indent="1"/>
    </xf>
    <xf numFmtId="4" fontId="45" fillId="37" borderId="109" applyNumberFormat="0" applyProtection="0">
      <alignment horizontal="right" vertical="center"/>
    </xf>
    <xf numFmtId="4" fontId="37" fillId="118" borderId="106" applyNumberFormat="0" applyProtection="0">
      <alignment horizontal="left" vertical="center" indent="1"/>
    </xf>
    <xf numFmtId="4" fontId="45" fillId="9" borderId="109" applyNumberFormat="0" applyProtection="0">
      <alignment horizontal="right" vertical="center"/>
    </xf>
    <xf numFmtId="0" fontId="45" fillId="6" borderId="109" applyNumberFormat="0" applyProtection="0">
      <alignment horizontal="left" vertical="center" indent="1"/>
    </xf>
    <xf numFmtId="0" fontId="121" fillId="4" borderId="107" applyNumberFormat="0" applyProtection="0">
      <alignment horizontal="left" vertical="top" indent="1"/>
    </xf>
    <xf numFmtId="4" fontId="45" fillId="41" borderId="110" applyNumberFormat="0" applyProtection="0">
      <alignment horizontal="left" vertical="center" indent="1"/>
    </xf>
    <xf numFmtId="0" fontId="45" fillId="124" borderId="114"/>
    <xf numFmtId="4" fontId="45" fillId="51" borderId="109" applyNumberFormat="0" applyProtection="0">
      <alignment horizontal="left" vertical="center" indent="1"/>
    </xf>
    <xf numFmtId="0" fontId="36" fillId="10" borderId="106" applyNumberFormat="0" applyAlignment="0" applyProtection="0"/>
    <xf numFmtId="0" fontId="18" fillId="4" borderId="105" applyNumberFormat="0" applyFont="0" applyAlignment="0" applyProtection="0"/>
    <xf numFmtId="4" fontId="18" fillId="112" borderId="106" applyNumberFormat="0" applyProtection="0">
      <alignment horizontal="right" vertical="center"/>
    </xf>
    <xf numFmtId="0" fontId="16" fillId="45" borderId="106" applyNumberFormat="0" applyProtection="0">
      <alignment horizontal="left" vertical="center" indent="1"/>
    </xf>
    <xf numFmtId="0" fontId="16" fillId="46" borderId="106" applyNumberFormat="0" applyProtection="0">
      <alignment horizontal="left" vertical="center" indent="1"/>
    </xf>
    <xf numFmtId="4" fontId="45" fillId="38" borderId="109" applyNumberFormat="0" applyProtection="0">
      <alignment horizontal="right" vertical="center"/>
    </xf>
    <xf numFmtId="4" fontId="18" fillId="108" borderId="106" applyNumberFormat="0" applyProtection="0">
      <alignment horizontal="right" vertical="center"/>
    </xf>
    <xf numFmtId="4" fontId="45" fillId="51" borderId="109" applyNumberFormat="0" applyProtection="0">
      <alignment horizontal="left" vertical="center" indent="1"/>
    </xf>
    <xf numFmtId="0" fontId="45" fillId="41" borderId="109" applyNumberFormat="0" applyProtection="0">
      <alignment horizontal="left" vertical="center" indent="1"/>
    </xf>
    <xf numFmtId="4" fontId="45" fillId="2" borderId="109" applyNumberFormat="0" applyProtection="0">
      <alignment horizontal="right" vertical="center"/>
    </xf>
    <xf numFmtId="0" fontId="16" fillId="107" borderId="106" applyNumberFormat="0" applyProtection="0">
      <alignment horizontal="left" vertical="center" indent="1"/>
    </xf>
    <xf numFmtId="4" fontId="18" fillId="109" borderId="106" applyNumberFormat="0" applyProtection="0">
      <alignment horizontal="right" vertical="center"/>
    </xf>
    <xf numFmtId="0" fontId="45" fillId="6" borderId="109" applyNumberFormat="0" applyProtection="0">
      <alignment horizontal="left" vertical="center" indent="1"/>
    </xf>
    <xf numFmtId="4" fontId="45" fillId="51" borderId="109" applyNumberFormat="0" applyProtection="0">
      <alignment horizontal="left" vertical="center" indent="1"/>
    </xf>
    <xf numFmtId="4" fontId="45" fillId="41" borderId="110" applyNumberFormat="0" applyProtection="0">
      <alignment horizontal="left" vertical="center" indent="1"/>
    </xf>
    <xf numFmtId="0" fontId="16" fillId="107" borderId="106" applyNumberFormat="0" applyProtection="0">
      <alignment horizontal="left" vertical="center" indent="1"/>
    </xf>
    <xf numFmtId="4" fontId="18" fillId="119" borderId="106" applyNumberFormat="0" applyProtection="0">
      <alignment horizontal="right" vertical="center"/>
    </xf>
    <xf numFmtId="4" fontId="40" fillId="106" borderId="106" applyNumberFormat="0" applyProtection="0">
      <alignment vertical="center"/>
    </xf>
    <xf numFmtId="4" fontId="18" fillId="119" borderId="106" applyNumberFormat="0" applyProtection="0">
      <alignment horizontal="right" vertical="center"/>
    </xf>
    <xf numFmtId="4" fontId="45" fillId="40" borderId="110" applyNumberFormat="0" applyProtection="0">
      <alignment horizontal="left" vertical="center" indent="1"/>
    </xf>
    <xf numFmtId="0" fontId="45" fillId="2" borderId="107" applyNumberFormat="0" applyProtection="0">
      <alignment horizontal="left" vertical="top" indent="1"/>
    </xf>
    <xf numFmtId="4" fontId="45" fillId="33" borderId="109" applyNumberFormat="0" applyProtection="0">
      <alignment vertical="center"/>
    </xf>
    <xf numFmtId="4" fontId="118" fillId="123" borderId="114" applyNumberFormat="0" applyProtection="0">
      <alignment vertical="center"/>
    </xf>
    <xf numFmtId="0" fontId="121" fillId="2" borderId="107" applyNumberFormat="0" applyProtection="0">
      <alignment horizontal="left" vertical="top" indent="1"/>
    </xf>
    <xf numFmtId="4" fontId="45" fillId="37" borderId="109" applyNumberFormat="0" applyProtection="0">
      <alignment horizontal="right" vertical="center"/>
    </xf>
    <xf numFmtId="0" fontId="109" fillId="101" borderId="109" applyNumberFormat="0" applyAlignment="0" applyProtection="0"/>
    <xf numFmtId="4" fontId="45" fillId="51" borderId="109" applyNumberFormat="0" applyProtection="0">
      <alignment horizontal="left" vertical="center" indent="1"/>
    </xf>
    <xf numFmtId="4" fontId="40" fillId="123" borderId="106" applyNumberFormat="0" applyProtection="0">
      <alignment vertical="center"/>
    </xf>
    <xf numFmtId="4" fontId="45" fillId="33" borderId="109" applyNumberFormat="0" applyProtection="0">
      <alignment vertical="center"/>
    </xf>
    <xf numFmtId="0" fontId="16" fillId="107" borderId="106" applyNumberFormat="0" applyProtection="0">
      <alignment horizontal="left" vertical="center" indent="1"/>
    </xf>
    <xf numFmtId="4" fontId="45" fillId="40" borderId="110" applyNumberFormat="0" applyProtection="0">
      <alignment horizontal="left" vertical="center" indent="1"/>
    </xf>
    <xf numFmtId="4" fontId="18" fillId="119" borderId="106" applyNumberFormat="0" applyProtection="0">
      <alignment horizontal="right" vertical="center"/>
    </xf>
    <xf numFmtId="0" fontId="16" fillId="107" borderId="106" applyNumberFormat="0" applyProtection="0">
      <alignment horizontal="left" vertical="center" indent="1"/>
    </xf>
    <xf numFmtId="4" fontId="45" fillId="39" borderId="109" applyNumberFormat="0" applyProtection="0">
      <alignment horizontal="right" vertical="center"/>
    </xf>
    <xf numFmtId="0" fontId="33" fillId="27" borderId="109" applyNumberFormat="0" applyAlignment="0" applyProtection="0"/>
    <xf numFmtId="4" fontId="18" fillId="112" borderId="106" applyNumberFormat="0" applyProtection="0">
      <alignment horizontal="right" vertical="center"/>
    </xf>
    <xf numFmtId="4" fontId="45" fillId="38" borderId="109" applyNumberFormat="0" applyProtection="0">
      <alignment horizontal="right" vertical="center"/>
    </xf>
    <xf numFmtId="4" fontId="45" fillId="106" borderId="109" applyNumberFormat="0" applyProtection="0">
      <alignment horizontal="left" vertical="center" indent="1"/>
    </xf>
    <xf numFmtId="4" fontId="45" fillId="36" borderId="109" applyNumberFormat="0" applyProtection="0">
      <alignment horizontal="right" vertical="center"/>
    </xf>
    <xf numFmtId="4" fontId="45" fillId="41" borderId="110" applyNumberFormat="0" applyProtection="0">
      <alignment horizontal="left" vertical="center" indent="1"/>
    </xf>
    <xf numFmtId="4" fontId="45" fillId="110" borderId="109" applyNumberFormat="0" applyProtection="0">
      <alignment horizontal="right" vertical="center"/>
    </xf>
    <xf numFmtId="4" fontId="45" fillId="2" borderId="110" applyNumberFormat="0" applyProtection="0">
      <alignment horizontal="left" vertical="center" indent="1"/>
    </xf>
    <xf numFmtId="4" fontId="45" fillId="39" borderId="109" applyNumberFormat="0" applyProtection="0">
      <alignment horizontal="right" vertical="center"/>
    </xf>
    <xf numFmtId="4" fontId="45" fillId="41" borderId="110" applyNumberFormat="0" applyProtection="0">
      <alignment horizontal="left" vertical="center" indent="1"/>
    </xf>
    <xf numFmtId="4" fontId="18" fillId="106" borderId="106" applyNumberFormat="0" applyProtection="0">
      <alignment horizontal="left" vertical="center" indent="1"/>
    </xf>
    <xf numFmtId="4" fontId="18" fillId="115" borderId="106" applyNumberFormat="0" applyProtection="0">
      <alignment horizontal="right" vertical="center"/>
    </xf>
    <xf numFmtId="4" fontId="18" fillId="106" borderId="106" applyNumberFormat="0" applyProtection="0">
      <alignment horizontal="left" vertical="center" indent="1"/>
    </xf>
    <xf numFmtId="4" fontId="45" fillId="38" borderId="109" applyNumberFormat="0" applyProtection="0">
      <alignment horizontal="right" vertical="center"/>
    </xf>
    <xf numFmtId="4" fontId="45" fillId="2" borderId="110" applyNumberFormat="0" applyProtection="0">
      <alignment horizontal="left" vertical="center" indent="1"/>
    </xf>
    <xf numFmtId="4" fontId="45" fillId="35" borderId="109" applyNumberFormat="0" applyProtection="0">
      <alignment horizontal="right" vertical="center"/>
    </xf>
    <xf numFmtId="0" fontId="45" fillId="2" borderId="107" applyNumberFormat="0" applyProtection="0">
      <alignment horizontal="left" vertical="top" indent="1"/>
    </xf>
    <xf numFmtId="4" fontId="45" fillId="7" borderId="109" applyNumberFormat="0" applyProtection="0">
      <alignment horizontal="right" vertical="center"/>
    </xf>
    <xf numFmtId="0" fontId="36" fillId="10" borderId="106" applyNumberFormat="0" applyAlignment="0" applyProtection="0"/>
    <xf numFmtId="4" fontId="45" fillId="51" borderId="109" applyNumberFormat="0" applyProtection="0">
      <alignment horizontal="left" vertical="center" indent="1"/>
    </xf>
    <xf numFmtId="4" fontId="45" fillId="40" borderId="110" applyNumberFormat="0" applyProtection="0">
      <alignment horizontal="left" vertical="center" indent="1"/>
    </xf>
    <xf numFmtId="0" fontId="45" fillId="41" borderId="107" applyNumberFormat="0" applyProtection="0">
      <alignment horizontal="left" vertical="top" indent="1"/>
    </xf>
    <xf numFmtId="4" fontId="45" fillId="37" borderId="109" applyNumberFormat="0" applyProtection="0">
      <alignment horizontal="right" vertical="center"/>
    </xf>
    <xf numFmtId="0" fontId="16" fillId="122" borderId="106" applyNumberFormat="0" applyProtection="0">
      <alignment horizontal="left" vertical="center" indent="1"/>
    </xf>
    <xf numFmtId="0" fontId="36" fillId="101" borderId="106" applyNumberFormat="0" applyAlignment="0" applyProtection="0"/>
    <xf numFmtId="0" fontId="110" fillId="10" borderId="104" applyNumberFormat="0" applyAlignment="0" applyProtection="0"/>
    <xf numFmtId="4" fontId="18" fillId="123" borderId="106" applyNumberFormat="0" applyProtection="0">
      <alignment horizontal="left" vertical="center" indent="1"/>
    </xf>
    <xf numFmtId="4" fontId="45" fillId="34" borderId="110" applyNumberFormat="0" applyProtection="0">
      <alignment horizontal="right" vertical="center"/>
    </xf>
    <xf numFmtId="4" fontId="18" fillId="46" borderId="106" applyNumberFormat="0" applyProtection="0">
      <alignment horizontal="left" vertical="center" indent="1"/>
    </xf>
    <xf numFmtId="4" fontId="121" fillId="10" borderId="107" applyNumberFormat="0" applyProtection="0">
      <alignment horizontal="left" vertical="center" indent="1"/>
    </xf>
    <xf numFmtId="4" fontId="45" fillId="41" borderId="110" applyNumberFormat="0" applyProtection="0">
      <alignment horizontal="left" vertical="center" indent="1"/>
    </xf>
    <xf numFmtId="0" fontId="45" fillId="41" borderId="109" applyNumberFormat="0" applyProtection="0">
      <alignment horizontal="left" vertical="center" indent="1"/>
    </xf>
    <xf numFmtId="4" fontId="123" fillId="42" borderId="110" applyNumberFormat="0" applyProtection="0">
      <alignment horizontal="left" vertical="center" indent="1"/>
    </xf>
    <xf numFmtId="4" fontId="45" fillId="51" borderId="109" applyNumberFormat="0" applyProtection="0">
      <alignment horizontal="left" vertical="center" indent="1"/>
    </xf>
    <xf numFmtId="0" fontId="16" fillId="107" borderId="106" applyNumberFormat="0" applyProtection="0">
      <alignment horizontal="left" vertical="center" indent="1"/>
    </xf>
    <xf numFmtId="0" fontId="45" fillId="124" borderId="114"/>
    <xf numFmtId="0" fontId="45" fillId="6" borderId="109" applyNumberFormat="0" applyProtection="0">
      <alignment horizontal="left" vertical="center" indent="1"/>
    </xf>
    <xf numFmtId="0" fontId="16" fillId="107" borderId="106" applyNumberFormat="0" applyProtection="0">
      <alignment horizontal="left" vertical="center" indent="1"/>
    </xf>
    <xf numFmtId="4" fontId="45" fillId="38" borderId="109" applyNumberFormat="0" applyProtection="0">
      <alignment horizontal="right" vertical="center"/>
    </xf>
    <xf numFmtId="4" fontId="45" fillId="2" borderId="109" applyNumberFormat="0" applyProtection="0">
      <alignment horizontal="right" vertical="center"/>
    </xf>
    <xf numFmtId="4" fontId="18" fillId="111" borderId="106" applyNumberFormat="0" applyProtection="0">
      <alignment horizontal="right" vertical="center"/>
    </xf>
    <xf numFmtId="4" fontId="45" fillId="35" borderId="109" applyNumberFormat="0" applyProtection="0">
      <alignment horizontal="right" vertical="center"/>
    </xf>
    <xf numFmtId="4" fontId="18" fillId="119" borderId="106" applyNumberFormat="0" applyProtection="0">
      <alignment horizontal="left" vertical="center" indent="1"/>
    </xf>
    <xf numFmtId="4" fontId="18" fillId="119" borderId="106" applyNumberFormat="0" applyProtection="0">
      <alignment horizontal="right" vertical="center"/>
    </xf>
    <xf numFmtId="0" fontId="18" fillId="4" borderId="105" applyNumberFormat="0" applyFont="0" applyAlignment="0" applyProtection="0"/>
    <xf numFmtId="0" fontId="45" fillId="6" borderId="107" applyNumberFormat="0" applyProtection="0">
      <alignment horizontal="left" vertical="top" indent="1"/>
    </xf>
    <xf numFmtId="0" fontId="27" fillId="0" borderId="113" applyNumberFormat="0" applyFill="0" applyAlignment="0" applyProtection="0"/>
    <xf numFmtId="0" fontId="45" fillId="10" borderId="109" applyNumberFormat="0" applyProtection="0">
      <alignment horizontal="left" vertical="center" indent="1"/>
    </xf>
    <xf numFmtId="4" fontId="18" fillId="117" borderId="106" applyNumberFormat="0" applyProtection="0">
      <alignment horizontal="right" vertical="center"/>
    </xf>
    <xf numFmtId="4" fontId="18" fillId="123" borderId="106" applyNumberFormat="0" applyProtection="0">
      <alignment vertical="center"/>
    </xf>
    <xf numFmtId="4" fontId="45" fillId="51" borderId="109" applyNumberFormat="0" applyProtection="0">
      <alignment horizontal="left" vertical="center" indent="1"/>
    </xf>
    <xf numFmtId="0" fontId="16" fillId="122" borderId="106" applyNumberFormat="0" applyProtection="0">
      <alignment horizontal="left" vertical="center" indent="1"/>
    </xf>
    <xf numFmtId="4" fontId="45" fillId="9" borderId="109" applyNumberFormat="0" applyProtection="0">
      <alignment horizontal="right" vertical="center"/>
    </xf>
    <xf numFmtId="4" fontId="18" fillId="114" borderId="106" applyNumberFormat="0" applyProtection="0">
      <alignment horizontal="right" vertical="center"/>
    </xf>
    <xf numFmtId="4" fontId="45" fillId="36" borderId="109" applyNumberFormat="0" applyProtection="0">
      <alignment horizontal="right" vertical="center"/>
    </xf>
    <xf numFmtId="4" fontId="45" fillId="34" borderId="110" applyNumberFormat="0" applyProtection="0">
      <alignment horizontal="right" vertical="center"/>
    </xf>
    <xf numFmtId="0" fontId="27" fillId="0" borderId="108" applyNumberFormat="0" applyFill="0" applyAlignment="0" applyProtection="0"/>
    <xf numFmtId="4" fontId="45" fillId="7" borderId="109" applyNumberFormat="0" applyProtection="0">
      <alignment horizontal="right" vertical="center"/>
    </xf>
    <xf numFmtId="4" fontId="45" fillId="40" borderId="110" applyNumberFormat="0" applyProtection="0">
      <alignment horizontal="left" vertical="center" indent="1"/>
    </xf>
    <xf numFmtId="4" fontId="45" fillId="110" borderId="109" applyNumberFormat="0" applyProtection="0">
      <alignment horizontal="right" vertical="center"/>
    </xf>
    <xf numFmtId="4" fontId="45" fillId="7" borderId="109" applyNumberFormat="0" applyProtection="0">
      <alignment horizontal="right" vertical="center"/>
    </xf>
    <xf numFmtId="4" fontId="45" fillId="51" borderId="109" applyNumberFormat="0" applyProtection="0">
      <alignment horizontal="left" vertical="center" indent="1"/>
    </xf>
    <xf numFmtId="4" fontId="45" fillId="110" borderId="109" applyNumberFormat="0" applyProtection="0">
      <alignment horizontal="right" vertical="center"/>
    </xf>
    <xf numFmtId="0" fontId="45" fillId="121" borderId="109" applyNumberFormat="0" applyProtection="0">
      <alignment horizontal="left" vertical="center" indent="1"/>
    </xf>
    <xf numFmtId="4" fontId="45" fillId="51" borderId="109" applyNumberFormat="0" applyProtection="0">
      <alignment horizontal="left" vertical="center" indent="1"/>
    </xf>
    <xf numFmtId="4" fontId="45" fillId="36" borderId="109" applyNumberFormat="0" applyProtection="0">
      <alignment horizontal="right" vertical="center"/>
    </xf>
    <xf numFmtId="4" fontId="45" fillId="2" borderId="109" applyNumberFormat="0" applyProtection="0">
      <alignment horizontal="right" vertical="center"/>
    </xf>
    <xf numFmtId="4" fontId="45" fillId="51" borderId="109" applyNumberFormat="0" applyProtection="0">
      <alignment horizontal="left" vertical="center" indent="1"/>
    </xf>
    <xf numFmtId="0" fontId="121" fillId="4" borderId="107" applyNumberFormat="0" applyProtection="0">
      <alignment horizontal="left" vertical="top" indent="1"/>
    </xf>
    <xf numFmtId="0" fontId="16" fillId="107" borderId="106" applyNumberFormat="0" applyProtection="0">
      <alignment horizontal="left" vertical="center" indent="1"/>
    </xf>
    <xf numFmtId="4" fontId="45" fillId="36" borderId="109" applyNumberFormat="0" applyProtection="0">
      <alignment horizontal="right" vertical="center"/>
    </xf>
    <xf numFmtId="4" fontId="45" fillId="35" borderId="109" applyNumberFormat="0" applyProtection="0">
      <alignment horizontal="right" vertical="center"/>
    </xf>
    <xf numFmtId="0" fontId="45" fillId="121" borderId="109" applyNumberFormat="0" applyProtection="0">
      <alignment horizontal="left" vertical="center" indent="1"/>
    </xf>
    <xf numFmtId="0" fontId="45" fillId="6" borderId="109" applyNumberFormat="0" applyProtection="0">
      <alignment horizontal="left" vertical="center" indent="1"/>
    </xf>
    <xf numFmtId="4" fontId="118" fillId="106" borderId="109" applyNumberFormat="0" applyProtection="0">
      <alignment vertical="center"/>
    </xf>
    <xf numFmtId="4" fontId="45" fillId="33" borderId="109" applyNumberFormat="0" applyProtection="0">
      <alignment vertical="center"/>
    </xf>
    <xf numFmtId="4" fontId="118" fillId="106" borderId="109" applyNumberFormat="0" applyProtection="0">
      <alignment vertical="center"/>
    </xf>
    <xf numFmtId="0" fontId="16" fillId="46" borderId="106" applyNumberFormat="0" applyProtection="0">
      <alignment horizontal="left" vertical="center" indent="1"/>
    </xf>
    <xf numFmtId="4" fontId="45" fillId="34" borderId="110" applyNumberFormat="0" applyProtection="0">
      <alignment horizontal="right" vertical="center"/>
    </xf>
    <xf numFmtId="4" fontId="45" fillId="106" borderId="109" applyNumberFormat="0" applyProtection="0">
      <alignment horizontal="left" vertical="center" indent="1"/>
    </xf>
    <xf numFmtId="4" fontId="16" fillId="8" borderId="110" applyNumberFormat="0" applyProtection="0">
      <alignment horizontal="left" vertical="center" indent="1"/>
    </xf>
    <xf numFmtId="0" fontId="45" fillId="6" borderId="109" applyNumberFormat="0" applyProtection="0">
      <alignment horizontal="left" vertical="center" indent="1"/>
    </xf>
    <xf numFmtId="4" fontId="16" fillId="8" borderId="110" applyNumberFormat="0" applyProtection="0">
      <alignment horizontal="left" vertical="center" indent="1"/>
    </xf>
    <xf numFmtId="0" fontId="16" fillId="46" borderId="106" applyNumberFormat="0" applyProtection="0">
      <alignment horizontal="left" vertical="center" indent="1"/>
    </xf>
    <xf numFmtId="0" fontId="16" fillId="107" borderId="106" applyNumberFormat="0" applyProtection="0">
      <alignment horizontal="left" vertical="center" indent="1"/>
    </xf>
    <xf numFmtId="4" fontId="18" fillId="106" borderId="106" applyNumberFormat="0" applyProtection="0">
      <alignment vertical="center"/>
    </xf>
    <xf numFmtId="4" fontId="45" fillId="36" borderId="109" applyNumberFormat="0" applyProtection="0">
      <alignment horizontal="right" vertical="center"/>
    </xf>
    <xf numFmtId="4" fontId="16" fillId="8" borderId="110" applyNumberFormat="0" applyProtection="0">
      <alignment horizontal="left" vertical="center" indent="1"/>
    </xf>
    <xf numFmtId="4" fontId="37" fillId="118" borderId="106" applyNumberFormat="0" applyProtection="0">
      <alignment horizontal="left" vertical="center" indent="1"/>
    </xf>
    <xf numFmtId="4" fontId="18" fillId="116" borderId="106" applyNumberFormat="0" applyProtection="0">
      <alignment horizontal="right" vertical="center"/>
    </xf>
    <xf numFmtId="4" fontId="18" fillId="106" borderId="106" applyNumberFormat="0" applyProtection="0">
      <alignment vertical="center"/>
    </xf>
    <xf numFmtId="4" fontId="40" fillId="123" borderId="106" applyNumberFormat="0" applyProtection="0">
      <alignment vertical="center"/>
    </xf>
    <xf numFmtId="4" fontId="40" fillId="119" borderId="106" applyNumberFormat="0" applyProtection="0">
      <alignment horizontal="right" vertical="center"/>
    </xf>
    <xf numFmtId="4" fontId="18" fillId="114" borderId="106" applyNumberFormat="0" applyProtection="0">
      <alignment horizontal="right" vertical="center"/>
    </xf>
    <xf numFmtId="0" fontId="18" fillId="4" borderId="105" applyNumberFormat="0" applyFont="0" applyAlignment="0" applyProtection="0"/>
    <xf numFmtId="4" fontId="18" fillId="108" borderId="106" applyNumberFormat="0" applyProtection="0">
      <alignment horizontal="right" vertical="center"/>
    </xf>
    <xf numFmtId="4" fontId="45" fillId="9" borderId="109" applyNumberFormat="0" applyProtection="0">
      <alignment horizontal="right" vertical="center"/>
    </xf>
    <xf numFmtId="4" fontId="124" fillId="5" borderId="109" applyNumberFormat="0" applyProtection="0">
      <alignment horizontal="right" vertical="center"/>
    </xf>
    <xf numFmtId="0" fontId="16" fillId="122" borderId="106" applyNumberFormat="0" applyProtection="0">
      <alignment horizontal="left" vertical="center" indent="1"/>
    </xf>
    <xf numFmtId="0" fontId="45" fillId="41" borderId="109" applyNumberFormat="0" applyProtection="0">
      <alignment horizontal="left" vertical="center" indent="1"/>
    </xf>
    <xf numFmtId="0" fontId="45" fillId="121" borderId="109" applyNumberFormat="0" applyProtection="0">
      <alignment horizontal="left" vertical="center" indent="1"/>
    </xf>
    <xf numFmtId="4" fontId="45" fillId="34" borderId="110" applyNumberFormat="0" applyProtection="0">
      <alignment horizontal="right" vertical="center"/>
    </xf>
    <xf numFmtId="4" fontId="45" fillId="106" borderId="109" applyNumberFormat="0" applyProtection="0">
      <alignment horizontal="left" vertical="center" indent="1"/>
    </xf>
    <xf numFmtId="0" fontId="45" fillId="8" borderId="107" applyNumberFormat="0" applyProtection="0">
      <alignment horizontal="left" vertical="top" indent="1"/>
    </xf>
    <xf numFmtId="4" fontId="45" fillId="34" borderId="110" applyNumberFormat="0" applyProtection="0">
      <alignment horizontal="right" vertical="center"/>
    </xf>
    <xf numFmtId="4" fontId="45" fillId="2" borderId="110" applyNumberFormat="0" applyProtection="0">
      <alignment horizontal="left" vertical="center" indent="1"/>
    </xf>
    <xf numFmtId="4" fontId="45" fillId="40" borderId="110" applyNumberFormat="0" applyProtection="0">
      <alignment horizontal="left" vertical="center" indent="1"/>
    </xf>
    <xf numFmtId="4" fontId="45" fillId="2" borderId="109" applyNumberFormat="0" applyProtection="0">
      <alignment horizontal="right" vertical="center"/>
    </xf>
    <xf numFmtId="0" fontId="45" fillId="8" borderId="107" applyNumberFormat="0" applyProtection="0">
      <alignment horizontal="left" vertical="top" indent="1"/>
    </xf>
    <xf numFmtId="4" fontId="45" fillId="38" borderId="109" applyNumberFormat="0" applyProtection="0">
      <alignment horizontal="right" vertical="center"/>
    </xf>
    <xf numFmtId="0" fontId="45" fillId="121" borderId="109" applyNumberFormat="0" applyProtection="0">
      <alignment horizontal="left" vertical="center" indent="1"/>
    </xf>
    <xf numFmtId="0" fontId="116" fillId="11" borderId="104" applyNumberFormat="0" applyAlignment="0" applyProtection="0"/>
    <xf numFmtId="4" fontId="18" fillId="123" borderId="106" applyNumberFormat="0" applyProtection="0">
      <alignment horizontal="left" vertical="center" indent="1"/>
    </xf>
    <xf numFmtId="4" fontId="121" fillId="4" borderId="107" applyNumberFormat="0" applyProtection="0">
      <alignment vertical="center"/>
    </xf>
    <xf numFmtId="4" fontId="121" fillId="4" borderId="107" applyNumberFormat="0" applyProtection="0">
      <alignment vertical="center"/>
    </xf>
    <xf numFmtId="0" fontId="45" fillId="6" borderId="107" applyNumberFormat="0" applyProtection="0">
      <alignment horizontal="left" vertical="top" indent="1"/>
    </xf>
    <xf numFmtId="4" fontId="45" fillId="110" borderId="109" applyNumberFormat="0" applyProtection="0">
      <alignment horizontal="right" vertical="center"/>
    </xf>
    <xf numFmtId="4" fontId="45" fillId="2" borderId="110" applyNumberFormat="0" applyProtection="0">
      <alignment horizontal="left" vertical="center" indent="1"/>
    </xf>
    <xf numFmtId="0" fontId="45" fillId="10" borderId="109" applyNumberFormat="0" applyProtection="0">
      <alignment horizontal="left" vertical="center" indent="1"/>
    </xf>
    <xf numFmtId="4" fontId="18" fillId="119" borderId="106" applyNumberFormat="0" applyProtection="0">
      <alignment horizontal="left" vertical="center" indent="1"/>
    </xf>
    <xf numFmtId="4" fontId="45" fillId="9" borderId="109" applyNumberFormat="0" applyProtection="0">
      <alignment horizontal="right" vertical="center"/>
    </xf>
    <xf numFmtId="4" fontId="45" fillId="2" borderId="109" applyNumberFormat="0" applyProtection="0">
      <alignment horizontal="right" vertical="center"/>
    </xf>
    <xf numFmtId="0" fontId="45" fillId="41" borderId="109" applyNumberFormat="0" applyProtection="0">
      <alignment horizontal="left" vertical="center" indent="1"/>
    </xf>
    <xf numFmtId="4" fontId="118" fillId="43" borderId="109" applyNumberFormat="0" applyProtection="0">
      <alignment horizontal="right" vertical="center"/>
    </xf>
    <xf numFmtId="4" fontId="45" fillId="2" borderId="109" applyNumberFormat="0" applyProtection="0">
      <alignment horizontal="right" vertical="center"/>
    </xf>
    <xf numFmtId="4" fontId="45" fillId="0" borderId="109" applyNumberFormat="0" applyProtection="0">
      <alignment horizontal="right" vertical="center"/>
    </xf>
    <xf numFmtId="0" fontId="16" fillId="45" borderId="106" applyNumberFormat="0" applyProtection="0">
      <alignment horizontal="left" vertical="center" indent="1"/>
    </xf>
    <xf numFmtId="4" fontId="18" fillId="111" borderId="106" applyNumberFormat="0" applyProtection="0">
      <alignment horizontal="right" vertical="center"/>
    </xf>
    <xf numFmtId="0" fontId="16" fillId="107" borderId="106" applyNumberFormat="0" applyProtection="0">
      <alignment horizontal="left" vertical="center" indent="1"/>
    </xf>
    <xf numFmtId="4" fontId="18" fillId="106" borderId="106" applyNumberFormat="0" applyProtection="0">
      <alignment vertical="center"/>
    </xf>
    <xf numFmtId="4" fontId="45" fillId="39" borderId="109" applyNumberFormat="0" applyProtection="0">
      <alignment horizontal="right" vertical="center"/>
    </xf>
    <xf numFmtId="0" fontId="33" fillId="27" borderId="109" applyNumberFormat="0" applyAlignment="0" applyProtection="0"/>
    <xf numFmtId="0" fontId="45" fillId="41" borderId="109" applyNumberFormat="0" applyProtection="0">
      <alignment horizontal="left" vertical="center" indent="1"/>
    </xf>
    <xf numFmtId="4" fontId="18" fillId="115" borderId="106" applyNumberFormat="0" applyProtection="0">
      <alignment horizontal="right" vertical="center"/>
    </xf>
    <xf numFmtId="4" fontId="45" fillId="9" borderId="109" applyNumberFormat="0" applyProtection="0">
      <alignment horizontal="right" vertical="center"/>
    </xf>
    <xf numFmtId="4" fontId="45" fillId="39" borderId="109" applyNumberFormat="0" applyProtection="0">
      <alignment horizontal="right" vertical="center"/>
    </xf>
    <xf numFmtId="0" fontId="16" fillId="107" borderId="106" applyNumberFormat="0" applyProtection="0">
      <alignment horizontal="left" vertical="center" indent="1"/>
    </xf>
    <xf numFmtId="4" fontId="18" fillId="109" borderId="106" applyNumberFormat="0" applyProtection="0">
      <alignment horizontal="right" vertical="center"/>
    </xf>
    <xf numFmtId="4" fontId="45" fillId="0" borderId="109" applyNumberFormat="0" applyProtection="0">
      <alignment horizontal="right" vertical="center"/>
    </xf>
    <xf numFmtId="4" fontId="45" fillId="110" borderId="109" applyNumberFormat="0" applyProtection="0">
      <alignment horizontal="right" vertical="center"/>
    </xf>
    <xf numFmtId="4" fontId="18" fillId="106" borderId="106" applyNumberFormat="0" applyProtection="0">
      <alignment horizontal="left" vertical="center" indent="1"/>
    </xf>
    <xf numFmtId="4" fontId="45" fillId="51" borderId="109" applyNumberFormat="0" applyProtection="0">
      <alignment horizontal="left" vertical="center" indent="1"/>
    </xf>
    <xf numFmtId="0" fontId="16" fillId="122" borderId="106" applyNumberFormat="0" applyProtection="0">
      <alignment horizontal="left" vertical="center" indent="1"/>
    </xf>
    <xf numFmtId="4" fontId="18" fillId="123" borderId="106" applyNumberFormat="0" applyProtection="0">
      <alignment horizontal="left" vertical="center" indent="1"/>
    </xf>
    <xf numFmtId="4" fontId="45" fillId="7" borderId="109" applyNumberFormat="0" applyProtection="0">
      <alignment horizontal="right" vertical="center"/>
    </xf>
    <xf numFmtId="0" fontId="116" fillId="11" borderId="104" applyNumberFormat="0" applyAlignment="0" applyProtection="0"/>
    <xf numFmtId="4" fontId="118" fillId="43" borderId="109" applyNumberFormat="0" applyProtection="0">
      <alignment horizontal="right" vertical="center"/>
    </xf>
    <xf numFmtId="4" fontId="45" fillId="110" borderId="109" applyNumberFormat="0" applyProtection="0">
      <alignment horizontal="right" vertical="center"/>
    </xf>
    <xf numFmtId="0" fontId="16" fillId="45" borderId="106" applyNumberFormat="0" applyProtection="0">
      <alignment horizontal="left" vertical="center" indent="1"/>
    </xf>
    <xf numFmtId="0" fontId="120" fillId="8" borderId="112" applyBorder="0"/>
    <xf numFmtId="0" fontId="45" fillId="6" borderId="109" applyNumberFormat="0" applyProtection="0">
      <alignment horizontal="left" vertical="center" indent="1"/>
    </xf>
    <xf numFmtId="4" fontId="18" fillId="116" borderId="106" applyNumberFormat="0" applyProtection="0">
      <alignment horizontal="right" vertical="center"/>
    </xf>
    <xf numFmtId="4" fontId="45" fillId="36" borderId="109" applyNumberFormat="0" applyProtection="0">
      <alignment horizontal="right" vertical="center"/>
    </xf>
    <xf numFmtId="4" fontId="45" fillId="9" borderId="109" applyNumberFormat="0" applyProtection="0">
      <alignment horizontal="right" vertical="center"/>
    </xf>
    <xf numFmtId="4" fontId="45" fillId="38" borderId="109" applyNumberFormat="0" applyProtection="0">
      <alignment horizontal="right" vertical="center"/>
    </xf>
    <xf numFmtId="4" fontId="121" fillId="10" borderId="107" applyNumberFormat="0" applyProtection="0">
      <alignment horizontal="left" vertical="center" indent="1"/>
    </xf>
    <xf numFmtId="4" fontId="45" fillId="7" borderId="109" applyNumberFormat="0" applyProtection="0">
      <alignment horizontal="right" vertical="center"/>
    </xf>
    <xf numFmtId="4" fontId="45" fillId="33" borderId="109" applyNumberFormat="0" applyProtection="0">
      <alignment vertical="center"/>
    </xf>
    <xf numFmtId="4" fontId="18" fillId="123" borderId="106" applyNumberFormat="0" applyProtection="0">
      <alignment horizontal="left" vertical="center" indent="1"/>
    </xf>
    <xf numFmtId="4" fontId="45" fillId="106" borderId="109" applyNumberFormat="0" applyProtection="0">
      <alignment horizontal="left" vertical="center" indent="1"/>
    </xf>
    <xf numFmtId="0" fontId="45" fillId="10" borderId="109" applyNumberFormat="0" applyProtection="0">
      <alignment horizontal="left" vertical="center" indent="1"/>
    </xf>
    <xf numFmtId="4" fontId="45" fillId="41" borderId="110" applyNumberFormat="0" applyProtection="0">
      <alignment horizontal="left" vertical="center" indent="1"/>
    </xf>
    <xf numFmtId="4" fontId="18" fillId="113" borderId="106" applyNumberFormat="0" applyProtection="0">
      <alignment horizontal="right" vertical="center"/>
    </xf>
    <xf numFmtId="4" fontId="45" fillId="35" borderId="109" applyNumberFormat="0" applyProtection="0">
      <alignment horizontal="right" vertical="center"/>
    </xf>
    <xf numFmtId="4" fontId="16" fillId="8" borderId="110" applyNumberFormat="0" applyProtection="0">
      <alignment horizontal="left" vertical="center" indent="1"/>
    </xf>
    <xf numFmtId="0" fontId="16" fillId="45" borderId="106" applyNumberFormat="0" applyProtection="0">
      <alignment horizontal="left" vertical="center" indent="1"/>
    </xf>
    <xf numFmtId="4" fontId="45" fillId="39" borderId="109" applyNumberFormat="0" applyProtection="0">
      <alignment horizontal="right" vertical="center"/>
    </xf>
    <xf numFmtId="4" fontId="45" fillId="2" borderId="110" applyNumberFormat="0" applyProtection="0">
      <alignment horizontal="left" vertical="center" indent="1"/>
    </xf>
    <xf numFmtId="4" fontId="42" fillId="119" borderId="106" applyNumberFormat="0" applyProtection="0">
      <alignment horizontal="right" vertical="center"/>
    </xf>
    <xf numFmtId="4" fontId="45" fillId="2" borderId="110" applyNumberFormat="0" applyProtection="0">
      <alignment horizontal="left" vertical="center" indent="1"/>
    </xf>
    <xf numFmtId="4" fontId="45" fillId="106" borderId="109" applyNumberFormat="0" applyProtection="0">
      <alignment horizontal="left" vertical="center" indent="1"/>
    </xf>
    <xf numFmtId="4" fontId="18" fillId="106" borderId="106" applyNumberFormat="0" applyProtection="0">
      <alignment vertical="center"/>
    </xf>
    <xf numFmtId="4" fontId="45" fillId="106" borderId="109" applyNumberFormat="0" applyProtection="0">
      <alignment horizontal="left" vertical="center" indent="1"/>
    </xf>
    <xf numFmtId="0" fontId="45" fillId="26" borderId="109" applyNumberFormat="0" applyFont="0" applyAlignment="0" applyProtection="0"/>
    <xf numFmtId="0" fontId="110" fillId="10" borderId="104" applyNumberFormat="0" applyAlignment="0" applyProtection="0"/>
    <xf numFmtId="4" fontId="45" fillId="7" borderId="109" applyNumberFormat="0" applyProtection="0">
      <alignment horizontal="right" vertical="center"/>
    </xf>
    <xf numFmtId="0" fontId="119" fillId="33" borderId="107" applyNumberFormat="0" applyProtection="0">
      <alignment horizontal="left" vertical="top" indent="1"/>
    </xf>
    <xf numFmtId="4" fontId="45" fillId="33" borderId="109" applyNumberFormat="0" applyProtection="0">
      <alignment vertical="center"/>
    </xf>
    <xf numFmtId="0" fontId="109" fillId="101" borderId="109" applyNumberFormat="0" applyAlignment="0" applyProtection="0"/>
    <xf numFmtId="4" fontId="123" fillId="42" borderId="110" applyNumberFormat="0" applyProtection="0">
      <alignment horizontal="left" vertical="center" indent="1"/>
    </xf>
    <xf numFmtId="0" fontId="45" fillId="124" borderId="114"/>
    <xf numFmtId="0" fontId="121" fillId="2" borderId="107" applyNumberFormat="0" applyProtection="0">
      <alignment horizontal="left" vertical="top" indent="1"/>
    </xf>
    <xf numFmtId="4" fontId="42" fillId="119" borderId="106" applyNumberFormat="0" applyProtection="0">
      <alignment horizontal="right" vertical="center"/>
    </xf>
    <xf numFmtId="4" fontId="45" fillId="0" borderId="109" applyNumberFormat="0" applyProtection="0">
      <alignment horizontal="right" vertical="center"/>
    </xf>
    <xf numFmtId="0" fontId="16" fillId="107" borderId="106" applyNumberFormat="0" applyProtection="0">
      <alignment horizontal="left" vertical="center" indent="1"/>
    </xf>
    <xf numFmtId="4" fontId="45" fillId="0" borderId="109" applyNumberFormat="0" applyProtection="0">
      <alignment horizontal="right" vertical="center"/>
    </xf>
    <xf numFmtId="4" fontId="45" fillId="51" borderId="109" applyNumberFormat="0" applyProtection="0">
      <alignment horizontal="left" vertical="center" indent="1"/>
    </xf>
    <xf numFmtId="4" fontId="40" fillId="119" borderId="106" applyNumberFormat="0" applyProtection="0">
      <alignment horizontal="right" vertical="center"/>
    </xf>
    <xf numFmtId="0" fontId="36" fillId="101" borderId="106" applyNumberFormat="0" applyAlignment="0" applyProtection="0"/>
    <xf numFmtId="0" fontId="45" fillId="26" borderId="109" applyNumberFormat="0" applyFont="0" applyAlignment="0" applyProtection="0"/>
    <xf numFmtId="0" fontId="18" fillId="4" borderId="105" applyNumberFormat="0" applyFont="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136" fillId="0" borderId="0" applyFont="0" applyFill="0" applyBorder="0" applyAlignment="0" applyProtection="0"/>
  </cellStyleXfs>
  <cellXfs count="755">
    <xf numFmtId="175" fontId="0" fillId="0" borderId="0" xfId="0"/>
    <xf numFmtId="3" fontId="16" fillId="0" borderId="24" xfId="0" applyNumberFormat="1" applyFont="1" applyBorder="1" applyAlignment="1">
      <alignment horizontal="center"/>
    </xf>
    <xf numFmtId="3" fontId="16" fillId="0" borderId="31" xfId="0" applyNumberFormat="1" applyFont="1" applyBorder="1" applyAlignment="1">
      <alignment horizontal="center"/>
    </xf>
    <xf numFmtId="3" fontId="16" fillId="0" borderId="33" xfId="0" applyNumberFormat="1" applyFont="1" applyBorder="1" applyAlignment="1">
      <alignment horizontal="center"/>
    </xf>
    <xf numFmtId="3" fontId="16" fillId="0" borderId="41" xfId="0" applyNumberFormat="1" applyFont="1" applyBorder="1" applyAlignment="1" applyProtection="1">
      <alignment wrapText="1"/>
      <protection locked="0"/>
    </xf>
    <xf numFmtId="165" fontId="16" fillId="0" borderId="25" xfId="0" applyNumberFormat="1" applyFont="1" applyBorder="1" applyAlignment="1" applyProtection="1">
      <alignment horizontal="center"/>
      <protection locked="0"/>
    </xf>
    <xf numFmtId="165" fontId="16" fillId="0" borderId="0" xfId="0" applyNumberFormat="1" applyFont="1" applyProtection="1">
      <protection locked="0"/>
    </xf>
    <xf numFmtId="3" fontId="16" fillId="0" borderId="48" xfId="0" applyNumberFormat="1" applyFont="1" applyBorder="1" applyAlignment="1" applyProtection="1">
      <alignment wrapText="1"/>
      <protection locked="0"/>
    </xf>
    <xf numFmtId="165" fontId="16" fillId="0" borderId="32" xfId="0" applyNumberFormat="1" applyFont="1" applyBorder="1" applyAlignment="1" applyProtection="1">
      <alignment horizontal="center"/>
      <protection locked="0"/>
    </xf>
    <xf numFmtId="165" fontId="16" fillId="0" borderId="0" xfId="0" applyNumberFormat="1" applyFont="1" applyAlignment="1" applyProtection="1">
      <alignment horizontal="center"/>
      <protection locked="0"/>
    </xf>
    <xf numFmtId="175" fontId="16" fillId="0" borderId="0" xfId="0" applyFont="1" applyProtection="1">
      <protection locked="0"/>
    </xf>
    <xf numFmtId="175" fontId="17" fillId="0" borderId="0" xfId="0" applyFont="1" applyAlignment="1" applyProtection="1">
      <alignment horizontal="center" wrapText="1"/>
      <protection locked="0"/>
    </xf>
    <xf numFmtId="3" fontId="16" fillId="0" borderId="0" xfId="0" applyNumberFormat="1" applyFont="1" applyProtection="1">
      <protection locked="0"/>
    </xf>
    <xf numFmtId="175" fontId="17" fillId="0" borderId="0" xfId="0" applyFont="1" applyAlignment="1" applyProtection="1">
      <alignment wrapText="1"/>
      <protection locked="0"/>
    </xf>
    <xf numFmtId="3" fontId="48" fillId="0" borderId="17" xfId="0" applyNumberFormat="1" applyFont="1" applyBorder="1" applyAlignment="1">
      <alignment horizontal="center"/>
    </xf>
    <xf numFmtId="6" fontId="16" fillId="0" borderId="0" xfId="66" applyNumberFormat="1"/>
    <xf numFmtId="175" fontId="16" fillId="0" borderId="0" xfId="66"/>
    <xf numFmtId="175" fontId="18" fillId="0" borderId="0" xfId="67"/>
    <xf numFmtId="175" fontId="37" fillId="0" borderId="11" xfId="67" applyFont="1" applyBorder="1" applyAlignment="1">
      <alignment horizontal="center"/>
    </xf>
    <xf numFmtId="175" fontId="37" fillId="0" borderId="0" xfId="67" applyFont="1" applyAlignment="1">
      <alignment horizontal="center"/>
    </xf>
    <xf numFmtId="175" fontId="17" fillId="0" borderId="43" xfId="66" applyFont="1" applyBorder="1"/>
    <xf numFmtId="175" fontId="17" fillId="0" borderId="45" xfId="66" applyFont="1" applyBorder="1" applyAlignment="1">
      <alignment wrapText="1"/>
    </xf>
    <xf numFmtId="175" fontId="46" fillId="0" borderId="0" xfId="66" applyFont="1"/>
    <xf numFmtId="175" fontId="17" fillId="44" borderId="35" xfId="66" applyFont="1" applyFill="1" applyBorder="1" applyAlignment="1">
      <alignment horizontal="center"/>
    </xf>
    <xf numFmtId="175" fontId="17" fillId="0" borderId="36" xfId="66" applyFont="1" applyBorder="1" applyAlignment="1">
      <alignment horizontal="center"/>
    </xf>
    <xf numFmtId="175" fontId="47" fillId="0" borderId="44" xfId="66" applyFont="1" applyBorder="1" applyAlignment="1">
      <alignment horizontal="center"/>
    </xf>
    <xf numFmtId="175" fontId="17" fillId="0" borderId="44" xfId="66" applyFont="1" applyBorder="1" applyAlignment="1">
      <alignment horizontal="center"/>
    </xf>
    <xf numFmtId="175" fontId="16" fillId="0" borderId="44" xfId="66" applyBorder="1"/>
    <xf numFmtId="164" fontId="16" fillId="0" borderId="0" xfId="66" applyNumberFormat="1"/>
    <xf numFmtId="175" fontId="17" fillId="0" borderId="44" xfId="66" applyFont="1" applyBorder="1"/>
    <xf numFmtId="164" fontId="16" fillId="0" borderId="0" xfId="66" applyNumberFormat="1" applyAlignment="1">
      <alignment horizontal="right"/>
    </xf>
    <xf numFmtId="175" fontId="17" fillId="0" borderId="44" xfId="66" applyFont="1" applyBorder="1" applyAlignment="1">
      <alignment horizontal="left" indent="1"/>
    </xf>
    <xf numFmtId="175" fontId="17" fillId="0" borderId="44" xfId="66" applyFont="1" applyBorder="1" applyAlignment="1">
      <alignment horizontal="center" wrapText="1"/>
    </xf>
    <xf numFmtId="175" fontId="17" fillId="0" borderId="43" xfId="66" applyFont="1" applyBorder="1" applyAlignment="1">
      <alignment horizontal="left" indent="1"/>
    </xf>
    <xf numFmtId="175" fontId="17" fillId="0" borderId="47" xfId="66" applyFont="1" applyBorder="1" applyAlignment="1">
      <alignment horizontal="left" indent="1"/>
    </xf>
    <xf numFmtId="164" fontId="16" fillId="44" borderId="0" xfId="66" applyNumberFormat="1" applyFill="1"/>
    <xf numFmtId="175" fontId="17" fillId="0" borderId="37" xfId="66" applyFont="1" applyBorder="1" applyAlignment="1">
      <alignment wrapText="1"/>
    </xf>
    <xf numFmtId="164" fontId="17" fillId="0" borderId="37" xfId="66" applyNumberFormat="1" applyFont="1" applyBorder="1"/>
    <xf numFmtId="175" fontId="17" fillId="0" borderId="0" xfId="0" applyFont="1"/>
    <xf numFmtId="175" fontId="0" fillId="0" borderId="15" xfId="0" applyBorder="1"/>
    <xf numFmtId="175" fontId="17" fillId="0" borderId="34" xfId="0" applyFont="1" applyBorder="1"/>
    <xf numFmtId="175" fontId="16" fillId="0" borderId="0" xfId="0" applyFont="1"/>
    <xf numFmtId="175" fontId="16" fillId="0" borderId="13" xfId="0" applyFont="1" applyBorder="1"/>
    <xf numFmtId="175" fontId="37" fillId="0" borderId="0" xfId="0" applyFont="1" applyProtection="1">
      <protection locked="0"/>
    </xf>
    <xf numFmtId="175" fontId="18" fillId="0" borderId="0" xfId="0" applyFont="1" applyProtection="1">
      <protection locked="0"/>
    </xf>
    <xf numFmtId="165" fontId="18" fillId="0" borderId="0" xfId="0" applyNumberFormat="1" applyFont="1" applyProtection="1">
      <protection locked="0"/>
    </xf>
    <xf numFmtId="175" fontId="49" fillId="0" borderId="0" xfId="0" applyFont="1" applyProtection="1">
      <protection locked="0"/>
    </xf>
    <xf numFmtId="172" fontId="37" fillId="0" borderId="0" xfId="0" applyNumberFormat="1" applyFont="1" applyAlignment="1" applyProtection="1">
      <alignment horizontal="right"/>
      <protection locked="0"/>
    </xf>
    <xf numFmtId="172" fontId="37" fillId="0" borderId="0" xfId="0" applyNumberFormat="1" applyFont="1" applyAlignment="1" applyProtection="1">
      <alignment horizontal="center"/>
      <protection locked="0"/>
    </xf>
    <xf numFmtId="38" fontId="50" fillId="0" borderId="0" xfId="0" applyNumberFormat="1" applyFont="1" applyProtection="1">
      <protection locked="0"/>
    </xf>
    <xf numFmtId="165" fontId="50" fillId="0" borderId="0" xfId="0" applyNumberFormat="1" applyFont="1" applyProtection="1">
      <protection locked="0"/>
    </xf>
    <xf numFmtId="175" fontId="50" fillId="0" borderId="0" xfId="0" applyFont="1" applyProtection="1">
      <protection locked="0"/>
    </xf>
    <xf numFmtId="175" fontId="18" fillId="0" borderId="0" xfId="0" applyFont="1" applyAlignment="1" applyProtection="1">
      <alignment horizontal="left" indent="1"/>
      <protection locked="0"/>
    </xf>
    <xf numFmtId="175" fontId="18" fillId="0" borderId="0" xfId="0" applyFont="1"/>
    <xf numFmtId="175" fontId="37" fillId="0" borderId="11" xfId="0" applyFont="1" applyBorder="1" applyAlignment="1">
      <alignment horizontal="center" wrapText="1"/>
    </xf>
    <xf numFmtId="175" fontId="18" fillId="0" borderId="11" xfId="0" applyFont="1" applyBorder="1"/>
    <xf numFmtId="172" fontId="18" fillId="0" borderId="11" xfId="0" applyNumberFormat="1" applyFont="1" applyBorder="1"/>
    <xf numFmtId="172" fontId="18" fillId="0" borderId="11" xfId="46" applyNumberFormat="1" applyFont="1" applyBorder="1" applyAlignment="1">
      <alignment horizontal="right"/>
    </xf>
    <xf numFmtId="166" fontId="18" fillId="0" borderId="11" xfId="46" applyNumberFormat="1" applyFont="1" applyBorder="1" applyAlignment="1">
      <alignment horizontal="right"/>
    </xf>
    <xf numFmtId="172" fontId="37" fillId="0" borderId="11" xfId="46" applyNumberFormat="1" applyFont="1" applyBorder="1" applyAlignment="1">
      <alignment horizontal="right" wrapText="1"/>
    </xf>
    <xf numFmtId="166" fontId="37" fillId="0" borderId="11" xfId="0" applyNumberFormat="1" applyFont="1" applyBorder="1"/>
    <xf numFmtId="166" fontId="18" fillId="0" borderId="11" xfId="46" applyNumberFormat="1" applyFont="1" applyBorder="1" applyAlignment="1">
      <alignment horizontal="right" wrapText="1"/>
    </xf>
    <xf numFmtId="166" fontId="18" fillId="0" borderId="11" xfId="0" applyNumberFormat="1" applyFont="1" applyBorder="1"/>
    <xf numFmtId="175" fontId="37" fillId="0" borderId="20" xfId="0" applyFont="1" applyBorder="1"/>
    <xf numFmtId="166" fontId="37" fillId="0" borderId="20" xfId="0" applyNumberFormat="1" applyFont="1" applyBorder="1"/>
    <xf numFmtId="175" fontId="37" fillId="0" borderId="20" xfId="0" applyFont="1" applyBorder="1" applyAlignment="1">
      <alignment horizontal="center"/>
    </xf>
    <xf numFmtId="166" fontId="37" fillId="0" borderId="11" xfId="0" applyNumberFormat="1" applyFont="1" applyBorder="1" applyAlignment="1">
      <alignment horizontal="center" wrapText="1"/>
    </xf>
    <xf numFmtId="166" fontId="37" fillId="0" borderId="11" xfId="0" applyNumberFormat="1" applyFont="1" applyBorder="1" applyAlignment="1">
      <alignment horizontal="center"/>
    </xf>
    <xf numFmtId="166" fontId="37" fillId="0" borderId="20" xfId="0" applyNumberFormat="1" applyFont="1" applyBorder="1" applyAlignment="1">
      <alignment horizontal="center"/>
    </xf>
    <xf numFmtId="166" fontId="18" fillId="0" borderId="27" xfId="0" applyNumberFormat="1" applyFont="1" applyBorder="1"/>
    <xf numFmtId="166" fontId="37" fillId="0" borderId="27" xfId="0" applyNumberFormat="1" applyFont="1" applyBorder="1"/>
    <xf numFmtId="166" fontId="18" fillId="0" borderId="18" xfId="46" applyNumberFormat="1" applyFont="1" applyBorder="1" applyAlignment="1">
      <alignment horizontal="right"/>
    </xf>
    <xf numFmtId="166" fontId="18" fillId="0" borderId="18" xfId="0" applyNumberFormat="1" applyFont="1" applyBorder="1"/>
    <xf numFmtId="166" fontId="18" fillId="0" borderId="19" xfId="0" applyNumberFormat="1" applyFont="1" applyBorder="1"/>
    <xf numFmtId="172" fontId="37" fillId="0" borderId="11" xfId="0" applyNumberFormat="1" applyFont="1" applyBorder="1"/>
    <xf numFmtId="166" fontId="37" fillId="0" borderId="11" xfId="46" applyNumberFormat="1" applyFont="1" applyBorder="1" applyAlignment="1">
      <alignment horizontal="right"/>
    </xf>
    <xf numFmtId="172" fontId="37" fillId="0" borderId="20" xfId="0" applyNumberFormat="1" applyFont="1" applyBorder="1" applyAlignment="1">
      <alignment horizontal="right"/>
    </xf>
    <xf numFmtId="172" fontId="37" fillId="0" borderId="20" xfId="0" applyNumberFormat="1" applyFont="1" applyBorder="1" applyAlignment="1">
      <alignment horizontal="center"/>
    </xf>
    <xf numFmtId="166" fontId="18" fillId="0" borderId="11" xfId="0" quotePrefix="1" applyNumberFormat="1" applyFont="1" applyBorder="1" applyAlignment="1">
      <alignment horizontal="center"/>
    </xf>
    <xf numFmtId="166" fontId="18" fillId="0" borderId="11" xfId="46" applyNumberFormat="1" applyFont="1" applyBorder="1" applyAlignment="1">
      <alignment horizontal="center"/>
    </xf>
    <xf numFmtId="166" fontId="37" fillId="0" borderId="20" xfId="0" applyNumberFormat="1" applyFont="1" applyBorder="1" applyAlignment="1">
      <alignment horizontal="right"/>
    </xf>
    <xf numFmtId="175" fontId="37" fillId="0" borderId="27" xfId="0" applyFont="1" applyBorder="1"/>
    <xf numFmtId="175" fontId="37" fillId="0" borderId="0" xfId="0" applyFont="1"/>
    <xf numFmtId="38" fontId="18" fillId="0" borderId="0" xfId="0" applyNumberFormat="1" applyFont="1"/>
    <xf numFmtId="165" fontId="18" fillId="0" borderId="0" xfId="0" applyNumberFormat="1" applyFont="1"/>
    <xf numFmtId="175" fontId="16" fillId="0" borderId="13" xfId="0" applyFont="1" applyBorder="1" applyProtection="1">
      <protection locked="0"/>
    </xf>
    <xf numFmtId="9" fontId="16" fillId="0" borderId="0" xfId="145" applyFont="1" applyProtection="1">
      <protection locked="0"/>
    </xf>
    <xf numFmtId="175" fontId="17" fillId="0" borderId="14" xfId="0" applyFont="1" applyBorder="1" applyAlignment="1" applyProtection="1">
      <alignment horizontal="center"/>
      <protection locked="0"/>
    </xf>
    <xf numFmtId="175" fontId="16" fillId="0" borderId="16" xfId="0" applyFont="1" applyBorder="1" applyProtection="1">
      <protection locked="0"/>
    </xf>
    <xf numFmtId="175" fontId="17" fillId="0" borderId="11" xfId="0" applyFont="1" applyBorder="1" applyAlignment="1" applyProtection="1">
      <alignment horizontal="center"/>
      <protection locked="0"/>
    </xf>
    <xf numFmtId="166" fontId="16" fillId="0" borderId="0" xfId="0" applyNumberFormat="1" applyFont="1" applyAlignment="1">
      <alignment horizontal="center"/>
    </xf>
    <xf numFmtId="173" fontId="16" fillId="0" borderId="0" xfId="0" applyNumberFormat="1" applyFont="1" applyAlignment="1">
      <alignment horizontal="center"/>
    </xf>
    <xf numFmtId="3" fontId="16" fillId="0" borderId="0" xfId="0" applyNumberFormat="1" applyFont="1" applyAlignment="1">
      <alignment horizontal="center"/>
    </xf>
    <xf numFmtId="165" fontId="16" fillId="0" borderId="0" xfId="0" applyNumberFormat="1" applyFont="1" applyAlignment="1">
      <alignment horizontal="center"/>
    </xf>
    <xf numFmtId="175" fontId="37" fillId="0" borderId="16" xfId="0" applyFont="1" applyBorder="1" applyAlignment="1" applyProtection="1">
      <alignment horizontal="center"/>
      <protection locked="0"/>
    </xf>
    <xf numFmtId="175" fontId="18" fillId="0" borderId="11" xfId="0" applyFont="1" applyBorder="1" applyProtection="1">
      <protection locked="0"/>
    </xf>
    <xf numFmtId="175" fontId="37" fillId="0" borderId="20" xfId="0" applyFont="1" applyBorder="1" applyProtection="1">
      <protection locked="0"/>
    </xf>
    <xf numFmtId="175" fontId="37" fillId="0" borderId="20" xfId="0" applyFont="1" applyBorder="1" applyAlignment="1" applyProtection="1">
      <alignment horizontal="center"/>
      <protection locked="0"/>
    </xf>
    <xf numFmtId="175" fontId="37" fillId="0" borderId="22" xfId="0" applyFont="1" applyBorder="1" applyProtection="1">
      <protection locked="0"/>
    </xf>
    <xf numFmtId="175" fontId="18" fillId="0" borderId="11" xfId="0" applyFont="1" applyBorder="1" applyAlignment="1" applyProtection="1">
      <alignment wrapText="1" shrinkToFit="1"/>
      <protection locked="0"/>
    </xf>
    <xf numFmtId="175" fontId="37" fillId="0" borderId="11" xfId="0" applyFont="1" applyBorder="1" applyProtection="1">
      <protection locked="0"/>
    </xf>
    <xf numFmtId="175" fontId="18" fillId="0" borderId="16" xfId="0" applyFont="1" applyBorder="1" applyProtection="1">
      <protection locked="0"/>
    </xf>
    <xf numFmtId="38" fontId="56" fillId="0" borderId="17" xfId="0" applyNumberFormat="1" applyFont="1" applyBorder="1" applyAlignment="1">
      <alignment horizontal="center"/>
    </xf>
    <xf numFmtId="172" fontId="18" fillId="0" borderId="11" xfId="0" quotePrefix="1" applyNumberFormat="1" applyFont="1" applyBorder="1" applyAlignment="1">
      <alignment horizontal="center"/>
    </xf>
    <xf numFmtId="172" fontId="18" fillId="0" borderId="11" xfId="0" quotePrefix="1" applyNumberFormat="1" applyFont="1" applyBorder="1" applyAlignment="1">
      <alignment horizontal="right"/>
    </xf>
    <xf numFmtId="172" fontId="37" fillId="0" borderId="20" xfId="0" quotePrefix="1" applyNumberFormat="1" applyFont="1" applyBorder="1" applyAlignment="1">
      <alignment horizontal="center"/>
    </xf>
    <xf numFmtId="172" fontId="37" fillId="0" borderId="20" xfId="0" applyNumberFormat="1" applyFont="1" applyBorder="1"/>
    <xf numFmtId="38" fontId="18" fillId="0" borderId="11" xfId="0" applyNumberFormat="1" applyFont="1" applyBorder="1"/>
    <xf numFmtId="165" fontId="37" fillId="0" borderId="11" xfId="0" applyNumberFormat="1" applyFont="1" applyBorder="1"/>
    <xf numFmtId="172" fontId="37" fillId="0" borderId="11" xfId="46" applyNumberFormat="1" applyFont="1" applyBorder="1" applyAlignment="1">
      <alignment horizontal="right"/>
    </xf>
    <xf numFmtId="38" fontId="18" fillId="0" borderId="27" xfId="0" applyNumberFormat="1" applyFont="1" applyBorder="1"/>
    <xf numFmtId="165" fontId="37" fillId="0" borderId="27" xfId="0" applyNumberFormat="1" applyFont="1" applyBorder="1"/>
    <xf numFmtId="175" fontId="18" fillId="0" borderId="20" xfId="0" applyFont="1" applyBorder="1"/>
    <xf numFmtId="170" fontId="18" fillId="0" borderId="18" xfId="46" applyNumberFormat="1" applyFont="1" applyBorder="1" applyAlignment="1">
      <alignment horizontal="right"/>
    </xf>
    <xf numFmtId="169" fontId="37" fillId="0" borderId="18" xfId="46" applyNumberFormat="1" applyFont="1" applyBorder="1" applyAlignment="1">
      <alignment horizontal="right"/>
    </xf>
    <xf numFmtId="170" fontId="18" fillId="0" borderId="11" xfId="46" applyNumberFormat="1" applyFont="1" applyBorder="1" applyAlignment="1">
      <alignment horizontal="right"/>
    </xf>
    <xf numFmtId="169" fontId="37" fillId="0" borderId="11" xfId="46" applyNumberFormat="1" applyFont="1" applyBorder="1" applyAlignment="1">
      <alignment horizontal="right"/>
    </xf>
    <xf numFmtId="166" fontId="37" fillId="0" borderId="11" xfId="46" applyNumberFormat="1" applyFont="1" applyBorder="1" applyAlignment="1">
      <alignment horizontal="right" wrapText="1"/>
    </xf>
    <xf numFmtId="166" fontId="18" fillId="0" borderId="11" xfId="0" quotePrefix="1" applyNumberFormat="1" applyFont="1" applyBorder="1" applyAlignment="1">
      <alignment horizontal="right"/>
    </xf>
    <xf numFmtId="166" fontId="37" fillId="0" borderId="20" xfId="0" quotePrefix="1" applyNumberFormat="1" applyFont="1" applyBorder="1" applyAlignment="1">
      <alignment horizontal="center"/>
    </xf>
    <xf numFmtId="166" fontId="18" fillId="0" borderId="20" xfId="0" applyNumberFormat="1" applyFont="1" applyBorder="1"/>
    <xf numFmtId="166" fontId="37" fillId="0" borderId="18" xfId="46" applyNumberFormat="1" applyFont="1" applyBorder="1" applyAlignment="1">
      <alignment horizontal="right"/>
    </xf>
    <xf numFmtId="175" fontId="18" fillId="0" borderId="18" xfId="0" applyFont="1" applyBorder="1"/>
    <xf numFmtId="175" fontId="62" fillId="0" borderId="0" xfId="0" applyFont="1"/>
    <xf numFmtId="3" fontId="48" fillId="0" borderId="17" xfId="0" applyNumberFormat="1" applyFont="1" applyBorder="1" applyAlignment="1" applyProtection="1">
      <alignment horizontal="center"/>
      <protection locked="0"/>
    </xf>
    <xf numFmtId="3" fontId="16" fillId="0" borderId="24" xfId="0" applyNumberFormat="1" applyFont="1" applyBorder="1" applyAlignment="1" applyProtection="1">
      <alignment horizontal="center"/>
      <protection locked="0"/>
    </xf>
    <xf numFmtId="3" fontId="48" fillId="0" borderId="20" xfId="0" applyNumberFormat="1" applyFont="1" applyBorder="1" applyAlignment="1" applyProtection="1">
      <alignment horizontal="center"/>
      <protection locked="0"/>
    </xf>
    <xf numFmtId="38" fontId="56" fillId="0" borderId="11" xfId="146" applyNumberFormat="1" applyFont="1" applyBorder="1" applyAlignment="1" applyProtection="1">
      <alignment horizontal="center"/>
      <protection locked="0"/>
    </xf>
    <xf numFmtId="175" fontId="37" fillId="0" borderId="11" xfId="0" applyFont="1" applyBorder="1" applyAlignment="1" applyProtection="1">
      <alignment horizontal="center" wrapText="1"/>
      <protection locked="0"/>
    </xf>
    <xf numFmtId="175" fontId="17" fillId="0" borderId="0" xfId="66" applyFont="1" applyProtection="1">
      <protection locked="0"/>
    </xf>
    <xf numFmtId="175" fontId="16" fillId="0" borderId="0" xfId="66" applyProtection="1">
      <protection locked="0"/>
    </xf>
    <xf numFmtId="175" fontId="16" fillId="0" borderId="36" xfId="66" applyBorder="1" applyProtection="1">
      <protection locked="0"/>
    </xf>
    <xf numFmtId="175" fontId="16" fillId="0" borderId="37" xfId="66" applyBorder="1" applyProtection="1">
      <protection locked="0"/>
    </xf>
    <xf numFmtId="175" fontId="16" fillId="0" borderId="38" xfId="66" applyBorder="1" applyProtection="1">
      <protection locked="0"/>
    </xf>
    <xf numFmtId="175" fontId="16" fillId="0" borderId="14" xfId="66" applyBorder="1" applyProtection="1">
      <protection locked="0"/>
    </xf>
    <xf numFmtId="175" fontId="16" fillId="0" borderId="18" xfId="66" applyBorder="1" applyProtection="1">
      <protection locked="0"/>
    </xf>
    <xf numFmtId="175" fontId="16" fillId="0" borderId="19" xfId="66" applyBorder="1" applyProtection="1">
      <protection locked="0"/>
    </xf>
    <xf numFmtId="175" fontId="17" fillId="0" borderId="11" xfId="66" applyFont="1" applyBorder="1" applyAlignment="1" applyProtection="1">
      <alignment horizontal="center" wrapText="1"/>
      <protection locked="0"/>
    </xf>
    <xf numFmtId="6" fontId="16" fillId="0" borderId="0" xfId="66" applyNumberFormat="1" applyProtection="1">
      <protection locked="0"/>
    </xf>
    <xf numFmtId="175" fontId="16" fillId="0" borderId="13" xfId="66" applyBorder="1" applyProtection="1">
      <protection locked="0"/>
    </xf>
    <xf numFmtId="164" fontId="16" fillId="0" borderId="42" xfId="66" applyNumberFormat="1" applyBorder="1" applyProtection="1">
      <protection locked="0"/>
    </xf>
    <xf numFmtId="175" fontId="16" fillId="0" borderId="42" xfId="66" applyBorder="1" applyProtection="1">
      <protection locked="0"/>
    </xf>
    <xf numFmtId="175" fontId="18" fillId="0" borderId="0" xfId="67" applyProtection="1">
      <protection locked="0"/>
    </xf>
    <xf numFmtId="175" fontId="18" fillId="0" borderId="11" xfId="67" applyBorder="1" applyProtection="1">
      <protection locked="0"/>
    </xf>
    <xf numFmtId="175" fontId="37" fillId="0" borderId="11" xfId="67" applyFont="1" applyBorder="1" applyProtection="1">
      <protection locked="0"/>
    </xf>
    <xf numFmtId="175" fontId="55" fillId="0" borderId="0" xfId="0" applyFont="1" applyProtection="1">
      <protection locked="0"/>
    </xf>
    <xf numFmtId="175" fontId="17" fillId="0" borderId="0" xfId="0" applyFont="1" applyProtection="1">
      <protection locked="0"/>
    </xf>
    <xf numFmtId="175" fontId="66" fillId="0" borderId="0" xfId="0" applyFont="1" applyAlignment="1">
      <alignment horizontal="left" vertical="center" indent="4"/>
    </xf>
    <xf numFmtId="175" fontId="17" fillId="0" borderId="0" xfId="0" applyFont="1" applyAlignment="1" applyProtection="1">
      <alignment horizontal="center"/>
      <protection locked="0"/>
    </xf>
    <xf numFmtId="17" fontId="17" fillId="0" borderId="0" xfId="0" quotePrefix="1" applyNumberFormat="1" applyFont="1" applyAlignment="1" applyProtection="1">
      <alignment horizontal="center"/>
      <protection locked="0"/>
    </xf>
    <xf numFmtId="175" fontId="0" fillId="47" borderId="0" xfId="0" applyFill="1"/>
    <xf numFmtId="17" fontId="17" fillId="47" borderId="0" xfId="0" quotePrefix="1" applyNumberFormat="1" applyFont="1" applyFill="1" applyAlignment="1" applyProtection="1">
      <alignment horizontal="center"/>
      <protection locked="0"/>
    </xf>
    <xf numFmtId="175" fontId="16" fillId="47" borderId="0" xfId="0" applyFont="1" applyFill="1" applyProtection="1">
      <protection locked="0"/>
    </xf>
    <xf numFmtId="175" fontId="54" fillId="0" borderId="0" xfId="0" applyFont="1" applyAlignment="1">
      <alignment horizontal="center"/>
    </xf>
    <xf numFmtId="38" fontId="16" fillId="0" borderId="24" xfId="0" applyNumberFormat="1" applyFont="1" applyBorder="1" applyAlignment="1">
      <alignment horizontal="center"/>
    </xf>
    <xf numFmtId="38" fontId="16" fillId="0" borderId="24" xfId="0" applyNumberFormat="1" applyFont="1" applyBorder="1" applyAlignment="1" applyProtection="1">
      <alignment horizontal="center"/>
      <protection locked="0"/>
    </xf>
    <xf numFmtId="175" fontId="16" fillId="0" borderId="17" xfId="0" applyFont="1" applyBorder="1" applyProtection="1">
      <protection locked="0"/>
    </xf>
    <xf numFmtId="3" fontId="16" fillId="0" borderId="29" xfId="0" applyNumberFormat="1" applyFont="1" applyBorder="1" applyAlignment="1">
      <alignment horizontal="center"/>
    </xf>
    <xf numFmtId="3" fontId="56" fillId="0" borderId="22" xfId="0" applyNumberFormat="1" applyFont="1" applyBorder="1" applyAlignment="1">
      <alignment horizontal="center"/>
    </xf>
    <xf numFmtId="3" fontId="56" fillId="0" borderId="17" xfId="0" applyNumberFormat="1" applyFont="1" applyBorder="1" applyAlignment="1">
      <alignment horizontal="center"/>
    </xf>
    <xf numFmtId="175" fontId="16" fillId="47" borderId="0" xfId="66" applyFill="1"/>
    <xf numFmtId="175" fontId="17" fillId="47" borderId="0" xfId="0" applyFont="1" applyFill="1" applyAlignment="1" applyProtection="1">
      <alignment horizontal="center"/>
      <protection locked="0"/>
    </xf>
    <xf numFmtId="175" fontId="17" fillId="0" borderId="11" xfId="0" applyFont="1" applyBorder="1" applyAlignment="1" applyProtection="1">
      <alignment horizontal="left"/>
      <protection locked="0"/>
    </xf>
    <xf numFmtId="17" fontId="18" fillId="0" borderId="0" xfId="0" applyNumberFormat="1" applyFont="1" applyAlignment="1" applyProtection="1">
      <alignment horizontal="center"/>
      <protection locked="0"/>
    </xf>
    <xf numFmtId="175" fontId="37" fillId="48" borderId="20" xfId="0" applyFont="1" applyFill="1" applyBorder="1" applyAlignment="1" applyProtection="1">
      <alignment horizontal="center" vertical="center"/>
      <protection locked="0"/>
    </xf>
    <xf numFmtId="175" fontId="37" fillId="48" borderId="11" xfId="0" applyFont="1" applyFill="1" applyBorder="1" applyAlignment="1" applyProtection="1">
      <alignment horizontal="center" vertical="center"/>
      <protection locked="0"/>
    </xf>
    <xf numFmtId="175" fontId="37" fillId="0" borderId="20" xfId="0" applyFont="1" applyBorder="1" applyAlignment="1" applyProtection="1">
      <alignment horizontal="right"/>
      <protection locked="0"/>
    </xf>
    <xf numFmtId="175" fontId="18" fillId="0" borderId="11" xfId="0" applyFont="1" applyBorder="1" applyAlignment="1" applyProtection="1">
      <alignment horizontal="left"/>
      <protection locked="0"/>
    </xf>
    <xf numFmtId="175" fontId="17" fillId="0" borderId="19" xfId="0" applyFont="1" applyBorder="1" applyAlignment="1" applyProtection="1">
      <alignment horizontal="center" wrapText="1"/>
      <protection locked="0"/>
    </xf>
    <xf numFmtId="3" fontId="17" fillId="0" borderId="26" xfId="0" applyNumberFormat="1" applyFont="1" applyBorder="1" applyAlignment="1">
      <alignment horizontal="center" wrapText="1"/>
    </xf>
    <xf numFmtId="174" fontId="16" fillId="0" borderId="24" xfId="0" applyNumberFormat="1" applyFont="1" applyBorder="1"/>
    <xf numFmtId="3" fontId="17" fillId="0" borderId="27" xfId="0" applyNumberFormat="1" applyFont="1" applyBorder="1" applyAlignment="1">
      <alignment horizontal="center" wrapText="1"/>
    </xf>
    <xf numFmtId="175" fontId="17" fillId="0" borderId="50" xfId="0" applyFont="1" applyBorder="1" applyAlignment="1">
      <alignment horizontal="center"/>
    </xf>
    <xf numFmtId="4" fontId="16" fillId="0" borderId="32" xfId="0" applyNumberFormat="1" applyFont="1" applyBorder="1" applyAlignment="1">
      <alignment horizontal="right"/>
    </xf>
    <xf numFmtId="4" fontId="16" fillId="0" borderId="29" xfId="0" applyNumberFormat="1" applyFont="1" applyBorder="1" applyAlignment="1">
      <alignment horizontal="right"/>
    </xf>
    <xf numFmtId="175" fontId="17" fillId="0" borderId="17" xfId="0" applyFont="1" applyBorder="1" applyProtection="1">
      <protection locked="0"/>
    </xf>
    <xf numFmtId="175" fontId="17" fillId="0" borderId="11" xfId="0" applyFont="1" applyBorder="1" applyProtection="1">
      <protection locked="0"/>
    </xf>
    <xf numFmtId="175" fontId="17" fillId="0" borderId="18" xfId="0" applyFont="1" applyBorder="1" applyAlignment="1" applyProtection="1">
      <alignment horizontal="center" wrapText="1"/>
      <protection locked="0"/>
    </xf>
    <xf numFmtId="175" fontId="17" fillId="0" borderId="11" xfId="0" applyFont="1" applyBorder="1" applyAlignment="1" applyProtection="1">
      <alignment horizontal="center" wrapText="1"/>
      <protection locked="0"/>
    </xf>
    <xf numFmtId="175" fontId="17" fillId="0" borderId="18" xfId="0" applyFont="1" applyBorder="1" applyAlignment="1">
      <alignment horizontal="center" wrapText="1"/>
    </xf>
    <xf numFmtId="175" fontId="17" fillId="0" borderId="18" xfId="0" applyFont="1" applyBorder="1" applyAlignment="1">
      <alignment horizontal="center"/>
    </xf>
    <xf numFmtId="175" fontId="17" fillId="0" borderId="20" xfId="0" applyFont="1" applyBorder="1" applyAlignment="1">
      <alignment horizontal="center" wrapText="1"/>
    </xf>
    <xf numFmtId="175" fontId="17" fillId="0" borderId="19" xfId="0" applyFont="1" applyBorder="1" applyAlignment="1">
      <alignment horizontal="center"/>
    </xf>
    <xf numFmtId="175" fontId="17" fillId="0" borderId="19" xfId="0" applyFont="1" applyBorder="1" applyAlignment="1" applyProtection="1">
      <alignment horizontal="center"/>
      <protection locked="0"/>
    </xf>
    <xf numFmtId="175" fontId="17" fillId="0" borderId="23" xfId="0" applyFont="1" applyBorder="1" applyProtection="1">
      <protection locked="0"/>
    </xf>
    <xf numFmtId="3" fontId="17" fillId="0" borderId="20" xfId="0" applyNumberFormat="1" applyFont="1" applyBorder="1" applyAlignment="1">
      <alignment horizontal="center" wrapText="1"/>
    </xf>
    <xf numFmtId="2" fontId="17" fillId="0" borderId="18" xfId="0" applyNumberFormat="1" applyFont="1" applyBorder="1" applyAlignment="1">
      <alignment horizontal="center" wrapText="1"/>
    </xf>
    <xf numFmtId="175" fontId="17" fillId="0" borderId="26" xfId="0" applyFont="1" applyBorder="1" applyAlignment="1">
      <alignment horizontal="center"/>
    </xf>
    <xf numFmtId="3" fontId="17" fillId="0" borderId="18" xfId="0" applyNumberFormat="1" applyFont="1" applyBorder="1" applyAlignment="1">
      <alignment horizontal="center" wrapText="1"/>
    </xf>
    <xf numFmtId="3" fontId="17" fillId="0" borderId="20" xfId="0" applyNumberFormat="1" applyFont="1" applyBorder="1" applyAlignment="1" applyProtection="1">
      <alignment horizontal="center" wrapText="1"/>
      <protection locked="0"/>
    </xf>
    <xf numFmtId="175" fontId="17" fillId="0" borderId="49" xfId="0" applyFont="1" applyBorder="1" applyAlignment="1">
      <alignment horizontal="center"/>
    </xf>
    <xf numFmtId="175" fontId="17" fillId="0" borderId="28" xfId="0" applyFont="1" applyBorder="1" applyProtection="1">
      <protection locked="0"/>
    </xf>
    <xf numFmtId="175" fontId="42" fillId="0" borderId="0" xfId="0" applyFont="1" applyProtection="1">
      <protection locked="0"/>
    </xf>
    <xf numFmtId="3" fontId="42" fillId="0" borderId="0" xfId="0" applyNumberFormat="1" applyFont="1" applyProtection="1">
      <protection locked="0"/>
    </xf>
    <xf numFmtId="1" fontId="42" fillId="0" borderId="0" xfId="0" applyNumberFormat="1" applyFont="1" applyProtection="1">
      <protection locked="0"/>
    </xf>
    <xf numFmtId="175" fontId="17" fillId="47" borderId="18" xfId="0" applyFont="1" applyFill="1" applyBorder="1" applyAlignment="1" applyProtection="1">
      <alignment horizontal="center" wrapText="1"/>
      <protection locked="0"/>
    </xf>
    <xf numFmtId="175" fontId="18" fillId="47" borderId="0" xfId="67" applyFill="1" applyProtection="1">
      <protection locked="0"/>
    </xf>
    <xf numFmtId="175" fontId="16" fillId="47" borderId="0" xfId="66" applyFill="1" applyProtection="1">
      <protection locked="0"/>
    </xf>
    <xf numFmtId="17" fontId="17" fillId="47" borderId="0" xfId="0" applyNumberFormat="1" applyFont="1" applyFill="1" applyAlignment="1" applyProtection="1">
      <alignment horizontal="center"/>
      <protection locked="0"/>
    </xf>
    <xf numFmtId="175" fontId="18" fillId="47" borderId="0" xfId="0" applyFont="1" applyFill="1" applyProtection="1">
      <protection locked="0"/>
    </xf>
    <xf numFmtId="164" fontId="16" fillId="0" borderId="51" xfId="66" applyNumberFormat="1" applyBorder="1" applyProtection="1">
      <protection locked="0"/>
    </xf>
    <xf numFmtId="175" fontId="54" fillId="47" borderId="0" xfId="0" applyFont="1" applyFill="1" applyAlignment="1">
      <alignment horizontal="center"/>
    </xf>
    <xf numFmtId="175" fontId="17" fillId="0" borderId="51" xfId="66" applyFont="1" applyBorder="1" applyProtection="1">
      <protection locked="0"/>
    </xf>
    <xf numFmtId="175" fontId="17" fillId="47" borderId="0" xfId="0" applyFont="1" applyFill="1" applyProtection="1">
      <protection locked="0"/>
    </xf>
    <xf numFmtId="175" fontId="0" fillId="0" borderId="0" xfId="0" quotePrefix="1"/>
    <xf numFmtId="175" fontId="16" fillId="47" borderId="17" xfId="0" applyFont="1" applyFill="1" applyBorder="1"/>
    <xf numFmtId="3" fontId="56" fillId="47" borderId="17" xfId="0" applyNumberFormat="1" applyFont="1" applyFill="1" applyBorder="1" applyAlignment="1">
      <alignment horizontal="center"/>
    </xf>
    <xf numFmtId="175" fontId="17" fillId="0" borderId="43" xfId="66" quotePrefix="1" applyFont="1" applyBorder="1" applyAlignment="1">
      <alignment horizontal="left" wrapText="1" indent="1"/>
    </xf>
    <xf numFmtId="175" fontId="18" fillId="0" borderId="0" xfId="0" quotePrefix="1" applyFont="1" applyProtection="1">
      <protection locked="0"/>
    </xf>
    <xf numFmtId="175" fontId="68" fillId="0" borderId="0" xfId="0" applyFont="1" applyAlignment="1" applyProtection="1">
      <alignment horizontal="center"/>
      <protection locked="0"/>
    </xf>
    <xf numFmtId="168" fontId="53" fillId="0" borderId="0" xfId="52" applyNumberFormat="1" applyFont="1"/>
    <xf numFmtId="175" fontId="69" fillId="43" borderId="0" xfId="66" applyFont="1" applyFill="1"/>
    <xf numFmtId="44" fontId="69" fillId="43" borderId="0" xfId="50" applyFont="1" applyFill="1"/>
    <xf numFmtId="175" fontId="69" fillId="47" borderId="0" xfId="66" applyFont="1" applyFill="1"/>
    <xf numFmtId="17" fontId="68" fillId="47" borderId="0" xfId="0" applyNumberFormat="1" applyFont="1" applyFill="1" applyAlignment="1" applyProtection="1">
      <alignment horizontal="center"/>
      <protection locked="0"/>
    </xf>
    <xf numFmtId="175" fontId="68" fillId="44" borderId="35" xfId="66" applyFont="1" applyFill="1" applyBorder="1"/>
    <xf numFmtId="175" fontId="69" fillId="43" borderId="37" xfId="66" applyFont="1" applyFill="1" applyBorder="1"/>
    <xf numFmtId="44" fontId="69" fillId="43" borderId="37" xfId="50" applyFont="1" applyFill="1" applyBorder="1"/>
    <xf numFmtId="175" fontId="68" fillId="44" borderId="43" xfId="66" applyFont="1" applyFill="1" applyBorder="1" applyAlignment="1">
      <alignment horizontal="center"/>
    </xf>
    <xf numFmtId="175" fontId="68" fillId="44" borderId="44" xfId="66" applyFont="1" applyFill="1" applyBorder="1" applyAlignment="1">
      <alignment horizontal="center"/>
    </xf>
    <xf numFmtId="175" fontId="68" fillId="43" borderId="0" xfId="66" applyFont="1" applyFill="1" applyAlignment="1">
      <alignment horizontal="center"/>
    </xf>
    <xf numFmtId="175" fontId="68" fillId="0" borderId="44" xfId="66" applyFont="1" applyBorder="1" applyAlignment="1">
      <alignment horizontal="center"/>
    </xf>
    <xf numFmtId="164" fontId="69" fillId="0" borderId="0" xfId="66" applyNumberFormat="1" applyFont="1"/>
    <xf numFmtId="175" fontId="69" fillId="0" borderId="0" xfId="66" applyFont="1"/>
    <xf numFmtId="175" fontId="68" fillId="0" borderId="43" xfId="66" applyFont="1" applyBorder="1" applyAlignment="1">
      <alignment wrapText="1"/>
    </xf>
    <xf numFmtId="175" fontId="68" fillId="0" borderId="20" xfId="66" applyFont="1" applyBorder="1"/>
    <xf numFmtId="43" fontId="16" fillId="0" borderId="24" xfId="0" applyNumberFormat="1" applyFont="1" applyBorder="1" applyAlignment="1">
      <alignment horizontal="right"/>
    </xf>
    <xf numFmtId="175" fontId="16" fillId="47" borderId="13" xfId="0" applyFont="1" applyFill="1" applyBorder="1"/>
    <xf numFmtId="6" fontId="37" fillId="0" borderId="11" xfId="67" applyNumberFormat="1" applyFont="1" applyBorder="1" applyAlignment="1" applyProtection="1">
      <alignment horizontal="center"/>
      <protection locked="0"/>
    </xf>
    <xf numFmtId="4" fontId="16" fillId="0" borderId="24" xfId="0" applyNumberFormat="1" applyFont="1" applyBorder="1" applyAlignment="1">
      <alignment horizontal="right"/>
    </xf>
    <xf numFmtId="4" fontId="16" fillId="0" borderId="25" xfId="0" applyNumberFormat="1" applyFont="1" applyBorder="1" applyAlignment="1">
      <alignment horizontal="right"/>
    </xf>
    <xf numFmtId="2" fontId="16" fillId="0" borderId="24" xfId="0" applyNumberFormat="1" applyFont="1" applyBorder="1" applyAlignment="1">
      <alignment horizontal="right"/>
    </xf>
    <xf numFmtId="2" fontId="16" fillId="0" borderId="29" xfId="0" applyNumberFormat="1" applyFont="1" applyBorder="1" applyAlignment="1">
      <alignment horizontal="right"/>
    </xf>
    <xf numFmtId="165" fontId="16" fillId="0" borderId="32" xfId="0" applyNumberFormat="1" applyFont="1" applyBorder="1" applyAlignment="1">
      <alignment horizontal="right"/>
    </xf>
    <xf numFmtId="165" fontId="16" fillId="0" borderId="25" xfId="0" applyNumberFormat="1" applyFont="1" applyBorder="1" applyAlignment="1">
      <alignment horizontal="right"/>
    </xf>
    <xf numFmtId="175" fontId="71" fillId="0" borderId="0" xfId="0" applyFont="1" applyAlignment="1">
      <alignment vertical="center"/>
    </xf>
    <xf numFmtId="164" fontId="17" fillId="0" borderId="37" xfId="66" applyNumberFormat="1" applyFont="1" applyBorder="1" applyAlignment="1">
      <alignment horizontal="center"/>
    </xf>
    <xf numFmtId="175" fontId="16" fillId="0" borderId="0" xfId="66" applyAlignment="1">
      <alignment horizontal="center"/>
    </xf>
    <xf numFmtId="2" fontId="16" fillId="0" borderId="24" xfId="0" applyNumberFormat="1" applyFont="1" applyBorder="1"/>
    <xf numFmtId="2" fontId="16" fillId="0" borderId="25" xfId="0" applyNumberFormat="1" applyFont="1" applyBorder="1" applyAlignment="1">
      <alignment horizontal="right"/>
    </xf>
    <xf numFmtId="2" fontId="16" fillId="0" borderId="32" xfId="0" applyNumberFormat="1" applyFont="1" applyBorder="1" applyAlignment="1">
      <alignment horizontal="right"/>
    </xf>
    <xf numFmtId="2" fontId="16" fillId="0" borderId="29" xfId="0" applyNumberFormat="1" applyFont="1" applyBorder="1"/>
    <xf numFmtId="175" fontId="17" fillId="47" borderId="0" xfId="66" applyFont="1" applyFill="1" applyAlignment="1" applyProtection="1">
      <alignment horizontal="center"/>
      <protection locked="0"/>
    </xf>
    <xf numFmtId="171" fontId="17" fillId="47" borderId="0" xfId="0" applyNumberFormat="1" applyFont="1" applyFill="1" applyAlignment="1" applyProtection="1">
      <alignment horizontal="center"/>
      <protection locked="0"/>
    </xf>
    <xf numFmtId="175" fontId="71" fillId="0" borderId="0" xfId="0" applyFont="1" applyProtection="1">
      <protection locked="0"/>
    </xf>
    <xf numFmtId="175" fontId="71" fillId="0" borderId="0" xfId="0" applyFont="1"/>
    <xf numFmtId="175" fontId="71" fillId="0" borderId="0" xfId="0" applyFont="1" applyAlignment="1">
      <alignment vertical="top"/>
    </xf>
    <xf numFmtId="175" fontId="73" fillId="0" borderId="0" xfId="0" applyFont="1" applyAlignment="1" applyProtection="1">
      <alignment horizontal="left"/>
      <protection locked="0"/>
    </xf>
    <xf numFmtId="175" fontId="73" fillId="0" borderId="0" xfId="0" applyFont="1" applyAlignment="1">
      <alignment horizontal="left" vertical="top"/>
    </xf>
    <xf numFmtId="4" fontId="16" fillId="0" borderId="0" xfId="66" applyNumberFormat="1" applyProtection="1">
      <protection locked="0"/>
    </xf>
    <xf numFmtId="175" fontId="68" fillId="0" borderId="0" xfId="66" applyFont="1" applyAlignment="1">
      <alignment wrapText="1"/>
    </xf>
    <xf numFmtId="164" fontId="68" fillId="43" borderId="0" xfId="66" applyNumberFormat="1" applyFont="1" applyFill="1"/>
    <xf numFmtId="164" fontId="68" fillId="0" borderId="0" xfId="66" applyNumberFormat="1" applyFont="1" applyAlignment="1">
      <alignment horizontal="right"/>
    </xf>
    <xf numFmtId="165" fontId="16" fillId="0" borderId="24" xfId="0" applyNumberFormat="1" applyFont="1" applyBorder="1" applyAlignment="1">
      <alignment horizontal="right"/>
    </xf>
    <xf numFmtId="165" fontId="16" fillId="0" borderId="30" xfId="0" applyNumberFormat="1" applyFont="1" applyBorder="1" applyAlignment="1">
      <alignment horizontal="right"/>
    </xf>
    <xf numFmtId="39" fontId="17" fillId="0" borderId="11" xfId="0" applyNumberFormat="1" applyFont="1" applyBorder="1" applyAlignment="1">
      <alignment horizontal="center"/>
    </xf>
    <xf numFmtId="6" fontId="16" fillId="0" borderId="0" xfId="66" applyNumberFormat="1" applyAlignment="1" applyProtection="1">
      <alignment horizontal="center"/>
      <protection locked="0"/>
    </xf>
    <xf numFmtId="40" fontId="16" fillId="0" borderId="24" xfId="0" applyNumberFormat="1" applyFont="1" applyBorder="1" applyAlignment="1">
      <alignment horizontal="right"/>
    </xf>
    <xf numFmtId="40" fontId="16" fillId="0" borderId="25" xfId="0" applyNumberFormat="1" applyFont="1" applyBorder="1" applyAlignment="1">
      <alignment horizontal="right"/>
    </xf>
    <xf numFmtId="175" fontId="17" fillId="0" borderId="14" xfId="66" applyFont="1" applyBorder="1" applyAlignment="1" applyProtection="1">
      <alignment horizontal="right"/>
      <protection locked="0"/>
    </xf>
    <xf numFmtId="175" fontId="17" fillId="0" borderId="14" xfId="66" quotePrefix="1" applyFont="1" applyBorder="1" applyAlignment="1" applyProtection="1">
      <alignment horizontal="right"/>
      <protection locked="0"/>
    </xf>
    <xf numFmtId="6" fontId="53" fillId="0" borderId="0" xfId="520" applyNumberFormat="1" applyFont="1"/>
    <xf numFmtId="175" fontId="71" fillId="47" borderId="0" xfId="66" applyFont="1" applyFill="1" applyProtection="1">
      <protection locked="0"/>
    </xf>
    <xf numFmtId="0" fontId="53" fillId="0" borderId="0" xfId="520" applyFont="1"/>
    <xf numFmtId="0" fontId="16" fillId="0" borderId="0" xfId="522"/>
    <xf numFmtId="0" fontId="53" fillId="47" borderId="0" xfId="520" applyFont="1" applyFill="1"/>
    <xf numFmtId="168" fontId="53" fillId="0" borderId="0" xfId="520" applyNumberFormat="1" applyFont="1"/>
    <xf numFmtId="4" fontId="16" fillId="0" borderId="30" xfId="0" applyNumberFormat="1" applyFont="1" applyBorder="1" applyAlignment="1">
      <alignment horizontal="right"/>
    </xf>
    <xf numFmtId="175" fontId="37" fillId="0" borderId="0" xfId="67" applyFont="1"/>
    <xf numFmtId="3" fontId="56" fillId="47" borderId="21" xfId="0" applyNumberFormat="1" applyFont="1" applyFill="1" applyBorder="1" applyAlignment="1">
      <alignment horizontal="center"/>
    </xf>
    <xf numFmtId="175" fontId="16" fillId="47" borderId="17" xfId="0" applyFont="1" applyFill="1" applyBorder="1" applyProtection="1">
      <protection locked="0"/>
    </xf>
    <xf numFmtId="175" fontId="16" fillId="47" borderId="13" xfId="0" applyFont="1" applyFill="1" applyBorder="1" applyProtection="1">
      <protection locked="0"/>
    </xf>
    <xf numFmtId="175" fontId="17" fillId="0" borderId="34" xfId="0" applyFont="1" applyBorder="1" applyAlignment="1">
      <alignment horizontal="center"/>
    </xf>
    <xf numFmtId="3" fontId="16" fillId="0" borderId="11" xfId="0" applyNumberFormat="1" applyFont="1" applyBorder="1" applyAlignment="1">
      <alignment horizontal="left" vertical="center" wrapText="1"/>
    </xf>
    <xf numFmtId="175" fontId="37" fillId="0" borderId="11" xfId="0" applyFont="1" applyBorder="1" applyAlignment="1" applyProtection="1">
      <alignment horizontal="left"/>
      <protection locked="0"/>
    </xf>
    <xf numFmtId="175" fontId="37" fillId="47" borderId="11" xfId="0" applyFont="1" applyFill="1" applyBorder="1" applyAlignment="1" applyProtection="1">
      <alignment horizontal="left"/>
      <protection locked="0"/>
    </xf>
    <xf numFmtId="44" fontId="69" fillId="0" borderId="0" xfId="50" applyFont="1"/>
    <xf numFmtId="0" fontId="76" fillId="0" borderId="0" xfId="520" applyFont="1"/>
    <xf numFmtId="0" fontId="76" fillId="0" borderId="27" xfId="520" applyFont="1" applyBorder="1" applyAlignment="1">
      <alignment horizontal="center" vertical="center"/>
    </xf>
    <xf numFmtId="0" fontId="77" fillId="0" borderId="14" xfId="520" applyFont="1" applyBorder="1" applyAlignment="1">
      <alignment horizontal="center" vertical="center" wrapText="1"/>
    </xf>
    <xf numFmtId="6" fontId="76" fillId="0" borderId="0" xfId="520" applyNumberFormat="1" applyFont="1"/>
    <xf numFmtId="6" fontId="76" fillId="0" borderId="14" xfId="520" applyNumberFormat="1" applyFont="1" applyBorder="1"/>
    <xf numFmtId="0" fontId="76" fillId="46" borderId="0" xfId="520" applyFont="1" applyFill="1"/>
    <xf numFmtId="0" fontId="79" fillId="0" borderId="0" xfId="520" applyFont="1"/>
    <xf numFmtId="6" fontId="77" fillId="0" borderId="0" xfId="520" applyNumberFormat="1" applyFont="1"/>
    <xf numFmtId="165" fontId="18" fillId="47" borderId="0" xfId="0" applyNumberFormat="1" applyFont="1" applyFill="1" applyProtection="1">
      <protection locked="0"/>
    </xf>
    <xf numFmtId="6" fontId="76" fillId="0" borderId="41" xfId="520" applyNumberFormat="1" applyFont="1" applyBorder="1"/>
    <xf numFmtId="6" fontId="76" fillId="0" borderId="16" xfId="520" applyNumberFormat="1" applyFont="1" applyBorder="1"/>
    <xf numFmtId="0" fontId="76" fillId="0" borderId="17" xfId="520" applyFont="1" applyBorder="1"/>
    <xf numFmtId="0" fontId="77" fillId="0" borderId="22" xfId="520" applyFont="1" applyBorder="1"/>
    <xf numFmtId="175" fontId="16" fillId="0" borderId="55" xfId="66" applyBorder="1" applyProtection="1">
      <protection locked="0"/>
    </xf>
    <xf numFmtId="175" fontId="16" fillId="0" borderId="56" xfId="66" applyBorder="1" applyProtection="1">
      <protection locked="0"/>
    </xf>
    <xf numFmtId="175" fontId="16" fillId="0" borderId="57" xfId="66" applyBorder="1" applyProtection="1">
      <protection locked="0"/>
    </xf>
    <xf numFmtId="175" fontId="18" fillId="0" borderId="20" xfId="0" applyFont="1" applyBorder="1" applyAlignment="1" applyProtection="1">
      <alignment horizontal="left"/>
      <protection locked="0"/>
    </xf>
    <xf numFmtId="175" fontId="37" fillId="0" borderId="15" xfId="0" applyFont="1" applyBorder="1" applyAlignment="1" applyProtection="1">
      <alignment horizontal="center" wrapText="1"/>
      <protection locked="0"/>
    </xf>
    <xf numFmtId="166" fontId="18" fillId="0" borderId="11" xfId="46" applyNumberFormat="1" applyFont="1" applyBorder="1" applyAlignment="1" applyProtection="1">
      <alignment horizontal="right"/>
      <protection locked="0"/>
    </xf>
    <xf numFmtId="175" fontId="17" fillId="0" borderId="58" xfId="66" applyFont="1" applyBorder="1" applyProtection="1">
      <protection locked="0"/>
    </xf>
    <xf numFmtId="175" fontId="17" fillId="0" borderId="34" xfId="66" applyFont="1" applyBorder="1" applyProtection="1">
      <protection locked="0"/>
    </xf>
    <xf numFmtId="175" fontId="19" fillId="0" borderId="17" xfId="66" applyFont="1" applyBorder="1" applyAlignment="1">
      <alignment wrapText="1"/>
    </xf>
    <xf numFmtId="175" fontId="16" fillId="0" borderId="17" xfId="66" applyBorder="1" applyAlignment="1">
      <alignment horizontal="left" indent="1"/>
    </xf>
    <xf numFmtId="175" fontId="16" fillId="47" borderId="17" xfId="66" applyFill="1" applyBorder="1" applyAlignment="1">
      <alignment horizontal="left" indent="1"/>
    </xf>
    <xf numFmtId="175" fontId="17" fillId="0" borderId="20" xfId="66" applyFont="1" applyBorder="1"/>
    <xf numFmtId="175" fontId="17" fillId="0" borderId="17" xfId="66" applyFont="1" applyBorder="1"/>
    <xf numFmtId="175" fontId="16" fillId="0" borderId="17" xfId="66" quotePrefix="1" applyBorder="1" applyAlignment="1">
      <alignment horizontal="left" indent="1"/>
    </xf>
    <xf numFmtId="175" fontId="17" fillId="0" borderId="20" xfId="66" applyFont="1" applyBorder="1" applyAlignment="1">
      <alignment wrapText="1"/>
    </xf>
    <xf numFmtId="175" fontId="17" fillId="0" borderId="22" xfId="66" applyFont="1" applyBorder="1" applyAlignment="1" applyProtection="1">
      <alignment wrapText="1"/>
      <protection locked="0"/>
    </xf>
    <xf numFmtId="0" fontId="78" fillId="49" borderId="18" xfId="520" applyFont="1" applyFill="1" applyBorder="1"/>
    <xf numFmtId="175" fontId="68" fillId="47" borderId="40" xfId="66" applyFont="1" applyFill="1" applyBorder="1" applyAlignment="1">
      <alignment horizontal="center"/>
    </xf>
    <xf numFmtId="175" fontId="69" fillId="0" borderId="40" xfId="66" applyFont="1" applyBorder="1"/>
    <xf numFmtId="175" fontId="69" fillId="47" borderId="40" xfId="66" applyFont="1" applyFill="1" applyBorder="1"/>
    <xf numFmtId="175" fontId="16" fillId="47" borderId="13" xfId="66" applyFill="1" applyBorder="1" applyProtection="1">
      <protection locked="0"/>
    </xf>
    <xf numFmtId="6" fontId="76" fillId="0" borderId="13" xfId="520" applyNumberFormat="1" applyFont="1" applyBorder="1"/>
    <xf numFmtId="175" fontId="64" fillId="0" borderId="0" xfId="66" applyFont="1" applyProtection="1">
      <protection locked="0"/>
    </xf>
    <xf numFmtId="175" fontId="16" fillId="0" borderId="17" xfId="66" applyBorder="1"/>
    <xf numFmtId="175" fontId="16" fillId="47" borderId="17" xfId="0" applyFont="1" applyFill="1" applyBorder="1" applyAlignment="1">
      <alignment horizontal="left"/>
    </xf>
    <xf numFmtId="175" fontId="68" fillId="0" borderId="52" xfId="66" applyFont="1" applyBorder="1"/>
    <xf numFmtId="175" fontId="17" fillId="0" borderId="54" xfId="66" applyFont="1" applyBorder="1" applyAlignment="1">
      <alignment horizontal="center"/>
    </xf>
    <xf numFmtId="175" fontId="17" fillId="0" borderId="54" xfId="66" applyFont="1" applyBorder="1" applyAlignment="1">
      <alignment horizontal="left"/>
    </xf>
    <xf numFmtId="175" fontId="16" fillId="0" borderId="54" xfId="66" applyBorder="1"/>
    <xf numFmtId="175" fontId="17" fillId="0" borderId="54" xfId="66" applyFont="1" applyBorder="1"/>
    <xf numFmtId="175" fontId="17" fillId="0" borderId="54" xfId="66" applyFont="1" applyBorder="1" applyAlignment="1">
      <alignment horizontal="left" indent="1"/>
    </xf>
    <xf numFmtId="175" fontId="17" fillId="0" borderId="54" xfId="66" applyFont="1" applyBorder="1" applyAlignment="1">
      <alignment horizontal="center" wrapText="1"/>
    </xf>
    <xf numFmtId="175" fontId="17" fillId="0" borderId="61" xfId="66" applyFont="1" applyBorder="1" applyAlignment="1">
      <alignment wrapText="1"/>
    </xf>
    <xf numFmtId="175" fontId="65" fillId="0" borderId="0" xfId="66" applyFont="1" applyProtection="1">
      <protection locked="0"/>
    </xf>
    <xf numFmtId="43" fontId="16" fillId="50" borderId="27" xfId="46" quotePrefix="1" applyFill="1" applyBorder="1" applyAlignment="1">
      <alignment horizontal="left"/>
    </xf>
    <xf numFmtId="43" fontId="16" fillId="50" borderId="48" xfId="46" quotePrefix="1" applyFill="1" applyBorder="1" applyAlignment="1">
      <alignment horizontal="left"/>
    </xf>
    <xf numFmtId="43" fontId="16" fillId="50" borderId="0" xfId="46" quotePrefix="1" applyFill="1" applyAlignment="1">
      <alignment horizontal="left"/>
    </xf>
    <xf numFmtId="43" fontId="16" fillId="50" borderId="41" xfId="46" quotePrefix="1" applyFill="1" applyBorder="1" applyAlignment="1">
      <alignment horizontal="left"/>
    </xf>
    <xf numFmtId="43" fontId="16" fillId="50" borderId="14" xfId="46" quotePrefix="1" applyFill="1" applyBorder="1" applyAlignment="1">
      <alignment horizontal="left"/>
    </xf>
    <xf numFmtId="43" fontId="16" fillId="50" borderId="16" xfId="46" quotePrefix="1" applyFill="1" applyBorder="1" applyAlignment="1">
      <alignment horizontal="left"/>
    </xf>
    <xf numFmtId="43" fontId="16" fillId="50" borderId="0" xfId="46" quotePrefix="1" applyFill="1" applyAlignment="1">
      <alignment horizontal="center"/>
    </xf>
    <xf numFmtId="3" fontId="17" fillId="47" borderId="18" xfId="0" applyNumberFormat="1" applyFont="1" applyFill="1" applyBorder="1" applyAlignment="1">
      <alignment horizontal="center" wrapText="1"/>
    </xf>
    <xf numFmtId="175" fontId="17" fillId="47" borderId="26" xfId="0" applyFont="1" applyFill="1" applyBorder="1" applyAlignment="1">
      <alignment horizontal="center"/>
    </xf>
    <xf numFmtId="175" fontId="83" fillId="0" borderId="0" xfId="0" applyFont="1" applyAlignment="1" applyProtection="1">
      <alignment vertical="center"/>
      <protection locked="0"/>
    </xf>
    <xf numFmtId="175" fontId="84" fillId="0" borderId="0" xfId="0" applyFont="1" applyAlignment="1" applyProtection="1">
      <alignment vertical="center"/>
      <protection locked="0"/>
    </xf>
    <xf numFmtId="175" fontId="37" fillId="47" borderId="0" xfId="0" applyFont="1" applyFill="1" applyProtection="1">
      <protection locked="0"/>
    </xf>
    <xf numFmtId="43" fontId="16" fillId="0" borderId="0" xfId="46" applyProtection="1">
      <protection locked="0"/>
    </xf>
    <xf numFmtId="2" fontId="18" fillId="0" borderId="0" xfId="0" applyNumberFormat="1" applyFont="1" applyProtection="1">
      <protection locked="0"/>
    </xf>
    <xf numFmtId="0" fontId="18" fillId="0" borderId="11" xfId="67" applyNumberFormat="1" applyBorder="1" applyAlignment="1">
      <alignment horizontal="center" vertical="center" wrapText="1"/>
    </xf>
    <xf numFmtId="6" fontId="18" fillId="0" borderId="11" xfId="67" applyNumberFormat="1" applyBorder="1" applyAlignment="1">
      <alignment horizontal="center" vertical="center" wrapText="1"/>
    </xf>
    <xf numFmtId="175" fontId="18" fillId="0" borderId="11" xfId="67" applyBorder="1" applyAlignment="1">
      <alignment horizontal="left" vertical="center" wrapText="1"/>
    </xf>
    <xf numFmtId="14" fontId="18" fillId="0" borderId="11" xfId="67" applyNumberFormat="1" applyBorder="1" applyAlignment="1">
      <alignment horizontal="center" vertical="center" wrapText="1"/>
    </xf>
    <xf numFmtId="175" fontId="37" fillId="0" borderId="0" xfId="67" applyFont="1" applyAlignment="1">
      <alignment horizontal="center" vertical="center"/>
    </xf>
    <xf numFmtId="0" fontId="18" fillId="0" borderId="11" xfId="67" applyNumberFormat="1" applyBorder="1" applyAlignment="1" applyProtection="1">
      <alignment horizontal="center" vertical="center"/>
      <protection locked="0"/>
    </xf>
    <xf numFmtId="6" fontId="18" fillId="0" borderId="11" xfId="67" applyNumberFormat="1" applyBorder="1" applyAlignment="1" applyProtection="1">
      <alignment horizontal="center" vertical="center"/>
      <protection locked="0"/>
    </xf>
    <xf numFmtId="175" fontId="18" fillId="0" borderId="0" xfId="67" applyAlignment="1" applyProtection="1">
      <alignment vertical="center"/>
      <protection locked="0"/>
    </xf>
    <xf numFmtId="175" fontId="18" fillId="0" borderId="11" xfId="67" applyBorder="1" applyAlignment="1">
      <alignment horizontal="center" vertical="center" wrapText="1"/>
    </xf>
    <xf numFmtId="175" fontId="18" fillId="0" borderId="11" xfId="67" applyBorder="1" applyAlignment="1" applyProtection="1">
      <alignment horizontal="center" vertical="center" wrapText="1"/>
      <protection locked="0"/>
    </xf>
    <xf numFmtId="175" fontId="18" fillId="0" borderId="0" xfId="0" applyFont="1" applyAlignment="1">
      <alignment horizontal="center"/>
    </xf>
    <xf numFmtId="172" fontId="16" fillId="0" borderId="0" xfId="0" applyNumberFormat="1" applyFont="1"/>
    <xf numFmtId="175" fontId="42" fillId="0" borderId="0" xfId="0" applyFont="1"/>
    <xf numFmtId="3" fontId="42" fillId="0" borderId="0" xfId="0" applyNumberFormat="1" applyFont="1"/>
    <xf numFmtId="175" fontId="18" fillId="47" borderId="0" xfId="0" applyFont="1" applyFill="1" applyAlignment="1">
      <alignment horizontal="center"/>
    </xf>
    <xf numFmtId="0" fontId="16" fillId="0" borderId="0" xfId="66" applyNumberFormat="1"/>
    <xf numFmtId="175" fontId="16" fillId="47" borderId="0" xfId="66" applyFont="1" applyFill="1" applyAlignment="1" applyProtection="1">
      <alignment horizontal="center"/>
      <protection locked="0"/>
    </xf>
    <xf numFmtId="175" fontId="16" fillId="47" borderId="0" xfId="66" applyFont="1" applyFill="1" applyProtection="1">
      <protection locked="0"/>
    </xf>
    <xf numFmtId="171" fontId="16" fillId="47" borderId="0" xfId="66" applyNumberFormat="1" applyFont="1" applyFill="1" applyAlignment="1" applyProtection="1">
      <alignment horizontal="center"/>
      <protection locked="0"/>
    </xf>
    <xf numFmtId="175" fontId="16" fillId="0" borderId="0" xfId="66" applyBorder="1"/>
    <xf numFmtId="175" fontId="17" fillId="44" borderId="53" xfId="66" applyFont="1" applyFill="1" applyBorder="1" applyAlignment="1">
      <alignment horizontal="center"/>
    </xf>
    <xf numFmtId="175" fontId="17" fillId="0" borderId="53" xfId="0" applyFont="1" applyBorder="1" applyAlignment="1">
      <alignment wrapText="1"/>
    </xf>
    <xf numFmtId="175" fontId="17" fillId="0" borderId="60" xfId="66" applyFont="1" applyBorder="1" applyAlignment="1">
      <alignment horizontal="left"/>
    </xf>
    <xf numFmtId="175" fontId="17" fillId="0" borderId="20" xfId="66" applyFont="1" applyBorder="1" applyAlignment="1" applyProtection="1">
      <alignment horizontal="center"/>
      <protection locked="0"/>
    </xf>
    <xf numFmtId="6" fontId="76" fillId="0" borderId="0" xfId="520" applyNumberFormat="1" applyFont="1" applyBorder="1"/>
    <xf numFmtId="0" fontId="76" fillId="0" borderId="0" xfId="520" applyFont="1" applyBorder="1"/>
    <xf numFmtId="0" fontId="77" fillId="0" borderId="21" xfId="520" applyFont="1" applyBorder="1"/>
    <xf numFmtId="164" fontId="69" fillId="0" borderId="27" xfId="66" applyNumberFormat="1" applyFont="1" applyBorder="1"/>
    <xf numFmtId="175" fontId="81" fillId="0" borderId="0" xfId="0" quotePrefix="1" applyFont="1" applyAlignment="1">
      <alignment vertical="center"/>
    </xf>
    <xf numFmtId="175" fontId="81" fillId="0" borderId="0" xfId="0" quotePrefix="1" applyFont="1" applyProtection="1">
      <protection locked="0"/>
    </xf>
    <xf numFmtId="175" fontId="85" fillId="47" borderId="0" xfId="0" quotePrefix="1" applyFont="1" applyFill="1" applyProtection="1">
      <protection locked="0"/>
    </xf>
    <xf numFmtId="175" fontId="17" fillId="0" borderId="20" xfId="66" applyFont="1" applyBorder="1" applyAlignment="1" applyProtection="1">
      <alignment horizontal="right"/>
      <protection locked="0"/>
    </xf>
    <xf numFmtId="6" fontId="16" fillId="0" borderId="22" xfId="66" applyNumberFormat="1" applyBorder="1" applyAlignment="1">
      <alignment horizontal="right"/>
    </xf>
    <xf numFmtId="0" fontId="17" fillId="0" borderId="0" xfId="522" applyFont="1" applyAlignment="1" applyProtection="1">
      <alignment horizontal="center"/>
      <protection locked="0"/>
    </xf>
    <xf numFmtId="17" fontId="17" fillId="47" borderId="0" xfId="522" quotePrefix="1" applyNumberFormat="1" applyFont="1" applyFill="1" applyAlignment="1" applyProtection="1">
      <alignment horizontal="center"/>
      <protection locked="0"/>
    </xf>
    <xf numFmtId="0" fontId="57" fillId="49" borderId="18" xfId="520" applyFont="1" applyFill="1" applyBorder="1"/>
    <xf numFmtId="0" fontId="17" fillId="0" borderId="18" xfId="520" applyFont="1" applyBorder="1" applyAlignment="1">
      <alignment horizontal="center"/>
    </xf>
    <xf numFmtId="0" fontId="17" fillId="0" borderId="14" xfId="520" applyFont="1" applyBorder="1" applyAlignment="1">
      <alignment horizontal="center"/>
    </xf>
    <xf numFmtId="0" fontId="17" fillId="0" borderId="21" xfId="520" applyFont="1" applyBorder="1" applyAlignment="1">
      <alignment wrapText="1"/>
    </xf>
    <xf numFmtId="0" fontId="16" fillId="0" borderId="17" xfId="520" applyFont="1" applyBorder="1" applyAlignment="1">
      <alignment horizontal="left" indent="2"/>
    </xf>
    <xf numFmtId="0" fontId="16" fillId="0" borderId="17" xfId="520" applyFont="1" applyBorder="1" applyAlignment="1">
      <alignment horizontal="left" wrapText="1" indent="2"/>
    </xf>
    <xf numFmtId="0" fontId="16" fillId="47" borderId="17" xfId="520" applyFont="1" applyFill="1" applyBorder="1" applyAlignment="1">
      <alignment horizontal="left" wrapText="1" indent="2"/>
    </xf>
    <xf numFmtId="0" fontId="88" fillId="0" borderId="17" xfId="520" applyFont="1" applyBorder="1"/>
    <xf numFmtId="0" fontId="57" fillId="49" borderId="20" xfId="520" applyFont="1" applyFill="1" applyBorder="1"/>
    <xf numFmtId="0" fontId="57" fillId="0" borderId="21" xfId="520" applyFont="1" applyBorder="1"/>
    <xf numFmtId="3" fontId="48" fillId="0" borderId="17" xfId="0" applyNumberFormat="1" applyFont="1" applyFill="1" applyBorder="1" applyAlignment="1" applyProtection="1">
      <alignment horizontal="center"/>
      <protection locked="0"/>
    </xf>
    <xf numFmtId="175" fontId="17" fillId="47" borderId="0" xfId="0" applyFont="1" applyFill="1" applyAlignment="1" applyProtection="1">
      <alignment wrapText="1"/>
      <protection locked="0"/>
    </xf>
    <xf numFmtId="175" fontId="17" fillId="0" borderId="11" xfId="0" applyFont="1" applyBorder="1" applyAlignment="1">
      <alignment horizontal="center"/>
    </xf>
    <xf numFmtId="175" fontId="0" fillId="0" borderId="48" xfId="0" applyBorder="1"/>
    <xf numFmtId="2" fontId="42" fillId="0" borderId="0" xfId="0" applyNumberFormat="1" applyFont="1" applyProtection="1">
      <protection locked="0"/>
    </xf>
    <xf numFmtId="175" fontId="16" fillId="0" borderId="0" xfId="0" applyFont="1" applyFill="1" applyBorder="1"/>
    <xf numFmtId="175" fontId="16" fillId="0" borderId="0" xfId="0" applyFont="1" applyFill="1" applyBorder="1" applyProtection="1">
      <protection locked="0"/>
    </xf>
    <xf numFmtId="2" fontId="16" fillId="0" borderId="0" xfId="0" applyNumberFormat="1" applyFont="1" applyFill="1" applyBorder="1" applyProtection="1">
      <protection locked="0"/>
    </xf>
    <xf numFmtId="1" fontId="16" fillId="0" borderId="0" xfId="0" applyNumberFormat="1" applyFont="1" applyFill="1" applyBorder="1" applyProtection="1">
      <protection locked="0"/>
    </xf>
    <xf numFmtId="1" fontId="16" fillId="0" borderId="67" xfId="0" applyNumberFormat="1" applyFont="1" applyFill="1" applyBorder="1" applyProtection="1">
      <protection locked="0"/>
    </xf>
    <xf numFmtId="175" fontId="16" fillId="0" borderId="0" xfId="0" applyFont="1" applyAlignment="1" applyProtection="1">
      <alignment vertical="top"/>
      <protection locked="0"/>
    </xf>
    <xf numFmtId="175" fontId="16" fillId="0" borderId="0" xfId="0" applyFont="1" applyFill="1" applyAlignment="1" applyProtection="1">
      <alignment vertical="top"/>
      <protection locked="0"/>
    </xf>
    <xf numFmtId="175" fontId="89" fillId="0" borderId="0" xfId="0" applyFont="1" applyFill="1" applyBorder="1" applyAlignment="1">
      <alignment horizontal="center" vertical="top"/>
    </xf>
    <xf numFmtId="175" fontId="89" fillId="0" borderId="66" xfId="0" applyFont="1" applyFill="1" applyBorder="1" applyAlignment="1">
      <alignment horizontal="center" vertical="top"/>
    </xf>
    <xf numFmtId="43" fontId="89" fillId="0" borderId="18" xfId="0" applyNumberFormat="1" applyFont="1" applyFill="1" applyBorder="1" applyAlignment="1" applyProtection="1">
      <alignment horizontal="center" vertical="top" wrapText="1"/>
      <protection locked="0"/>
    </xf>
    <xf numFmtId="43" fontId="89" fillId="0" borderId="11" xfId="0" applyNumberFormat="1" applyFont="1" applyFill="1" applyBorder="1" applyAlignment="1" applyProtection="1">
      <alignment horizontal="center" vertical="top" wrapText="1"/>
      <protection locked="0"/>
    </xf>
    <xf numFmtId="1" fontId="59" fillId="0" borderId="67" xfId="0" applyNumberFormat="1" applyFont="1" applyFill="1" applyBorder="1"/>
    <xf numFmtId="175" fontId="59" fillId="0" borderId="68" xfId="0" applyFont="1" applyFill="1" applyBorder="1"/>
    <xf numFmtId="175" fontId="59" fillId="0" borderId="68" xfId="0" applyFont="1" applyFill="1" applyBorder="1" applyProtection="1">
      <protection locked="0"/>
    </xf>
    <xf numFmtId="176" fontId="16" fillId="0" borderId="0" xfId="0" applyNumberFormat="1" applyFont="1" applyFill="1" applyBorder="1" applyProtection="1">
      <protection locked="0"/>
    </xf>
    <xf numFmtId="0" fontId="16" fillId="0" borderId="0" xfId="0" applyNumberFormat="1" applyFont="1" applyFill="1" applyAlignment="1" applyProtection="1">
      <alignment vertical="top"/>
      <protection locked="0"/>
    </xf>
    <xf numFmtId="0" fontId="4" fillId="0" borderId="0" xfId="888"/>
    <xf numFmtId="0" fontId="17" fillId="0" borderId="14" xfId="520" quotePrefix="1" applyNumberFormat="1" applyFont="1" applyBorder="1" applyAlignment="1">
      <alignment horizontal="center"/>
    </xf>
    <xf numFmtId="1" fontId="16" fillId="0" borderId="0" xfId="0" applyNumberFormat="1" applyFont="1" applyProtection="1">
      <protection locked="0"/>
    </xf>
    <xf numFmtId="175" fontId="69" fillId="47" borderId="40" xfId="0" applyFont="1" applyFill="1" applyBorder="1"/>
    <xf numFmtId="175" fontId="69" fillId="0" borderId="0" xfId="0" applyFont="1" applyFill="1" applyBorder="1" applyAlignment="1">
      <alignment horizontal="left"/>
    </xf>
    <xf numFmtId="175" fontId="68" fillId="0" borderId="70" xfId="66" applyFont="1" applyBorder="1" applyAlignment="1">
      <alignment horizontal="left" wrapText="1" indent="1"/>
    </xf>
    <xf numFmtId="175" fontId="46" fillId="0" borderId="0" xfId="66" applyFont="1" applyFill="1"/>
    <xf numFmtId="3" fontId="16" fillId="47" borderId="41" xfId="0" applyNumberFormat="1" applyFont="1" applyFill="1" applyBorder="1" applyAlignment="1" applyProtection="1">
      <alignment wrapText="1"/>
      <protection locked="0"/>
    </xf>
    <xf numFmtId="165" fontId="16" fillId="47" borderId="0" xfId="0" applyNumberFormat="1" applyFont="1" applyFill="1" applyProtection="1">
      <protection locked="0"/>
    </xf>
    <xf numFmtId="172" fontId="18" fillId="47" borderId="11" xfId="46" applyNumberFormat="1" applyFont="1" applyFill="1" applyBorder="1" applyAlignment="1">
      <alignment horizontal="right"/>
    </xf>
    <xf numFmtId="3" fontId="16" fillId="0" borderId="71" xfId="0" applyNumberFormat="1" applyFont="1" applyBorder="1" applyAlignment="1">
      <alignment horizontal="left" vertical="center" wrapText="1"/>
    </xf>
    <xf numFmtId="175" fontId="0" fillId="0" borderId="0" xfId="0" applyBorder="1"/>
    <xf numFmtId="175" fontId="71" fillId="0" borderId="0" xfId="66" applyFont="1" applyAlignment="1">
      <alignment wrapText="1"/>
    </xf>
    <xf numFmtId="164" fontId="17" fillId="0" borderId="0" xfId="66" applyNumberFormat="1" applyFont="1" applyBorder="1"/>
    <xf numFmtId="175" fontId="71" fillId="0" borderId="0" xfId="66" applyFont="1" applyBorder="1" applyAlignment="1">
      <alignment wrapText="1"/>
    </xf>
    <xf numFmtId="3" fontId="16" fillId="0" borderId="0" xfId="0" applyNumberFormat="1" applyFont="1" applyBorder="1" applyAlignment="1">
      <alignment horizontal="left" vertical="center" wrapText="1"/>
    </xf>
    <xf numFmtId="175" fontId="37" fillId="0" borderId="13" xfId="0" applyFont="1" applyBorder="1" applyAlignment="1">
      <alignment horizontal="center" wrapText="1"/>
    </xf>
    <xf numFmtId="175" fontId="37" fillId="0" borderId="15" xfId="0" applyFont="1" applyBorder="1" applyAlignment="1">
      <alignment horizontal="center" wrapText="1"/>
    </xf>
    <xf numFmtId="175" fontId="17" fillId="0" borderId="11" xfId="0" quotePrefix="1" applyFont="1" applyBorder="1" applyAlignment="1">
      <alignment horizontal="center"/>
    </xf>
    <xf numFmtId="175" fontId="16" fillId="0" borderId="11" xfId="0" applyFont="1" applyBorder="1" applyAlignment="1">
      <alignment vertical="center"/>
    </xf>
    <xf numFmtId="2" fontId="16" fillId="0" borderId="19" xfId="0" applyNumberFormat="1" applyFont="1" applyBorder="1" applyAlignment="1">
      <alignment vertical="center"/>
    </xf>
    <xf numFmtId="3" fontId="16" fillId="52" borderId="19" xfId="0" applyNumberFormat="1" applyFont="1" applyFill="1" applyBorder="1" applyAlignment="1">
      <alignment horizontal="center" vertical="center"/>
    </xf>
    <xf numFmtId="175" fontId="16" fillId="0" borderId="34" xfId="0" applyFont="1" applyBorder="1" applyAlignment="1">
      <alignment vertical="center"/>
    </xf>
    <xf numFmtId="2" fontId="16" fillId="0" borderId="16" xfId="0" applyNumberFormat="1" applyFont="1" applyBorder="1" applyAlignment="1">
      <alignment vertical="center"/>
    </xf>
    <xf numFmtId="3" fontId="16" fillId="52" borderId="16" xfId="0" applyNumberFormat="1" applyFont="1" applyFill="1" applyBorder="1" applyAlignment="1">
      <alignment horizontal="center" vertical="center"/>
    </xf>
    <xf numFmtId="3" fontId="16" fillId="0" borderId="16" xfId="0" applyNumberFormat="1" applyFont="1" applyBorder="1" applyAlignment="1">
      <alignment horizontal="center" vertical="center"/>
    </xf>
    <xf numFmtId="2" fontId="16" fillId="52" borderId="16" xfId="0" applyNumberFormat="1" applyFont="1" applyFill="1" applyBorder="1" applyAlignment="1">
      <alignment vertical="center"/>
    </xf>
    <xf numFmtId="3" fontId="16" fillId="0" borderId="19" xfId="0" applyNumberFormat="1" applyFont="1" applyBorder="1" applyAlignment="1">
      <alignment horizontal="center" vertical="center"/>
    </xf>
    <xf numFmtId="2" fontId="16" fillId="0" borderId="41" xfId="0" applyNumberFormat="1" applyFont="1" applyBorder="1" applyAlignment="1">
      <alignment vertical="center"/>
    </xf>
    <xf numFmtId="175" fontId="16" fillId="0" borderId="0" xfId="0" applyFont="1" applyBorder="1" applyAlignment="1"/>
    <xf numFmtId="175" fontId="18" fillId="47" borderId="11" xfId="0" applyFont="1" applyFill="1" applyBorder="1" applyAlignment="1" applyProtection="1">
      <alignment horizontal="left"/>
      <protection locked="0"/>
    </xf>
    <xf numFmtId="175" fontId="72" fillId="0" borderId="0" xfId="67" applyFont="1" applyProtection="1">
      <protection locked="0"/>
    </xf>
    <xf numFmtId="175" fontId="72" fillId="0" borderId="0" xfId="67" quotePrefix="1" applyFont="1" applyProtection="1">
      <protection locked="0"/>
    </xf>
    <xf numFmtId="175" fontId="73" fillId="0" borderId="0" xfId="0" applyFont="1" applyAlignment="1">
      <alignment vertical="center"/>
    </xf>
    <xf numFmtId="175" fontId="71" fillId="47" borderId="0" xfId="782" applyFont="1" applyFill="1" applyAlignment="1">
      <alignment vertical="center"/>
    </xf>
    <xf numFmtId="175" fontId="64" fillId="0" borderId="0" xfId="66" applyFont="1"/>
    <xf numFmtId="175" fontId="64" fillId="0" borderId="0" xfId="0" applyFont="1" applyAlignment="1">
      <alignment vertical="center"/>
    </xf>
    <xf numFmtId="0" fontId="73" fillId="0" borderId="0" xfId="520" applyFont="1"/>
    <xf numFmtId="175" fontId="16" fillId="0" borderId="0" xfId="66" applyBorder="1" applyAlignment="1">
      <alignment horizontal="center"/>
    </xf>
    <xf numFmtId="175" fontId="68" fillId="43" borderId="18" xfId="66" applyFont="1" applyFill="1" applyBorder="1" applyAlignment="1">
      <alignment horizontal="right"/>
    </xf>
    <xf numFmtId="44" fontId="68" fillId="43" borderId="18" xfId="50" applyFont="1" applyFill="1" applyBorder="1" applyAlignment="1">
      <alignment horizontal="right"/>
    </xf>
    <xf numFmtId="175" fontId="16" fillId="0" borderId="0" xfId="0" applyFont="1" applyBorder="1" applyAlignment="1">
      <alignment vertical="center"/>
    </xf>
    <xf numFmtId="2" fontId="16" fillId="0" borderId="0" xfId="0" applyNumberFormat="1" applyFont="1" applyBorder="1" applyAlignment="1">
      <alignment vertical="center"/>
    </xf>
    <xf numFmtId="3" fontId="16" fillId="0" borderId="0" xfId="0" applyNumberFormat="1" applyFont="1" applyBorder="1" applyAlignment="1">
      <alignment horizontal="center" vertical="center"/>
    </xf>
    <xf numFmtId="3" fontId="16" fillId="52" borderId="0" xfId="0" applyNumberFormat="1" applyFont="1" applyFill="1" applyBorder="1" applyAlignment="1">
      <alignment horizontal="center" vertical="center"/>
    </xf>
    <xf numFmtId="175" fontId="64" fillId="43" borderId="0" xfId="66" applyFont="1" applyFill="1"/>
    <xf numFmtId="44" fontId="64" fillId="43" borderId="0" xfId="50" applyFont="1" applyFill="1"/>
    <xf numFmtId="44" fontId="69" fillId="47" borderId="0" xfId="50" applyFont="1" applyFill="1"/>
    <xf numFmtId="175" fontId="17" fillId="0" borderId="72" xfId="66" applyFont="1" applyBorder="1" applyAlignment="1">
      <alignment horizontal="center" wrapText="1"/>
    </xf>
    <xf numFmtId="175" fontId="16" fillId="0" borderId="59" xfId="66" applyBorder="1"/>
    <xf numFmtId="175" fontId="69" fillId="43" borderId="53" xfId="66" applyFont="1" applyFill="1" applyBorder="1"/>
    <xf numFmtId="175" fontId="64" fillId="0" borderId="0" xfId="0" quotePrefix="1" applyFont="1" applyBorder="1" applyAlignment="1"/>
    <xf numFmtId="175" fontId="37" fillId="0" borderId="11" xfId="0" applyFont="1" applyBorder="1" applyAlignment="1" applyProtection="1">
      <alignment horizontal="center"/>
      <protection locked="0"/>
    </xf>
    <xf numFmtId="175" fontId="37" fillId="0" borderId="11" xfId="0" applyFont="1" applyBorder="1" applyAlignment="1">
      <alignment horizontal="center"/>
    </xf>
    <xf numFmtId="42" fontId="16" fillId="0" borderId="0" xfId="520" applyNumberFormat="1" applyFont="1" applyBorder="1"/>
    <xf numFmtId="42" fontId="16" fillId="0" borderId="41" xfId="520" applyNumberFormat="1" applyBorder="1"/>
    <xf numFmtId="42" fontId="16" fillId="0" borderId="0" xfId="520" applyNumberFormat="1" applyFont="1"/>
    <xf numFmtId="42" fontId="16" fillId="0" borderId="41" xfId="520" applyNumberFormat="1" applyFont="1" applyBorder="1"/>
    <xf numFmtId="42" fontId="16" fillId="49" borderId="18" xfId="520" applyNumberFormat="1" applyFont="1" applyFill="1" applyBorder="1"/>
    <xf numFmtId="42" fontId="16" fillId="49" borderId="19" xfId="520" applyNumberFormat="1" applyFont="1" applyFill="1" applyBorder="1"/>
    <xf numFmtId="42" fontId="76" fillId="49" borderId="18" xfId="520" applyNumberFormat="1" applyFont="1" applyFill="1" applyBorder="1"/>
    <xf numFmtId="42" fontId="76" fillId="0" borderId="17" xfId="520" applyNumberFormat="1" applyFont="1" applyBorder="1"/>
    <xf numFmtId="42" fontId="76" fillId="0" borderId="0" xfId="520" applyNumberFormat="1" applyFont="1"/>
    <xf numFmtId="42" fontId="76" fillId="0" borderId="41" xfId="520" applyNumberFormat="1" applyFont="1" applyBorder="1"/>
    <xf numFmtId="42" fontId="76" fillId="0" borderId="0" xfId="520" applyNumberFormat="1" applyFont="1" applyBorder="1"/>
    <xf numFmtId="42" fontId="76" fillId="0" borderId="14" xfId="520" applyNumberFormat="1" applyFont="1" applyBorder="1"/>
    <xf numFmtId="42" fontId="76" fillId="0" borderId="16" xfId="520" applyNumberFormat="1" applyFont="1" applyBorder="1"/>
    <xf numFmtId="42" fontId="16" fillId="0" borderId="22" xfId="520" applyNumberFormat="1" applyFont="1" applyBorder="1"/>
    <xf numFmtId="42" fontId="16" fillId="0" borderId="48" xfId="520" applyNumberFormat="1" applyBorder="1"/>
    <xf numFmtId="42" fontId="16" fillId="0" borderId="17" xfId="520" applyNumberFormat="1" applyFont="1" applyBorder="1"/>
    <xf numFmtId="42" fontId="16" fillId="0" borderId="21" xfId="520" applyNumberFormat="1" applyFont="1" applyBorder="1"/>
    <xf numFmtId="42" fontId="16" fillId="0" borderId="16" xfId="520" applyNumberFormat="1" applyBorder="1"/>
    <xf numFmtId="42" fontId="16" fillId="49" borderId="21" xfId="520" applyNumberFormat="1" applyFont="1" applyFill="1" applyBorder="1"/>
    <xf numFmtId="42" fontId="16" fillId="49" borderId="14" xfId="520" applyNumberFormat="1" applyFont="1" applyFill="1" applyBorder="1"/>
    <xf numFmtId="42" fontId="76" fillId="49" borderId="19" xfId="520" applyNumberFormat="1" applyFont="1" applyFill="1" applyBorder="1"/>
    <xf numFmtId="42" fontId="76" fillId="0" borderId="22" xfId="520" applyNumberFormat="1" applyFont="1" applyBorder="1"/>
    <xf numFmtId="42" fontId="76" fillId="0" borderId="27" xfId="520" applyNumberFormat="1" applyFont="1" applyBorder="1"/>
    <xf numFmtId="42" fontId="76" fillId="45" borderId="0" xfId="520" applyNumberFormat="1" applyFont="1" applyFill="1"/>
    <xf numFmtId="42" fontId="76" fillId="0" borderId="48" xfId="520" applyNumberFormat="1" applyFont="1" applyBorder="1"/>
    <xf numFmtId="42" fontId="16" fillId="0" borderId="13" xfId="520" applyNumberFormat="1" applyBorder="1"/>
    <xf numFmtId="42" fontId="16" fillId="0" borderId="0" xfId="66" applyNumberFormat="1" applyProtection="1">
      <protection locked="0"/>
    </xf>
    <xf numFmtId="42" fontId="16" fillId="0" borderId="17" xfId="66" applyNumberFormat="1" applyBorder="1" applyAlignment="1" applyProtection="1">
      <alignment horizontal="center"/>
      <protection locked="0"/>
    </xf>
    <xf numFmtId="42" fontId="16" fillId="0" borderId="0" xfId="66" applyNumberFormat="1" applyAlignment="1" applyProtection="1">
      <alignment horizontal="right"/>
      <protection locked="0"/>
    </xf>
    <xf numFmtId="175" fontId="0" fillId="47" borderId="0" xfId="66" applyFont="1" applyFill="1" applyAlignment="1" applyProtection="1">
      <alignment horizontal="center"/>
      <protection locked="0"/>
    </xf>
    <xf numFmtId="175" fontId="0" fillId="47" borderId="0" xfId="66" applyFont="1" applyFill="1" applyProtection="1">
      <protection locked="0"/>
    </xf>
    <xf numFmtId="175" fontId="17" fillId="47" borderId="11" xfId="66" applyFont="1" applyFill="1" applyBorder="1" applyAlignment="1">
      <alignment horizontal="center"/>
    </xf>
    <xf numFmtId="171" fontId="17" fillId="47" borderId="11" xfId="66" applyNumberFormat="1" applyFont="1" applyFill="1" applyBorder="1" applyAlignment="1">
      <alignment horizontal="center"/>
    </xf>
    <xf numFmtId="175" fontId="17" fillId="47" borderId="11" xfId="66" applyFont="1" applyFill="1" applyBorder="1" applyAlignment="1">
      <alignment horizontal="center" wrapText="1"/>
    </xf>
    <xf numFmtId="175" fontId="17" fillId="47" borderId="0" xfId="66" applyFont="1" applyFill="1" applyAlignment="1" applyProtection="1">
      <alignment horizontal="left"/>
      <protection locked="0"/>
    </xf>
    <xf numFmtId="0" fontId="6" fillId="0" borderId="0" xfId="597"/>
    <xf numFmtId="43" fontId="0" fillId="50" borderId="0" xfId="46" applyFont="1" applyFill="1" applyAlignment="1">
      <alignment horizontal="left"/>
    </xf>
    <xf numFmtId="175" fontId="128" fillId="0" borderId="0" xfId="66" applyFont="1" applyAlignment="1">
      <alignment wrapText="1"/>
    </xf>
    <xf numFmtId="175" fontId="72" fillId="47" borderId="0" xfId="0" quotePrefix="1" applyFont="1" applyFill="1" applyProtection="1">
      <protection locked="0"/>
    </xf>
    <xf numFmtId="175" fontId="129" fillId="52" borderId="0" xfId="0" applyFont="1" applyFill="1" applyBorder="1"/>
    <xf numFmtId="175" fontId="16" fillId="0" borderId="13" xfId="0" applyFont="1" applyBorder="1" applyAlignment="1">
      <alignment vertical="center"/>
    </xf>
    <xf numFmtId="2" fontId="16" fillId="0" borderId="97" xfId="0" applyNumberFormat="1" applyFont="1" applyBorder="1" applyAlignment="1">
      <alignment vertical="center"/>
    </xf>
    <xf numFmtId="3" fontId="16" fillId="52" borderId="41" xfId="0" applyNumberFormat="1" applyFont="1" applyFill="1" applyBorder="1" applyAlignment="1">
      <alignment horizontal="center" vertical="center"/>
    </xf>
    <xf numFmtId="3" fontId="16" fillId="0" borderId="98" xfId="0" applyNumberFormat="1" applyFont="1" applyBorder="1" applyAlignment="1">
      <alignment horizontal="left" vertical="center" wrapText="1"/>
    </xf>
    <xf numFmtId="2" fontId="16" fillId="0" borderId="11" xfId="0" applyNumberFormat="1" applyFont="1" applyBorder="1" applyAlignment="1">
      <alignment vertical="center"/>
    </xf>
    <xf numFmtId="3" fontId="16" fillId="52" borderId="11" xfId="0" applyNumberFormat="1" applyFont="1" applyFill="1" applyBorder="1" applyAlignment="1">
      <alignment horizontal="center" vertical="center"/>
    </xf>
    <xf numFmtId="175" fontId="16" fillId="0" borderId="0" xfId="0" applyFont="1" applyBorder="1"/>
    <xf numFmtId="175" fontId="64" fillId="0" borderId="0" xfId="0" quotePrefix="1" applyFont="1" applyBorder="1"/>
    <xf numFmtId="3" fontId="16" fillId="0" borderId="41" xfId="0" applyNumberFormat="1" applyFont="1" applyBorder="1" applyAlignment="1">
      <alignment horizontal="center" vertical="center"/>
    </xf>
    <xf numFmtId="3" fontId="16" fillId="0" borderId="99" xfId="0" applyNumberFormat="1" applyFont="1" applyBorder="1" applyAlignment="1">
      <alignment horizontal="left" vertical="center" wrapText="1"/>
    </xf>
    <xf numFmtId="3" fontId="16" fillId="0" borderId="11" xfId="0" applyNumberFormat="1" applyFont="1" applyBorder="1" applyAlignment="1">
      <alignment horizontal="center" vertical="center"/>
    </xf>
    <xf numFmtId="175" fontId="128" fillId="52" borderId="0" xfId="0" applyFont="1" applyFill="1" applyBorder="1" applyAlignment="1"/>
    <xf numFmtId="175" fontId="59" fillId="0" borderId="34" xfId="0" applyFont="1" applyBorder="1" applyAlignment="1">
      <alignment vertical="center"/>
    </xf>
    <xf numFmtId="2" fontId="59" fillId="0" borderId="16" xfId="0" applyNumberFormat="1" applyFont="1" applyBorder="1" applyAlignment="1">
      <alignment vertical="center"/>
    </xf>
    <xf numFmtId="2" fontId="59" fillId="0" borderId="100" xfId="0" applyNumberFormat="1" applyFont="1" applyBorder="1" applyAlignment="1">
      <alignment vertical="center"/>
    </xf>
    <xf numFmtId="175" fontId="131" fillId="0" borderId="0" xfId="66" applyFont="1" applyProtection="1">
      <protection locked="0"/>
    </xf>
    <xf numFmtId="0" fontId="132" fillId="0" borderId="0" xfId="520" applyFont="1"/>
    <xf numFmtId="6" fontId="132" fillId="0" borderId="0" xfId="520" applyNumberFormat="1" applyFont="1"/>
    <xf numFmtId="168" fontId="132" fillId="0" borderId="0" xfId="52" applyNumberFormat="1" applyFont="1"/>
    <xf numFmtId="175" fontId="16" fillId="0" borderId="0" xfId="66" applyFill="1" applyProtection="1">
      <protection locked="0"/>
    </xf>
    <xf numFmtId="175" fontId="16" fillId="0" borderId="37" xfId="66" applyFill="1" applyBorder="1" applyProtection="1">
      <protection locked="0"/>
    </xf>
    <xf numFmtId="175" fontId="16" fillId="0" borderId="18" xfId="66" applyFill="1" applyBorder="1" applyProtection="1">
      <protection locked="0"/>
    </xf>
    <xf numFmtId="175" fontId="17" fillId="0" borderId="11" xfId="66" applyFont="1" applyFill="1" applyBorder="1" applyAlignment="1" applyProtection="1">
      <alignment horizontal="center" wrapText="1"/>
      <protection locked="0"/>
    </xf>
    <xf numFmtId="175" fontId="17" fillId="0" borderId="13" xfId="66" applyFont="1" applyFill="1" applyBorder="1" applyAlignment="1" applyProtection="1">
      <alignment horizontal="center" wrapText="1"/>
      <protection locked="0"/>
    </xf>
    <xf numFmtId="42" fontId="16" fillId="0" borderId="0" xfId="66" applyNumberFormat="1" applyFill="1" applyProtection="1">
      <protection locked="0"/>
    </xf>
    <xf numFmtId="164" fontId="16" fillId="0" borderId="42" xfId="66" applyNumberFormat="1" applyFill="1" applyBorder="1" applyProtection="1">
      <protection locked="0"/>
    </xf>
    <xf numFmtId="0" fontId="64" fillId="0" borderId="0" xfId="66" applyNumberFormat="1" applyFont="1" applyAlignment="1">
      <alignment horizontal="left"/>
    </xf>
    <xf numFmtId="164" fontId="71" fillId="0" borderId="0" xfId="66" applyNumberFormat="1" applyFont="1"/>
    <xf numFmtId="175" fontId="64" fillId="47" borderId="0" xfId="66" applyFont="1" applyFill="1" applyAlignment="1">
      <alignment wrapText="1"/>
    </xf>
    <xf numFmtId="175" fontId="64" fillId="0" borderId="0" xfId="66" applyFont="1" applyAlignment="1">
      <alignment wrapText="1"/>
    </xf>
    <xf numFmtId="175" fontId="64" fillId="47" borderId="0" xfId="66" applyFont="1" applyFill="1" applyAlignment="1"/>
    <xf numFmtId="175" fontId="68" fillId="47" borderId="52" xfId="66" applyFont="1" applyFill="1" applyBorder="1" applyAlignment="1">
      <alignment wrapText="1"/>
    </xf>
    <xf numFmtId="175" fontId="17" fillId="47" borderId="61" xfId="66" applyFont="1" applyFill="1" applyBorder="1" applyAlignment="1">
      <alignment wrapText="1"/>
    </xf>
    <xf numFmtId="164" fontId="16" fillId="47" borderId="0" xfId="66" applyNumberFormat="1" applyFill="1"/>
    <xf numFmtId="175" fontId="68" fillId="43" borderId="96" xfId="66" applyFont="1" applyFill="1" applyBorder="1" applyAlignment="1">
      <alignment horizontal="right"/>
    </xf>
    <xf numFmtId="175" fontId="68" fillId="43" borderId="101" xfId="66" applyFont="1" applyFill="1" applyBorder="1" applyAlignment="1">
      <alignment horizontal="center" wrapText="1"/>
    </xf>
    <xf numFmtId="6" fontId="16" fillId="0" borderId="27" xfId="66" applyNumberFormat="1" applyBorder="1" applyProtection="1">
      <protection locked="0"/>
    </xf>
    <xf numFmtId="6" fontId="16" fillId="0" borderId="95" xfId="66" applyNumberFormat="1" applyBorder="1" applyProtection="1">
      <protection locked="0"/>
    </xf>
    <xf numFmtId="6" fontId="16" fillId="0" borderId="13" xfId="66" applyNumberFormat="1" applyBorder="1" applyAlignment="1">
      <alignment horizontal="right"/>
    </xf>
    <xf numFmtId="167" fontId="16" fillId="0" borderId="13" xfId="66" applyNumberFormat="1" applyBorder="1" applyAlignment="1">
      <alignment horizontal="right"/>
    </xf>
    <xf numFmtId="167" fontId="16" fillId="0" borderId="11" xfId="66" applyNumberFormat="1" applyBorder="1" applyAlignment="1">
      <alignment horizontal="right"/>
    </xf>
    <xf numFmtId="167" fontId="16" fillId="0" borderId="11" xfId="66" applyNumberFormat="1" applyBorder="1"/>
    <xf numFmtId="167" fontId="16" fillId="0" borderId="13" xfId="66" applyNumberFormat="1" applyBorder="1"/>
    <xf numFmtId="167" fontId="16" fillId="47" borderId="13" xfId="66" applyNumberFormat="1" applyFill="1" applyBorder="1" applyAlignment="1">
      <alignment horizontal="right"/>
    </xf>
    <xf numFmtId="42" fontId="16" fillId="49" borderId="11" xfId="520" applyNumberFormat="1" applyFont="1" applyFill="1" applyBorder="1"/>
    <xf numFmtId="42" fontId="16" fillId="0" borderId="15" xfId="520" applyNumberFormat="1" applyFont="1" applyBorder="1"/>
    <xf numFmtId="42" fontId="16" fillId="0" borderId="13" xfId="520" applyNumberFormat="1" applyFont="1" applyBorder="1"/>
    <xf numFmtId="42" fontId="16" fillId="0" borderId="13" xfId="520" applyNumberFormat="1" applyFill="1" applyBorder="1"/>
    <xf numFmtId="42" fontId="16" fillId="0" borderId="41" xfId="520" applyNumberFormat="1" applyFill="1" applyBorder="1"/>
    <xf numFmtId="42" fontId="16" fillId="0" borderId="0" xfId="520" applyNumberFormat="1" applyFont="1" applyFill="1"/>
    <xf numFmtId="42" fontId="16" fillId="0" borderId="41" xfId="520" applyNumberFormat="1" applyFont="1" applyFill="1" applyBorder="1"/>
    <xf numFmtId="42" fontId="16" fillId="0" borderId="15" xfId="520" applyNumberFormat="1" applyFill="1" applyBorder="1"/>
    <xf numFmtId="42" fontId="16" fillId="0" borderId="48" xfId="520" applyNumberFormat="1" applyFill="1" applyBorder="1"/>
    <xf numFmtId="42" fontId="76" fillId="0" borderId="0" xfId="520" applyNumberFormat="1" applyFont="1" applyFill="1"/>
    <xf numFmtId="42" fontId="77" fillId="0" borderId="0" xfId="520" applyNumberFormat="1" applyFont="1"/>
    <xf numFmtId="175" fontId="17" fillId="0" borderId="60" xfId="66" applyFont="1" applyBorder="1"/>
    <xf numFmtId="175" fontId="17" fillId="0" borderId="101" xfId="66" applyFont="1" applyBorder="1"/>
    <xf numFmtId="175" fontId="17" fillId="0" borderId="101" xfId="66" applyFont="1" applyBorder="1" applyAlignment="1">
      <alignment horizontal="left" wrapText="1" indent="1"/>
    </xf>
    <xf numFmtId="175" fontId="17" fillId="0" borderId="101" xfId="66" applyFont="1" applyBorder="1" applyAlignment="1">
      <alignment horizontal="left" indent="1"/>
    </xf>
    <xf numFmtId="175" fontId="17" fillId="0" borderId="103" xfId="66" applyFont="1" applyBorder="1" applyAlignment="1">
      <alignment horizontal="left" indent="1"/>
    </xf>
    <xf numFmtId="43" fontId="16" fillId="50" borderId="0" xfId="46" applyFill="1" applyAlignment="1">
      <alignment horizontal="left"/>
    </xf>
    <xf numFmtId="175" fontId="128" fillId="47" borderId="0" xfId="0" quotePrefix="1" applyFont="1" applyFill="1" applyAlignment="1">
      <alignment vertical="top" wrapText="1"/>
    </xf>
    <xf numFmtId="175" fontId="64" fillId="0" borderId="0" xfId="0" applyFont="1"/>
    <xf numFmtId="175" fontId="70" fillId="47" borderId="0" xfId="66" applyFont="1" applyFill="1" applyAlignment="1" applyProtection="1">
      <alignment vertical="center"/>
      <protection locked="0"/>
    </xf>
    <xf numFmtId="175" fontId="16" fillId="0" borderId="0" xfId="66" applyFont="1" applyProtection="1">
      <protection locked="0"/>
    </xf>
    <xf numFmtId="42" fontId="16" fillId="47" borderId="17" xfId="66" applyNumberFormat="1" applyFill="1" applyBorder="1" applyAlignment="1">
      <alignment horizontal="right"/>
    </xf>
    <xf numFmtId="41" fontId="16" fillId="0" borderId="0" xfId="66" applyNumberFormat="1" applyBorder="1" applyProtection="1">
      <protection locked="0"/>
    </xf>
    <xf numFmtId="177" fontId="16" fillId="0" borderId="0" xfId="66" applyNumberFormat="1" applyBorder="1" applyProtection="1">
      <protection locked="0"/>
    </xf>
    <xf numFmtId="178" fontId="69" fillId="0" borderId="17" xfId="66" applyNumberFormat="1" applyFont="1" applyBorder="1"/>
    <xf numFmtId="178" fontId="69" fillId="0" borderId="0" xfId="66" applyNumberFormat="1" applyFont="1" applyBorder="1"/>
    <xf numFmtId="178" fontId="68" fillId="43" borderId="14" xfId="66" applyNumberFormat="1" applyFont="1" applyFill="1" applyBorder="1" applyAlignment="1"/>
    <xf numFmtId="178" fontId="69" fillId="0" borderId="0" xfId="66" applyNumberFormat="1" applyFont="1" applyAlignment="1"/>
    <xf numFmtId="178" fontId="68" fillId="0" borderId="96" xfId="66" applyNumberFormat="1" applyFont="1" applyBorder="1" applyAlignment="1"/>
    <xf numFmtId="178" fontId="68" fillId="43" borderId="42" xfId="66" applyNumberFormat="1" applyFont="1" applyFill="1" applyBorder="1" applyAlignment="1"/>
    <xf numFmtId="178" fontId="69" fillId="0" borderId="54" xfId="66" applyNumberFormat="1" applyFont="1" applyFill="1" applyBorder="1"/>
    <xf numFmtId="178" fontId="16" fillId="0" borderId="0" xfId="66" applyNumberFormat="1" applyBorder="1" applyAlignment="1"/>
    <xf numFmtId="178" fontId="16" fillId="0" borderId="54" xfId="66" applyNumberFormat="1" applyBorder="1" applyAlignment="1"/>
    <xf numFmtId="178" fontId="16" fillId="0" borderId="96" xfId="66" applyNumberFormat="1" applyBorder="1" applyAlignment="1"/>
    <xf numFmtId="178" fontId="16" fillId="0" borderId="18" xfId="66" applyNumberFormat="1" applyBorder="1" applyAlignment="1"/>
    <xf numFmtId="178" fontId="16" fillId="0" borderId="39" xfId="66" applyNumberFormat="1" applyBorder="1" applyAlignment="1"/>
    <xf numFmtId="178" fontId="16" fillId="0" borderId="0" xfId="66" applyNumberFormat="1" applyAlignment="1"/>
    <xf numFmtId="178" fontId="16" fillId="0" borderId="0" xfId="66" applyNumberFormat="1" applyAlignment="1" applyProtection="1">
      <protection locked="0"/>
    </xf>
    <xf numFmtId="178" fontId="16" fillId="0" borderId="0" xfId="66" applyNumberFormat="1" applyBorder="1" applyAlignment="1" applyProtection="1">
      <protection locked="0"/>
    </xf>
    <xf numFmtId="178" fontId="16" fillId="0" borderId="27" xfId="66" applyNumberFormat="1" applyBorder="1" applyAlignment="1"/>
    <xf numFmtId="178" fontId="16" fillId="0" borderId="14" xfId="66" applyNumberFormat="1" applyBorder="1" applyAlignment="1" applyProtection="1">
      <protection locked="0"/>
    </xf>
    <xf numFmtId="178" fontId="16" fillId="0" borderId="102" xfId="66" applyNumberFormat="1" applyBorder="1" applyAlignment="1"/>
    <xf numFmtId="178" fontId="16" fillId="0" borderId="59" xfId="66" applyNumberFormat="1" applyBorder="1" applyAlignment="1"/>
    <xf numFmtId="178" fontId="16" fillId="44" borderId="96" xfId="66" applyNumberFormat="1" applyFill="1" applyBorder="1" applyAlignment="1"/>
    <xf numFmtId="178" fontId="16" fillId="44" borderId="18" xfId="66" applyNumberFormat="1" applyFill="1" applyBorder="1" applyAlignment="1"/>
    <xf numFmtId="178" fontId="16" fillId="44" borderId="39" xfId="66" applyNumberFormat="1" applyFill="1" applyBorder="1" applyAlignment="1"/>
    <xf numFmtId="178" fontId="17" fillId="0" borderId="46" xfId="66" applyNumberFormat="1" applyFont="1" applyBorder="1" applyAlignment="1"/>
    <xf numFmtId="178" fontId="17" fillId="0" borderId="61" xfId="66" applyNumberFormat="1" applyFont="1" applyBorder="1" applyAlignment="1"/>
    <xf numFmtId="178" fontId="17" fillId="47" borderId="46" xfId="66" applyNumberFormat="1" applyFont="1" applyFill="1" applyBorder="1" applyAlignment="1"/>
    <xf numFmtId="178" fontId="17" fillId="47" borderId="62" xfId="66" applyNumberFormat="1" applyFont="1" applyFill="1" applyBorder="1" applyAlignment="1"/>
    <xf numFmtId="178" fontId="17" fillId="47" borderId="61" xfId="66" applyNumberFormat="1" applyFont="1" applyFill="1" applyBorder="1" applyAlignment="1"/>
    <xf numFmtId="178" fontId="69" fillId="0" borderId="17" xfId="66" applyNumberFormat="1" applyFont="1" applyBorder="1" applyAlignment="1"/>
    <xf numFmtId="178" fontId="69" fillId="0" borderId="0" xfId="66" applyNumberFormat="1" applyFont="1" applyBorder="1" applyAlignment="1"/>
    <xf numFmtId="178" fontId="69" fillId="0" borderId="21" xfId="66" applyNumberFormat="1" applyFont="1" applyBorder="1" applyAlignment="1"/>
    <xf numFmtId="178" fontId="69" fillId="0" borderId="14" xfId="66" applyNumberFormat="1" applyFont="1" applyBorder="1" applyAlignment="1"/>
    <xf numFmtId="178" fontId="68" fillId="43" borderId="21" xfId="66" applyNumberFormat="1" applyFont="1" applyFill="1" applyBorder="1" applyAlignment="1"/>
    <xf numFmtId="178" fontId="69" fillId="0" borderId="54" xfId="66" applyNumberFormat="1" applyFont="1" applyFill="1" applyBorder="1" applyAlignment="1"/>
    <xf numFmtId="178" fontId="68" fillId="43" borderId="51" xfId="66" applyNumberFormat="1" applyFont="1" applyFill="1" applyBorder="1" applyAlignment="1"/>
    <xf numFmtId="178" fontId="68" fillId="47" borderId="51" xfId="66" applyNumberFormat="1" applyFont="1" applyFill="1" applyBorder="1" applyAlignment="1"/>
    <xf numFmtId="42" fontId="16" fillId="0" borderId="17" xfId="66" applyNumberFormat="1" applyBorder="1" applyAlignment="1"/>
    <xf numFmtId="42" fontId="16" fillId="0" borderId="13" xfId="66" applyNumberFormat="1" applyBorder="1" applyAlignment="1"/>
    <xf numFmtId="42" fontId="16" fillId="0" borderId="0" xfId="66" applyNumberFormat="1" applyFill="1" applyBorder="1" applyAlignment="1"/>
    <xf numFmtId="42" fontId="16" fillId="47" borderId="13" xfId="66" applyNumberFormat="1" applyFill="1" applyBorder="1" applyAlignment="1"/>
    <xf numFmtId="42" fontId="16" fillId="0" borderId="21" xfId="66" applyNumberFormat="1" applyBorder="1" applyAlignment="1"/>
    <xf numFmtId="42" fontId="16" fillId="0" borderId="14" xfId="66" applyNumberFormat="1" applyBorder="1" applyAlignment="1"/>
    <xf numFmtId="42" fontId="16" fillId="0" borderId="20" xfId="66" applyNumberFormat="1" applyBorder="1" applyAlignment="1"/>
    <xf numFmtId="42" fontId="16" fillId="0" borderId="18" xfId="66" applyNumberFormat="1" applyFill="1" applyBorder="1" applyAlignment="1"/>
    <xf numFmtId="42" fontId="16" fillId="47" borderId="11" xfId="66" applyNumberFormat="1" applyFill="1" applyBorder="1" applyAlignment="1"/>
    <xf numFmtId="42" fontId="16" fillId="0" borderId="11" xfId="66" applyNumberFormat="1" applyBorder="1" applyAlignment="1"/>
    <xf numFmtId="42" fontId="16" fillId="0" borderId="0" xfId="66" applyNumberFormat="1" applyAlignment="1"/>
    <xf numFmtId="42" fontId="16" fillId="0" borderId="0" xfId="66" applyNumberFormat="1" applyAlignment="1" applyProtection="1">
      <protection locked="0"/>
    </xf>
    <xf numFmtId="42" fontId="16" fillId="0" borderId="13" xfId="66" applyNumberFormat="1" applyFill="1" applyBorder="1" applyAlignment="1"/>
    <xf numFmtId="42" fontId="16" fillId="0" borderId="18" xfId="66" applyNumberFormat="1" applyBorder="1" applyAlignment="1"/>
    <xf numFmtId="42" fontId="16" fillId="0" borderId="11" xfId="66" applyNumberFormat="1" applyFill="1" applyBorder="1" applyAlignment="1"/>
    <xf numFmtId="42" fontId="16" fillId="0" borderId="22" xfId="66" applyNumberFormat="1" applyBorder="1" applyAlignment="1"/>
    <xf numFmtId="42" fontId="16" fillId="0" borderId="14" xfId="66" applyNumberFormat="1" applyBorder="1" applyAlignment="1" applyProtection="1">
      <protection locked="0"/>
    </xf>
    <xf numFmtId="42" fontId="16" fillId="0" borderId="20" xfId="66" applyNumberFormat="1" applyFill="1" applyBorder="1" applyAlignment="1"/>
    <xf numFmtId="42" fontId="16" fillId="0" borderId="17" xfId="66" applyNumberFormat="1" applyFill="1" applyBorder="1" applyAlignment="1"/>
    <xf numFmtId="42" fontId="16" fillId="47" borderId="15" xfId="66" applyNumberFormat="1" applyFill="1" applyBorder="1" applyAlignment="1"/>
    <xf numFmtId="42" fontId="16" fillId="47" borderId="13" xfId="66" applyNumberFormat="1" applyFill="1" applyBorder="1" applyAlignment="1" applyProtection="1">
      <protection locked="0"/>
    </xf>
    <xf numFmtId="42" fontId="16" fillId="0" borderId="13" xfId="66" applyNumberFormat="1" applyBorder="1" applyAlignment="1" applyProtection="1">
      <protection locked="0"/>
    </xf>
    <xf numFmtId="42" fontId="16" fillId="0" borderId="34" xfId="66" applyNumberFormat="1" applyBorder="1" applyAlignment="1" applyProtection="1">
      <protection locked="0"/>
    </xf>
    <xf numFmtId="42" fontId="16" fillId="47" borderId="20" xfId="66" applyNumberFormat="1" applyFill="1" applyBorder="1" applyAlignment="1"/>
    <xf numFmtId="175" fontId="16" fillId="0" borderId="0" xfId="66" applyFont="1" applyFill="1" applyProtection="1">
      <protection locked="0"/>
    </xf>
    <xf numFmtId="3" fontId="48" fillId="47" borderId="17" xfId="0" applyNumberFormat="1" applyFont="1" applyFill="1" applyBorder="1" applyAlignment="1" applyProtection="1">
      <alignment horizontal="center"/>
      <protection locked="0"/>
    </xf>
    <xf numFmtId="43" fontId="16" fillId="50" borderId="0" xfId="46" quotePrefix="1" applyFill="1" applyAlignment="1">
      <alignment horizontal="right"/>
    </xf>
    <xf numFmtId="43" fontId="16" fillId="50" borderId="0" xfId="46" quotePrefix="1" applyNumberFormat="1" applyFill="1" applyAlignment="1">
      <alignment horizontal="right"/>
    </xf>
    <xf numFmtId="179" fontId="16" fillId="0" borderId="17" xfId="66" applyNumberFormat="1" applyBorder="1" applyAlignment="1"/>
    <xf numFmtId="42" fontId="59" fillId="0" borderId="21" xfId="520" applyNumberFormat="1" applyFont="1" applyBorder="1"/>
    <xf numFmtId="175" fontId="16" fillId="47" borderId="0" xfId="66" applyFont="1" applyFill="1"/>
    <xf numFmtId="175" fontId="134" fillId="0" borderId="0" xfId="0" quotePrefix="1" applyFont="1" applyAlignment="1">
      <alignment vertical="center"/>
    </xf>
    <xf numFmtId="175" fontId="64" fillId="47" borderId="0" xfId="0" quotePrefix="1" applyFont="1" applyFill="1" applyAlignment="1">
      <alignment horizontal="left" vertical="top" wrapText="1"/>
    </xf>
    <xf numFmtId="175" fontId="64" fillId="0" borderId="0" xfId="0" quotePrefix="1" applyFont="1" applyAlignment="1">
      <alignment horizontal="left" vertical="justify"/>
    </xf>
    <xf numFmtId="175" fontId="64" fillId="0" borderId="0" xfId="0" quotePrefix="1" applyFont="1"/>
    <xf numFmtId="175" fontId="64" fillId="0" borderId="0" xfId="0" applyFont="1"/>
    <xf numFmtId="175" fontId="64" fillId="52" borderId="0" xfId="0" quotePrefix="1" applyFont="1" applyFill="1" applyAlignment="1">
      <alignment vertical="justify"/>
    </xf>
    <xf numFmtId="175" fontId="64" fillId="52" borderId="0" xfId="0" applyFont="1" applyFill="1" applyAlignment="1">
      <alignment vertical="justify"/>
    </xf>
    <xf numFmtId="175" fontId="64" fillId="52" borderId="0" xfId="0" quotePrefix="1" applyFont="1" applyFill="1"/>
    <xf numFmtId="175" fontId="64" fillId="52" borderId="0" xfId="0" applyFont="1" applyFill="1"/>
    <xf numFmtId="175" fontId="64" fillId="0" borderId="0" xfId="0" applyFont="1" applyAlignment="1">
      <alignment horizontal="left" vertical="justify"/>
    </xf>
    <xf numFmtId="175" fontId="64" fillId="0" borderId="0" xfId="0" quotePrefix="1" applyFont="1" applyProtection="1">
      <protection locked="0"/>
    </xf>
    <xf numFmtId="175" fontId="135" fillId="47" borderId="0" xfId="0" applyFont="1" applyFill="1" applyProtection="1">
      <protection locked="0"/>
    </xf>
    <xf numFmtId="175" fontId="128" fillId="47" borderId="0" xfId="0" applyFont="1" applyFill="1" applyAlignment="1">
      <alignment vertical="top" wrapText="1"/>
    </xf>
    <xf numFmtId="175" fontId="69" fillId="43" borderId="0" xfId="66" applyFont="1" applyFill="1"/>
    <xf numFmtId="175" fontId="69" fillId="47" borderId="40" xfId="0" applyFont="1" applyFill="1" applyBorder="1"/>
    <xf numFmtId="42" fontId="16" fillId="0" borderId="0" xfId="520" applyNumberFormat="1" applyFont="1" applyBorder="1"/>
    <xf numFmtId="178" fontId="69" fillId="0" borderId="0" xfId="66" applyNumberFormat="1" applyFont="1" applyBorder="1" applyAlignment="1"/>
    <xf numFmtId="175" fontId="16" fillId="43" borderId="0" xfId="66" applyFont="1" applyFill="1"/>
    <xf numFmtId="168" fontId="16" fillId="0" borderId="0" xfId="66" applyNumberFormat="1" applyProtection="1">
      <protection locked="0"/>
    </xf>
    <xf numFmtId="44" fontId="69" fillId="43" borderId="0" xfId="5685" applyFont="1" applyFill="1"/>
    <xf numFmtId="168" fontId="16" fillId="0" borderId="0" xfId="66" applyNumberFormat="1" applyFill="1" applyProtection="1">
      <protection locked="0"/>
    </xf>
    <xf numFmtId="175" fontId="16" fillId="0" borderId="36" xfId="66" applyFill="1" applyBorder="1" applyProtection="1">
      <protection locked="0"/>
    </xf>
    <xf numFmtId="175" fontId="16" fillId="0" borderId="14" xfId="66" applyFill="1" applyBorder="1" applyProtection="1">
      <protection locked="0"/>
    </xf>
    <xf numFmtId="175" fontId="17" fillId="0" borderId="14" xfId="66" applyFont="1" applyFill="1" applyBorder="1" applyAlignment="1" applyProtection="1">
      <alignment horizontal="right"/>
      <protection locked="0"/>
    </xf>
    <xf numFmtId="6" fontId="16" fillId="0" borderId="0" xfId="66" applyNumberFormat="1" applyFill="1"/>
    <xf numFmtId="6" fontId="16" fillId="0" borderId="0" xfId="66" applyNumberFormat="1" applyFill="1" applyProtection="1">
      <protection locked="0"/>
    </xf>
    <xf numFmtId="42" fontId="16" fillId="0" borderId="21" xfId="66" applyNumberFormat="1" applyFill="1" applyBorder="1" applyAlignment="1"/>
    <xf numFmtId="175" fontId="68" fillId="0" borderId="0" xfId="66" applyFont="1" applyFill="1" applyAlignment="1">
      <alignment horizontal="center"/>
    </xf>
    <xf numFmtId="175" fontId="68" fillId="0" borderId="0" xfId="66" applyFont="1" applyFill="1" applyAlignment="1"/>
    <xf numFmtId="44" fontId="68" fillId="0" borderId="0" xfId="50" applyFont="1" applyFill="1" applyAlignment="1">
      <alignment horizontal="center"/>
    </xf>
    <xf numFmtId="175" fontId="68" fillId="0" borderId="0" xfId="66" applyFont="1" applyFill="1" applyBorder="1" applyAlignment="1">
      <alignment horizontal="center"/>
    </xf>
    <xf numFmtId="175" fontId="68" fillId="0" borderId="54" xfId="66" applyFont="1" applyFill="1" applyBorder="1" applyAlignment="1">
      <alignment horizontal="center" wrapText="1"/>
    </xf>
    <xf numFmtId="178" fontId="69" fillId="0" borderId="0" xfId="66" applyNumberFormat="1" applyFont="1" applyFill="1" applyBorder="1"/>
    <xf numFmtId="178" fontId="69" fillId="0" borderId="0" xfId="66" applyNumberFormat="1" applyFont="1" applyFill="1" applyBorder="1" applyAlignment="1"/>
    <xf numFmtId="178" fontId="69" fillId="0" borderId="14" xfId="66" applyNumberFormat="1" applyFont="1" applyFill="1" applyBorder="1" applyAlignment="1"/>
    <xf numFmtId="178" fontId="68" fillId="0" borderId="14" xfId="66" applyNumberFormat="1" applyFont="1" applyFill="1" applyBorder="1" applyAlignment="1"/>
    <xf numFmtId="178" fontId="68" fillId="0" borderId="101" xfId="66" applyNumberFormat="1" applyFont="1" applyFill="1" applyBorder="1" applyAlignment="1"/>
    <xf numFmtId="178" fontId="69" fillId="0" borderId="0" xfId="66" applyNumberFormat="1" applyFont="1" applyFill="1" applyAlignment="1"/>
    <xf numFmtId="178" fontId="68" fillId="0" borderId="96" xfId="66" applyNumberFormat="1" applyFont="1" applyFill="1" applyBorder="1" applyAlignment="1"/>
    <xf numFmtId="178" fontId="68" fillId="0" borderId="42" xfId="66" applyNumberFormat="1" applyFont="1" applyFill="1" applyBorder="1" applyAlignment="1"/>
    <xf numFmtId="178" fontId="68" fillId="0" borderId="61" xfId="66" applyNumberFormat="1" applyFont="1" applyFill="1" applyBorder="1" applyAlignment="1"/>
    <xf numFmtId="178" fontId="68" fillId="0" borderId="14" xfId="50" applyNumberFormat="1" applyFont="1" applyFill="1" applyBorder="1" applyAlignment="1"/>
    <xf numFmtId="178" fontId="68" fillId="0" borderId="60" xfId="66" applyNumberFormat="1" applyFont="1" applyFill="1" applyBorder="1" applyAlignment="1"/>
    <xf numFmtId="178" fontId="68" fillId="0" borderId="51" xfId="66" applyNumberFormat="1" applyFont="1" applyFill="1" applyBorder="1" applyAlignment="1"/>
    <xf numFmtId="178" fontId="68" fillId="0" borderId="73" xfId="66" applyNumberFormat="1" applyFont="1" applyFill="1" applyBorder="1" applyAlignment="1"/>
    <xf numFmtId="42" fontId="16" fillId="0" borderId="0" xfId="66" applyNumberFormat="1" applyBorder="1" applyAlignment="1"/>
    <xf numFmtId="172" fontId="18" fillId="47" borderId="114" xfId="46" applyNumberFormat="1" applyFont="1" applyFill="1" applyBorder="1" applyAlignment="1">
      <alignment horizontal="right"/>
    </xf>
    <xf numFmtId="175" fontId="64" fillId="0" borderId="0" xfId="66" applyFont="1" applyAlignment="1">
      <alignment wrapText="1"/>
    </xf>
    <xf numFmtId="175" fontId="0" fillId="0" borderId="0" xfId="66" applyFont="1"/>
    <xf numFmtId="175" fontId="0" fillId="47" borderId="0" xfId="66" applyFont="1" applyFill="1"/>
    <xf numFmtId="0" fontId="1" fillId="0" borderId="0" xfId="597" applyFont="1"/>
    <xf numFmtId="175" fontId="0" fillId="0" borderId="0" xfId="66" applyFont="1" applyAlignment="1">
      <alignment horizontal="center"/>
    </xf>
    <xf numFmtId="175" fontId="0" fillId="0" borderId="115" xfId="66" applyFont="1" applyBorder="1"/>
    <xf numFmtId="175" fontId="0" fillId="0" borderId="54" xfId="66" applyFont="1" applyBorder="1"/>
    <xf numFmtId="178" fontId="0" fillId="0" borderId="0" xfId="66" applyNumberFormat="1" applyFont="1"/>
    <xf numFmtId="178" fontId="0" fillId="0" borderId="54" xfId="66" applyNumberFormat="1" applyFont="1" applyBorder="1"/>
    <xf numFmtId="164" fontId="0" fillId="0" borderId="0" xfId="66" applyNumberFormat="1" applyFont="1"/>
    <xf numFmtId="178" fontId="0" fillId="0" borderId="116" xfId="66" applyNumberFormat="1" applyFont="1" applyBorder="1"/>
    <xf numFmtId="178" fontId="0" fillId="0" borderId="101" xfId="66" applyNumberFormat="1" applyFont="1" applyBorder="1"/>
    <xf numFmtId="0" fontId="0" fillId="0" borderId="0" xfId="66" applyNumberFormat="1" applyFont="1"/>
    <xf numFmtId="178" fontId="0" fillId="0" borderId="0" xfId="66" applyNumberFormat="1" applyFont="1" applyProtection="1">
      <protection locked="0"/>
    </xf>
    <xf numFmtId="178" fontId="0" fillId="0" borderId="117" xfId="66" applyNumberFormat="1" applyFont="1" applyBorder="1"/>
    <xf numFmtId="178" fontId="0" fillId="0" borderId="14" xfId="66" applyNumberFormat="1" applyFont="1" applyBorder="1" applyProtection="1">
      <protection locked="0"/>
    </xf>
    <xf numFmtId="175" fontId="17" fillId="0" borderId="115" xfId="66" applyFont="1" applyBorder="1" applyAlignment="1">
      <alignment horizontal="left" indent="1"/>
    </xf>
    <xf numFmtId="178" fontId="0" fillId="0" borderId="115" xfId="66" applyNumberFormat="1" applyFont="1" applyBorder="1"/>
    <xf numFmtId="178" fontId="0" fillId="44" borderId="116" xfId="66" applyNumberFormat="1" applyFont="1" applyFill="1" applyBorder="1"/>
    <xf numFmtId="178" fontId="0" fillId="44" borderId="101" xfId="66" applyNumberFormat="1" applyFont="1" applyFill="1" applyBorder="1"/>
    <xf numFmtId="164" fontId="0" fillId="0" borderId="0" xfId="66" applyNumberFormat="1" applyFont="1" applyAlignment="1">
      <alignment horizontal="right"/>
    </xf>
    <xf numFmtId="164" fontId="0" fillId="44" borderId="0" xfId="66" applyNumberFormat="1" applyFont="1" applyFill="1"/>
    <xf numFmtId="178" fontId="17" fillId="0" borderId="46" xfId="66" applyNumberFormat="1" applyFont="1" applyBorder="1"/>
    <xf numFmtId="178" fontId="17" fillId="0" borderId="61" xfId="66" applyNumberFormat="1" applyFont="1" applyBorder="1"/>
    <xf numFmtId="178" fontId="17" fillId="47" borderId="46" xfId="66" applyNumberFormat="1" applyFont="1" applyFill="1" applyBorder="1"/>
    <xf numFmtId="178" fontId="17" fillId="47" borderId="62" xfId="66" applyNumberFormat="1" applyFont="1" applyFill="1" applyBorder="1"/>
    <xf numFmtId="178" fontId="17" fillId="47" borderId="61" xfId="66" applyNumberFormat="1" applyFont="1" applyFill="1" applyBorder="1"/>
    <xf numFmtId="164" fontId="0" fillId="47" borderId="0" xfId="66" applyNumberFormat="1" applyFont="1" applyFill="1"/>
    <xf numFmtId="164" fontId="17" fillId="0" borderId="0" xfId="66" applyNumberFormat="1" applyFont="1"/>
    <xf numFmtId="175" fontId="64" fillId="47" borderId="0" xfId="66" applyFont="1" applyFill="1"/>
    <xf numFmtId="175" fontId="128" fillId="47" borderId="0" xfId="66" applyFont="1" applyFill="1"/>
    <xf numFmtId="175" fontId="0" fillId="0" borderId="114" xfId="0" applyBorder="1"/>
    <xf numFmtId="1" fontId="0" fillId="47" borderId="114" xfId="66" applyNumberFormat="1" applyFont="1" applyFill="1" applyBorder="1" applyAlignment="1" applyProtection="1">
      <alignment horizontal="center"/>
      <protection locked="0"/>
    </xf>
    <xf numFmtId="14" fontId="0" fillId="0" borderId="114" xfId="0" applyNumberFormat="1" applyBorder="1"/>
    <xf numFmtId="175" fontId="0" fillId="47" borderId="114" xfId="66" applyFont="1" applyFill="1" applyBorder="1" applyAlignment="1" applyProtection="1">
      <alignment horizontal="center"/>
      <protection locked="0"/>
    </xf>
    <xf numFmtId="2" fontId="0" fillId="47" borderId="114" xfId="66" applyNumberFormat="1" applyFont="1" applyFill="1" applyBorder="1" applyProtection="1">
      <protection locked="0"/>
    </xf>
    <xf numFmtId="16" fontId="0" fillId="0" borderId="114" xfId="0" applyNumberFormat="1" applyBorder="1" applyAlignment="1">
      <alignment horizontal="right"/>
    </xf>
    <xf numFmtId="175" fontId="71" fillId="47" borderId="0" xfId="66" quotePrefix="1" applyFont="1" applyFill="1" applyAlignment="1" applyProtection="1">
      <alignment horizontal="left"/>
      <protection locked="0"/>
    </xf>
    <xf numFmtId="175" fontId="137" fillId="0" borderId="0" xfId="0" quotePrefix="1" applyFont="1" applyAlignment="1">
      <alignment vertical="center"/>
    </xf>
    <xf numFmtId="175" fontId="0" fillId="0" borderId="0" xfId="0" applyProtection="1">
      <protection locked="0"/>
    </xf>
    <xf numFmtId="175" fontId="64" fillId="47" borderId="0" xfId="0" quotePrefix="1" applyFont="1" applyFill="1" applyProtection="1">
      <protection locked="0"/>
    </xf>
    <xf numFmtId="175" fontId="64" fillId="47" borderId="0" xfId="0" quotePrefix="1" applyFont="1" applyFill="1" applyAlignment="1">
      <alignment horizontal="left" vertical="top" wrapText="1"/>
    </xf>
    <xf numFmtId="175" fontId="17" fillId="0" borderId="63" xfId="0" applyFont="1" applyBorder="1" applyAlignment="1">
      <alignment horizontal="center"/>
    </xf>
    <xf numFmtId="175" fontId="17" fillId="0" borderId="64" xfId="0" applyFont="1" applyBorder="1" applyAlignment="1">
      <alignment horizontal="center"/>
    </xf>
    <xf numFmtId="175" fontId="17" fillId="0" borderId="65" xfId="0" applyFont="1" applyBorder="1" applyAlignment="1">
      <alignment horizontal="center"/>
    </xf>
    <xf numFmtId="175" fontId="64" fillId="0" borderId="0" xfId="0" quotePrefix="1" applyFont="1" applyBorder="1" applyAlignment="1"/>
    <xf numFmtId="175" fontId="64" fillId="0" borderId="0" xfId="0" applyFont="1" applyBorder="1" applyAlignment="1"/>
    <xf numFmtId="175" fontId="64" fillId="52" borderId="0" xfId="0" quotePrefix="1" applyFont="1" applyFill="1" applyBorder="1" applyAlignment="1"/>
    <xf numFmtId="175" fontId="64" fillId="52" borderId="0" xfId="0" applyFont="1" applyFill="1" applyBorder="1" applyAlignment="1"/>
    <xf numFmtId="175" fontId="64" fillId="0" borderId="0" xfId="0" quotePrefix="1" applyFont="1" applyAlignment="1">
      <alignment horizontal="left" vertical="justify"/>
    </xf>
    <xf numFmtId="175" fontId="17" fillId="0" borderId="17" xfId="0" applyFont="1" applyBorder="1" applyAlignment="1">
      <alignment horizontal="center"/>
    </xf>
    <xf numFmtId="175" fontId="17" fillId="0" borderId="0" xfId="0" applyFont="1" applyBorder="1" applyAlignment="1">
      <alignment horizontal="center"/>
    </xf>
    <xf numFmtId="175" fontId="17" fillId="0" borderId="41" xfId="0" applyFont="1" applyBorder="1" applyAlignment="1">
      <alignment horizontal="center"/>
    </xf>
    <xf numFmtId="175" fontId="71" fillId="0" borderId="0" xfId="0" applyFont="1" applyAlignment="1">
      <alignment vertical="top" wrapText="1"/>
    </xf>
    <xf numFmtId="175" fontId="64" fillId="0" borderId="0" xfId="0" quotePrefix="1" applyFont="1"/>
    <xf numFmtId="175" fontId="64" fillId="0" borderId="0" xfId="0" applyFont="1"/>
    <xf numFmtId="175" fontId="64" fillId="52" borderId="0" xfId="0" quotePrefix="1" applyFont="1" applyFill="1" applyAlignment="1">
      <alignment vertical="justify"/>
    </xf>
    <xf numFmtId="175" fontId="64" fillId="52" borderId="0" xfId="0" applyFont="1" applyFill="1" applyAlignment="1">
      <alignment vertical="justify"/>
    </xf>
    <xf numFmtId="175" fontId="64" fillId="52" borderId="0" xfId="0" quotePrefix="1" applyFont="1" applyFill="1"/>
    <xf numFmtId="175" fontId="64" fillId="52" borderId="0" xfId="0" applyFont="1" applyFill="1"/>
    <xf numFmtId="175" fontId="64" fillId="0" borderId="0" xfId="0" applyFont="1" applyAlignment="1">
      <alignment horizontal="left" vertical="justify"/>
    </xf>
    <xf numFmtId="175" fontId="37" fillId="0" borderId="11" xfId="0" applyFont="1" applyBorder="1" applyAlignment="1" applyProtection="1">
      <alignment horizontal="center"/>
      <protection locked="0"/>
    </xf>
    <xf numFmtId="175" fontId="37" fillId="0" borderId="11" xfId="0" applyFont="1" applyBorder="1" applyAlignment="1">
      <alignment horizontal="center"/>
    </xf>
    <xf numFmtId="175" fontId="57" fillId="47" borderId="20" xfId="66" applyFont="1" applyFill="1" applyBorder="1" applyAlignment="1">
      <alignment horizontal="center" wrapText="1"/>
    </xf>
    <xf numFmtId="175" fontId="57" fillId="47" borderId="18" xfId="66" applyFont="1" applyFill="1" applyBorder="1" applyAlignment="1">
      <alignment horizontal="center" wrapText="1"/>
    </xf>
    <xf numFmtId="175" fontId="57" fillId="47" borderId="19" xfId="66" applyFont="1" applyFill="1" applyBorder="1" applyAlignment="1">
      <alignment horizontal="center" wrapText="1"/>
    </xf>
    <xf numFmtId="175" fontId="83" fillId="0" borderId="0" xfId="0" applyFont="1" applyAlignment="1" applyProtection="1">
      <alignment horizontal="center"/>
      <protection locked="0"/>
    </xf>
    <xf numFmtId="17" fontId="83" fillId="47" borderId="0" xfId="0" quotePrefix="1" applyNumberFormat="1" applyFont="1" applyFill="1" applyAlignment="1" applyProtection="1">
      <alignment horizontal="left"/>
      <protection locked="0"/>
    </xf>
    <xf numFmtId="0" fontId="77" fillId="0" borderId="22" xfId="520" applyFont="1" applyBorder="1" applyAlignment="1">
      <alignment horizontal="center" vertical="center" wrapText="1"/>
    </xf>
    <xf numFmtId="0" fontId="77" fillId="0" borderId="21" xfId="520" applyFont="1" applyBorder="1" applyAlignment="1">
      <alignment horizontal="center" vertical="center" wrapText="1"/>
    </xf>
    <xf numFmtId="0" fontId="77" fillId="0" borderId="15" xfId="520" applyFont="1" applyBorder="1" applyAlignment="1">
      <alignment horizontal="center" vertical="center" wrapText="1"/>
    </xf>
    <xf numFmtId="0" fontId="77" fillId="0" borderId="34" xfId="520" applyFont="1" applyBorder="1" applyAlignment="1">
      <alignment horizontal="center" vertical="center" wrapText="1"/>
    </xf>
    <xf numFmtId="175" fontId="16" fillId="0" borderId="0" xfId="66" applyAlignment="1">
      <alignment wrapText="1"/>
    </xf>
    <xf numFmtId="175" fontId="64" fillId="0" borderId="0" xfId="66" applyFont="1" applyAlignment="1">
      <alignment wrapText="1"/>
    </xf>
    <xf numFmtId="178" fontId="69" fillId="0" borderId="117" xfId="66" applyNumberFormat="1" applyFont="1" applyFill="1" applyBorder="1"/>
    <xf numFmtId="178" fontId="69" fillId="0" borderId="118" xfId="66" applyNumberFormat="1" applyFont="1" applyFill="1" applyBorder="1"/>
  </cellXfs>
  <cellStyles count="5686">
    <cellStyle name="20% - Accent1" xfId="1" builtinId="30" customBuiltin="1"/>
    <cellStyle name="20% - Accent1 10" xfId="2615" xr:uid="{0530D38E-A898-4260-B744-EE0FD3F51670}"/>
    <cellStyle name="20% - Accent1 10 2" xfId="5050" xr:uid="{1B5BB733-B31C-45E1-89E8-6B9AE1C1AF2C}"/>
    <cellStyle name="20% - Accent1 11" xfId="946" xr:uid="{BDB4F86E-C395-4B17-B047-8C5095DD363A}"/>
    <cellStyle name="20% - Accent1 11 2" xfId="3842" xr:uid="{59F8B971-E92A-42A0-8C1D-D80B3EE5256F}"/>
    <cellStyle name="20% - Accent1 2" xfId="115" xr:uid="{00000000-0005-0000-0000-000001000000}"/>
    <cellStyle name="20% - Accent1 2 2" xfId="986" xr:uid="{B0F92561-DC52-438D-93BD-56FEC2F54158}"/>
    <cellStyle name="20% - Accent1 2 3" xfId="959" xr:uid="{D5F55993-EF67-4A2B-8AC5-82F99174DB9C}"/>
    <cellStyle name="20% - Accent1 2 3 2" xfId="932" xr:uid="{5756FCE1-F2E9-44A9-9BCD-DF13817ED7DF}"/>
    <cellStyle name="20% - Accent1 2 3 2 2" xfId="1978" xr:uid="{1AF804C7-B6CF-4E3F-8E9D-C44839DA52B8}"/>
    <cellStyle name="20% - Accent1 2 3 2 2 2" xfId="2816" xr:uid="{9F97E78A-BF2C-4A13-9A8A-4E9A2D7BA1C6}"/>
    <cellStyle name="20% - Accent1 2 3 2 2 2 2" xfId="5251" xr:uid="{8A7202C0-E3B0-4168-9036-A882F1397B6F}"/>
    <cellStyle name="20% - Accent1 2 3 2 2 3" xfId="4495" xr:uid="{3A6E4DDB-B1C6-4029-96D1-A8894BE732C2}"/>
    <cellStyle name="20% - Accent1 2 3 2 3" xfId="2288" xr:uid="{F2E1F472-CE35-4D10-8FEB-758E8C07E3DD}"/>
    <cellStyle name="20% - Accent1 2 3 2 3 2" xfId="4723" xr:uid="{85DE5FD8-F8C6-488F-A0CD-5787746E43DD}"/>
    <cellStyle name="20% - Accent1 2 3 2 4" xfId="3830" xr:uid="{B5345671-8464-40DF-9015-96E55105459F}"/>
    <cellStyle name="20% - Accent1 2 3 3" xfId="1808" xr:uid="{D3C92B8B-90D6-43B2-8227-DEE1BA0F0E5B}"/>
    <cellStyle name="20% - Accent1 2 3 3 2" xfId="2646" xr:uid="{70FB1B76-3321-46D4-9106-9DA2EEA22BFB}"/>
    <cellStyle name="20% - Accent1 2 3 3 2 2" xfId="5081" xr:uid="{68A9E1F3-9482-4321-80E0-5A1B248D6A70}"/>
    <cellStyle name="20% - Accent1 2 3 3 3" xfId="4325" xr:uid="{7FC01D06-39D6-40B2-B4C0-912C676C72BD}"/>
    <cellStyle name="20% - Accent1 2 3 4" xfId="2287" xr:uid="{D4B2E421-0561-416A-A741-CB28425CB29D}"/>
    <cellStyle name="20% - Accent1 2 3 4 2" xfId="4722" xr:uid="{7D5C51E6-A3EB-441F-AB85-537C9E848BA3}"/>
    <cellStyle name="20% - Accent1 2 3 5" xfId="3849" xr:uid="{A124BC04-1B1D-4243-87C3-AD3A11303B8D}"/>
    <cellStyle name="20% - Accent1 2 4" xfId="2216" xr:uid="{7EC04D94-F33F-43EE-B7B5-A74ED299E86E}"/>
    <cellStyle name="20% - Accent1 2 5" xfId="985" xr:uid="{496C287B-294B-4B32-85CE-D61DE6A8B3A9}"/>
    <cellStyle name="20% - Accent1 3" xfId="149" xr:uid="{00000000-0005-0000-0000-000002000000}"/>
    <cellStyle name="20% - Accent1 3 2" xfId="979" xr:uid="{205AB90E-089F-45A7-B4E0-E446BED22D60}"/>
    <cellStyle name="20% - Accent1 3 2 2" xfId="1979" xr:uid="{0B6C83EE-8580-457F-8023-6265CAC5FA47}"/>
    <cellStyle name="20% - Accent1 3 2 2 2" xfId="2817" xr:uid="{F988BB2A-E137-44C7-BFDC-91D1A7A233A5}"/>
    <cellStyle name="20% - Accent1 3 2 2 2 2" xfId="5252" xr:uid="{C6373E45-2710-4BC1-ADC3-D8A277A0C71F}"/>
    <cellStyle name="20% - Accent1 3 2 2 3" xfId="4496" xr:uid="{B56AD8FA-1601-449C-8498-F10B4C6DBCC3}"/>
    <cellStyle name="20% - Accent1 3 2 3" xfId="2290" xr:uid="{6F895BEF-BCED-40AC-96A0-82BD08C4B72E}"/>
    <cellStyle name="20% - Accent1 3 2 3 2" xfId="4725" xr:uid="{7ACFB64C-5FE6-4C31-A6D4-8F5C7187E785}"/>
    <cellStyle name="20% - Accent1 3 2 4" xfId="3866" xr:uid="{4D321D5C-EEB2-4EEB-BF26-5841FD046339}"/>
    <cellStyle name="20% - Accent1 3 3" xfId="1809" xr:uid="{931AC7EF-5BF8-4AFB-B058-9DF3DAB1E317}"/>
    <cellStyle name="20% - Accent1 3 3 2" xfId="2647" xr:uid="{78A469D2-3877-443D-9D6E-B6F0FBCDFBDA}"/>
    <cellStyle name="20% - Accent1 3 3 2 2" xfId="5082" xr:uid="{570EAE52-C520-41A5-88B8-D075AE9D40F5}"/>
    <cellStyle name="20% - Accent1 3 3 3" xfId="4326" xr:uid="{6A3D9817-490E-4DE7-9F98-83EEE3DFD902}"/>
    <cellStyle name="20% - Accent1 3 4" xfId="2289" xr:uid="{4303F234-775D-4272-856E-58CA7093D8D3}"/>
    <cellStyle name="20% - Accent1 3 4 2" xfId="4724" xr:uid="{874124A8-AE30-4EC2-B474-5EB1E6EB5848}"/>
    <cellStyle name="20% - Accent1 3 5" xfId="942" xr:uid="{E7080B5B-02A6-4315-B7D0-BA9EBFCC9C42}"/>
    <cellStyle name="20% - Accent1 3 5 2" xfId="3839" xr:uid="{5120F858-5000-4C64-8B26-33EAFA38F1EC}"/>
    <cellStyle name="20% - Accent1 4" xfId="195" xr:uid="{00000000-0005-0000-0000-000003000000}"/>
    <cellStyle name="20% - Accent1 4 2" xfId="961" xr:uid="{2AA9F089-2F1E-4A3A-B562-720CB4572103}"/>
    <cellStyle name="20% - Accent1 4 2 2" xfId="1977" xr:uid="{5F33A3F2-094E-4F21-9F9B-B8ECE9C453BE}"/>
    <cellStyle name="20% - Accent1 4 2 2 2" xfId="2815" xr:uid="{8030E80E-7422-4935-A2B7-2249CDE04564}"/>
    <cellStyle name="20% - Accent1 4 2 2 2 2" xfId="5250" xr:uid="{89249FE4-4DCD-4F4B-8280-D3D43FD3C821}"/>
    <cellStyle name="20% - Accent1 4 2 2 3" xfId="4494" xr:uid="{527CE932-A8CB-472C-9D91-27A874C3AB23}"/>
    <cellStyle name="20% - Accent1 4 2 3" xfId="2292" xr:uid="{904A13CC-9511-44BD-A155-55A1461B31BA}"/>
    <cellStyle name="20% - Accent1 4 2 3 2" xfId="4727" xr:uid="{0599947B-65CD-4DCE-96BA-0F04B036D9B3}"/>
    <cellStyle name="20% - Accent1 4 2 4" xfId="3851" xr:uid="{48BBF66C-EB65-4543-AA92-20F75DB96482}"/>
    <cellStyle name="20% - Accent1 4 3" xfId="1807" xr:uid="{AC47F1B8-BBE0-4DD0-97EF-DB99F3D3AE25}"/>
    <cellStyle name="20% - Accent1 4 3 2" xfId="2645" xr:uid="{B162F789-3EB4-478C-B48C-A5391DEB21B6}"/>
    <cellStyle name="20% - Accent1 4 3 2 2" xfId="5080" xr:uid="{6AC5B924-1C95-4C9C-8A22-53743593635A}"/>
    <cellStyle name="20% - Accent1 4 3 3" xfId="4324" xr:uid="{BD7295CC-9AF2-41A4-B850-986D32FA4747}"/>
    <cellStyle name="20% - Accent1 4 4" xfId="2291" xr:uid="{82B67865-F285-40AF-9237-AC60663EB795}"/>
    <cellStyle name="20% - Accent1 4 4 2" xfId="4726" xr:uid="{928E40C2-C6C4-437E-A342-82D10FC0809C}"/>
    <cellStyle name="20% - Accent1 4 5" xfId="960" xr:uid="{02CF68AE-40E1-4C03-A7E5-9AFC9172E6DB}"/>
    <cellStyle name="20% - Accent1 4 5 2" xfId="3850" xr:uid="{F176C64F-8748-4F5D-A3C8-036EEAFFDFF3}"/>
    <cellStyle name="20% - Accent1 5" xfId="241" xr:uid="{00000000-0005-0000-0000-000004000000}"/>
    <cellStyle name="20% - Accent1 5 2" xfId="1959" xr:uid="{6442A17C-839A-46CD-B1B9-93CBF511BD65}"/>
    <cellStyle name="20% - Accent1 5 2 2" xfId="2797" xr:uid="{80DEC1DD-596A-4720-A340-92C2CEE2C833}"/>
    <cellStyle name="20% - Accent1 5 2 2 2" xfId="5232" xr:uid="{50BD9A80-4680-4BEE-A932-11D90BA31DC3}"/>
    <cellStyle name="20% - Accent1 5 2 3" xfId="4476" xr:uid="{E29F50A5-4399-4677-B321-1023D8123BDC}"/>
    <cellStyle name="20% - Accent1 5 3" xfId="2293" xr:uid="{7411B0E5-644C-40F4-B004-9B1A2ECC1281}"/>
    <cellStyle name="20% - Accent1 5 3 2" xfId="4728" xr:uid="{1BB16F0A-E185-4F63-B8EC-3A30F27EE565}"/>
    <cellStyle name="20% - Accent1 5 4" xfId="947" xr:uid="{CFF7AC42-0470-4B78-BB57-0CCC00B31340}"/>
    <cellStyle name="20% - Accent1 5 4 2" xfId="3843" xr:uid="{94828FA6-D2E7-4B86-A83C-26DAD790C392}"/>
    <cellStyle name="20% - Accent1 6" xfId="290" xr:uid="{00000000-0005-0000-0000-000005000000}"/>
    <cellStyle name="20% - Accent1 6 2" xfId="2627" xr:uid="{59F633C1-AD72-4529-B123-A543BBBE47A7}"/>
    <cellStyle name="20% - Accent1 6 2 2" xfId="5062" xr:uid="{21C444C7-2B61-43BE-96D3-4022FE7FC0D1}"/>
    <cellStyle name="20% - Accent1 6 3" xfId="1789" xr:uid="{6F1A6773-3269-469E-80C2-09CF3E968FCC}"/>
    <cellStyle name="20% - Accent1 6 3 2" xfId="4306" xr:uid="{6B3019A5-4A94-4912-A6EB-603B6692FD22}"/>
    <cellStyle name="20% - Accent1 7" xfId="354" xr:uid="{00000000-0005-0000-0000-000006000000}"/>
    <cellStyle name="20% - Accent1 7 2" xfId="2969" xr:uid="{89D922CA-8333-4F9E-AB5D-C60140539537}"/>
    <cellStyle name="20% - Accent1 7 2 2" xfId="5404" xr:uid="{E594EDC5-AFDF-4F36-A47A-A880A2D697D6}"/>
    <cellStyle name="20% - Accent1 7 3" xfId="2131" xr:uid="{D72A6829-37BD-4F41-9960-E092A72BDF3B}"/>
    <cellStyle name="20% - Accent1 7 3 2" xfId="4648" xr:uid="{6F50E705-2DEC-4958-8E3C-017A8D21BB1C}"/>
    <cellStyle name="20% - Accent1 8" xfId="425" xr:uid="{00000000-0005-0000-0000-000007000000}"/>
    <cellStyle name="20% - Accent1 8 2" xfId="2160" xr:uid="{68F8AC44-09E9-4ECD-93A0-EC765A37E977}"/>
    <cellStyle name="20% - Accent1 8 2 2" xfId="4661" xr:uid="{D937CB3D-DBEA-4AEE-AAB8-2AA2F53820D1}"/>
    <cellStyle name="20% - Accent1 9" xfId="529" xr:uid="{00000000-0005-0000-0000-000008000000}"/>
    <cellStyle name="20% - Accent1 9 2" xfId="2174" xr:uid="{CBCBBE3E-F28D-4BF9-A80D-AFD5EEA10506}"/>
    <cellStyle name="20% - Accent1 9 2 2" xfId="4675" xr:uid="{8E376766-AE7D-4F37-BA57-C0B5F657E449}"/>
    <cellStyle name="20% - Accent2" xfId="2" builtinId="34" customBuiltin="1"/>
    <cellStyle name="20% - Accent2 10" xfId="2617" xr:uid="{D45E1C98-4E1F-4737-8142-6EA2ECD1C7F5}"/>
    <cellStyle name="20% - Accent2 10 2" xfId="5052" xr:uid="{1D1423E6-E4C2-4804-AC1D-26DF8BD5BABB}"/>
    <cellStyle name="20% - Accent2 11" xfId="920" xr:uid="{2F2F1766-9CCF-4EBF-B47F-27C648F64C4A}"/>
    <cellStyle name="20% - Accent2 11 2" xfId="3828" xr:uid="{CE558020-E147-4540-B4B0-2561EFA5C892}"/>
    <cellStyle name="20% - Accent2 2" xfId="116" xr:uid="{00000000-0005-0000-0000-00000A000000}"/>
    <cellStyle name="20% - Accent2 2 2" xfId="984" xr:uid="{411AB685-9CB9-4196-9358-F02608C6E97F}"/>
    <cellStyle name="20% - Accent2 2 3" xfId="962" xr:uid="{A6190496-D203-42E4-857D-DADEE9C883FE}"/>
    <cellStyle name="20% - Accent2 2 3 2" xfId="963" xr:uid="{6895F896-1357-4DDC-B042-E58DA8F2C864}"/>
    <cellStyle name="20% - Accent2 2 3 2 2" xfId="1981" xr:uid="{16FE7A79-5167-4C4B-92E6-4CBB33F1566E}"/>
    <cellStyle name="20% - Accent2 2 3 2 2 2" xfId="2819" xr:uid="{6FD42592-7A67-4D5C-8E59-4284A20DDD45}"/>
    <cellStyle name="20% - Accent2 2 3 2 2 2 2" xfId="5254" xr:uid="{C7B9348D-A92D-464B-9B0D-4BBD3DDC1F69}"/>
    <cellStyle name="20% - Accent2 2 3 2 2 3" xfId="4498" xr:uid="{C464D627-22BA-43D2-8F3B-61A6B07B122D}"/>
    <cellStyle name="20% - Accent2 2 3 2 3" xfId="2295" xr:uid="{2A4ECBE2-27F8-4DBD-BC85-DAC1F0AA44CF}"/>
    <cellStyle name="20% - Accent2 2 3 2 3 2" xfId="4730" xr:uid="{2DF45CDA-E91B-4C87-AB07-44A7448F353D}"/>
    <cellStyle name="20% - Accent2 2 3 2 4" xfId="3853" xr:uid="{53A497BF-CFB6-487F-A75E-ED98B3551F34}"/>
    <cellStyle name="20% - Accent2 2 3 3" xfId="1811" xr:uid="{21A02DD9-FFA4-402E-AD4B-44701A16DAC2}"/>
    <cellStyle name="20% - Accent2 2 3 3 2" xfId="2649" xr:uid="{792D5E3A-8196-4FB9-95E5-759F715902F2}"/>
    <cellStyle name="20% - Accent2 2 3 3 2 2" xfId="5084" xr:uid="{50E9B9D5-05AE-4916-8504-8FCB7739359F}"/>
    <cellStyle name="20% - Accent2 2 3 3 3" xfId="4328" xr:uid="{8121EB68-F8EC-4957-853D-F4C5A702F958}"/>
    <cellStyle name="20% - Accent2 2 3 4" xfId="2294" xr:uid="{3B21621E-C054-4AE6-8A37-DCB9000D8E03}"/>
    <cellStyle name="20% - Accent2 2 3 4 2" xfId="4729" xr:uid="{9E1BD3FD-E7E4-4EB9-A598-830DC34F4EC4}"/>
    <cellStyle name="20% - Accent2 2 3 5" xfId="3852" xr:uid="{489AB53F-F519-4C63-BC37-485ECD57381C}"/>
    <cellStyle name="20% - Accent2 2 4" xfId="2217" xr:uid="{8F05B092-4DCE-49FC-8339-6A9F810DA9DC}"/>
    <cellStyle name="20% - Accent2 2 5" xfId="989" xr:uid="{F6B2A9EB-0809-4EC2-B20C-AB5E9E7BE794}"/>
    <cellStyle name="20% - Accent2 3" xfId="150" xr:uid="{00000000-0005-0000-0000-00000B000000}"/>
    <cellStyle name="20% - Accent2 3 2" xfId="965" xr:uid="{B6C4C275-46FD-4A52-AFFE-FDD50B16206D}"/>
    <cellStyle name="20% - Accent2 3 2 2" xfId="1982" xr:uid="{35C6017E-1663-4FCF-87BB-6D94940C829F}"/>
    <cellStyle name="20% - Accent2 3 2 2 2" xfId="2820" xr:uid="{924999EB-B6B3-46E5-8475-1793C9FB504D}"/>
    <cellStyle name="20% - Accent2 3 2 2 2 2" xfId="5255" xr:uid="{B674335A-2E33-4E5F-807E-72A653C88827}"/>
    <cellStyle name="20% - Accent2 3 2 2 3" xfId="4499" xr:uid="{8DCF0E05-B4A7-4D5C-8959-4C7EA153B954}"/>
    <cellStyle name="20% - Accent2 3 2 3" xfId="2297" xr:uid="{5C6C3C63-DB64-4647-A265-5AD6BE0A1443}"/>
    <cellStyle name="20% - Accent2 3 2 3 2" xfId="4732" xr:uid="{FD33FF82-8916-472D-90D2-1CDB4C14FD41}"/>
    <cellStyle name="20% - Accent2 3 2 4" xfId="3855" xr:uid="{EF19E616-40E0-4380-83FD-3B24606618C0}"/>
    <cellStyle name="20% - Accent2 3 3" xfId="1812" xr:uid="{75D0AB1F-B9FC-4034-BB14-1369BFBCB17E}"/>
    <cellStyle name="20% - Accent2 3 3 2" xfId="2650" xr:uid="{F2E1BF83-BC92-41D2-9709-E7B16480C76E}"/>
    <cellStyle name="20% - Accent2 3 3 2 2" xfId="5085" xr:uid="{050B23A7-E227-4B39-BEC7-00CCBFD8861C}"/>
    <cellStyle name="20% - Accent2 3 3 3" xfId="4329" xr:uid="{507C7139-C3AD-4EF5-96A8-51545372AC95}"/>
    <cellStyle name="20% - Accent2 3 4" xfId="2296" xr:uid="{C7C4C218-3E26-423B-9E12-AB31850DA3BB}"/>
    <cellStyle name="20% - Accent2 3 4 2" xfId="4731" xr:uid="{3DA9D788-B9F1-4E6F-8BCC-67806C5DF0DD}"/>
    <cellStyle name="20% - Accent2 3 5" xfId="964" xr:uid="{747F896C-B310-485C-BD92-091169BFE826}"/>
    <cellStyle name="20% - Accent2 3 5 2" xfId="3854" xr:uid="{60E0A3AB-4751-4BD5-9576-0D196A874AC1}"/>
    <cellStyle name="20% - Accent2 4" xfId="196" xr:uid="{00000000-0005-0000-0000-00000C000000}"/>
    <cellStyle name="20% - Accent2 4 2" xfId="967" xr:uid="{49BD0448-028E-4D2D-924B-D68392E81FBC}"/>
    <cellStyle name="20% - Accent2 4 2 2" xfId="1980" xr:uid="{06A723C7-7256-4880-926D-73AA2CD6A6B5}"/>
    <cellStyle name="20% - Accent2 4 2 2 2" xfId="2818" xr:uid="{F7CCA871-54B0-49B0-856E-66B2421EF67A}"/>
    <cellStyle name="20% - Accent2 4 2 2 2 2" xfId="5253" xr:uid="{EE9109F6-A791-4E92-9C33-2B09B6E0305C}"/>
    <cellStyle name="20% - Accent2 4 2 2 3" xfId="4497" xr:uid="{3EB8827E-4C7A-4309-B34C-2A4F60779463}"/>
    <cellStyle name="20% - Accent2 4 2 3" xfId="2299" xr:uid="{1747903F-0B48-4C12-9BAD-90FE64F55E93}"/>
    <cellStyle name="20% - Accent2 4 2 3 2" xfId="4734" xr:uid="{64F285B3-1124-44A4-BDC2-FDC12290E518}"/>
    <cellStyle name="20% - Accent2 4 2 4" xfId="3857" xr:uid="{9F530370-3F75-4E09-A17A-739A00F5D3B1}"/>
    <cellStyle name="20% - Accent2 4 3" xfId="1810" xr:uid="{0D55ACEC-1AEA-4006-B035-2A1814D9ADA4}"/>
    <cellStyle name="20% - Accent2 4 3 2" xfId="2648" xr:uid="{2DB052C7-9684-45DB-A591-59F29978BF64}"/>
    <cellStyle name="20% - Accent2 4 3 2 2" xfId="5083" xr:uid="{49233B01-B753-4E61-A925-A90F024887B0}"/>
    <cellStyle name="20% - Accent2 4 3 3" xfId="4327" xr:uid="{1A3E8E34-1AA8-476A-A624-632E5EB6111B}"/>
    <cellStyle name="20% - Accent2 4 4" xfId="2298" xr:uid="{08219391-EDCF-4578-B04B-4E4572C6F6C3}"/>
    <cellStyle name="20% - Accent2 4 4 2" xfId="4733" xr:uid="{52C7C624-3795-4329-9082-86A76CAAAB6B}"/>
    <cellStyle name="20% - Accent2 4 5" xfId="966" xr:uid="{3E164E5F-D548-463E-8B9F-25F30C671444}"/>
    <cellStyle name="20% - Accent2 4 5 2" xfId="3856" xr:uid="{CC85D09E-564E-4B68-BCB7-BDD8E67E4E77}"/>
    <cellStyle name="20% - Accent2 5" xfId="242" xr:uid="{00000000-0005-0000-0000-00000D000000}"/>
    <cellStyle name="20% - Accent2 5 2" xfId="1960" xr:uid="{6268BA2A-8D35-4295-9938-7664CA5A71D8}"/>
    <cellStyle name="20% - Accent2 5 2 2" xfId="2798" xr:uid="{948ACF38-882A-48B8-AD57-0F2CF7A5AF5C}"/>
    <cellStyle name="20% - Accent2 5 2 2 2" xfId="5233" xr:uid="{DD7080F0-F129-4079-81E6-63ABC82C6A87}"/>
    <cellStyle name="20% - Accent2 5 2 3" xfId="4477" xr:uid="{EEE9C04C-53F6-4AC2-A066-F79374C56815}"/>
    <cellStyle name="20% - Accent2 5 3" xfId="2300" xr:uid="{8D329776-F97E-4510-8EDA-62F7699BCC57}"/>
    <cellStyle name="20% - Accent2 5 3 2" xfId="4735" xr:uid="{B3F0C368-3083-4EE2-856A-3C307C7A6DC3}"/>
    <cellStyle name="20% - Accent2 5 4" xfId="968" xr:uid="{1D41414A-D504-41CB-BB73-B4F86C41A2B1}"/>
    <cellStyle name="20% - Accent2 5 4 2" xfId="3858" xr:uid="{601D161D-CCF0-40F9-85E0-211EE08FDE7B}"/>
    <cellStyle name="20% - Accent2 6" xfId="291" xr:uid="{00000000-0005-0000-0000-00000E000000}"/>
    <cellStyle name="20% - Accent2 6 2" xfId="2628" xr:uid="{B5F1A896-7B3A-4D37-B3F1-8BF87E2C41B2}"/>
    <cellStyle name="20% - Accent2 6 2 2" xfId="5063" xr:uid="{6B0B7C3C-1B77-40D7-8656-68F170955B9A}"/>
    <cellStyle name="20% - Accent2 6 3" xfId="1790" xr:uid="{A8679535-76C2-4C95-B1F6-C2F50B4DBCBD}"/>
    <cellStyle name="20% - Accent2 6 3 2" xfId="4307" xr:uid="{F66C923E-9012-43EE-90B3-32EE97495547}"/>
    <cellStyle name="20% - Accent2 7" xfId="355" xr:uid="{00000000-0005-0000-0000-00000F000000}"/>
    <cellStyle name="20% - Accent2 7 2" xfId="2971" xr:uid="{64F5F296-F612-4CD5-AE57-82342F3A4393}"/>
    <cellStyle name="20% - Accent2 7 2 2" xfId="5406" xr:uid="{A668FB9D-7DF8-445A-B587-B4F5537B9FAA}"/>
    <cellStyle name="20% - Accent2 7 3" xfId="2133" xr:uid="{56DF31E3-FB5D-40BA-BE3B-0779244E3523}"/>
    <cellStyle name="20% - Accent2 7 3 2" xfId="4650" xr:uid="{84902020-C8B9-4F4C-AF5B-90DFB44E436F}"/>
    <cellStyle name="20% - Accent2 8" xfId="426" xr:uid="{00000000-0005-0000-0000-000010000000}"/>
    <cellStyle name="20% - Accent2 8 2" xfId="2162" xr:uid="{84855050-F300-458B-B537-D1EC01D7189E}"/>
    <cellStyle name="20% - Accent2 8 2 2" xfId="4663" xr:uid="{184562E0-E804-45B4-90F2-6D7B031D7C60}"/>
    <cellStyle name="20% - Accent2 9" xfId="530" xr:uid="{00000000-0005-0000-0000-000011000000}"/>
    <cellStyle name="20% - Accent2 9 2" xfId="2176" xr:uid="{5D233639-AE42-4B0D-8AE6-25139EF609DB}"/>
    <cellStyle name="20% - Accent2 9 2 2" xfId="4677" xr:uid="{3631F91E-331F-48C4-9706-143224B99FC2}"/>
    <cellStyle name="20% - Accent3" xfId="3" builtinId="38" customBuiltin="1"/>
    <cellStyle name="20% - Accent3 10" xfId="2619" xr:uid="{5CFCA78F-B461-4BCC-B775-E9685F5266A1}"/>
    <cellStyle name="20% - Accent3 10 2" xfId="5054" xr:uid="{B614DE88-F7E7-481B-95DC-1E76C25DBFAB}"/>
    <cellStyle name="20% - Accent3 11" xfId="954" xr:uid="{9976CA03-160C-4561-8E89-EC9ABB380422}"/>
    <cellStyle name="20% - Accent3 11 2" xfId="3845" xr:uid="{8689DDD5-256D-4897-A745-61F4B3A42649}"/>
    <cellStyle name="20% - Accent3 2" xfId="117" xr:uid="{00000000-0005-0000-0000-000013000000}"/>
    <cellStyle name="20% - Accent3 2 2" xfId="970" xr:uid="{DD253FEA-DAA4-4DF6-8EE5-1BB8561DED31}"/>
    <cellStyle name="20% - Accent3 2 3" xfId="971" xr:uid="{CBB66954-7CDD-471D-B5FE-8BC82C9EC750}"/>
    <cellStyle name="20% - Accent3 2 3 2" xfId="972" xr:uid="{093CC219-6515-4797-852E-6AA862DB4FE3}"/>
    <cellStyle name="20% - Accent3 2 3 2 2" xfId="1984" xr:uid="{ECD5F8E7-65A3-4F9F-A2ED-939E87D48675}"/>
    <cellStyle name="20% - Accent3 2 3 2 2 2" xfId="2822" xr:uid="{8C32541B-07CC-4DEC-BC1C-C9AE10448AE5}"/>
    <cellStyle name="20% - Accent3 2 3 2 2 2 2" xfId="5257" xr:uid="{1855AB54-8078-4A1A-97F2-062F37D88B0B}"/>
    <cellStyle name="20% - Accent3 2 3 2 2 3" xfId="4501" xr:uid="{F9EA3320-942D-4391-A89E-2B6C40C75B89}"/>
    <cellStyle name="20% - Accent3 2 3 2 3" xfId="2302" xr:uid="{7AF0586B-4310-44E5-8DEF-47382984C71B}"/>
    <cellStyle name="20% - Accent3 2 3 2 3 2" xfId="4737" xr:uid="{7CFAC01B-ABD2-4E57-B252-37D59050666F}"/>
    <cellStyle name="20% - Accent3 2 3 2 4" xfId="3860" xr:uid="{8C520078-FDCA-460A-BECB-357F9376E0E3}"/>
    <cellStyle name="20% - Accent3 2 3 3" xfId="1814" xr:uid="{839C1B10-9B83-4B60-AB4B-FE08CDA912F4}"/>
    <cellStyle name="20% - Accent3 2 3 3 2" xfId="2652" xr:uid="{A70331FB-B14B-4662-AD51-6735DAE2076D}"/>
    <cellStyle name="20% - Accent3 2 3 3 2 2" xfId="5087" xr:uid="{7BB6B168-2E7F-45C8-88A5-1D206045E45C}"/>
    <cellStyle name="20% - Accent3 2 3 3 3" xfId="4331" xr:uid="{5B06EAE2-F42C-41E5-8FE6-BBD797B512DF}"/>
    <cellStyle name="20% - Accent3 2 3 4" xfId="2301" xr:uid="{E1F9037A-2C5B-4BB8-A074-9C70863CF6D1}"/>
    <cellStyle name="20% - Accent3 2 3 4 2" xfId="4736" xr:uid="{DA803F8E-B2BE-436B-9D01-5CF24C880370}"/>
    <cellStyle name="20% - Accent3 2 3 5" xfId="3859" xr:uid="{F09E5DFA-C2F9-4121-A355-44D66A383CEB}"/>
    <cellStyle name="20% - Accent3 2 4" xfId="2218" xr:uid="{0A7782A0-8859-4E92-BC1B-36C87E98E6D5}"/>
    <cellStyle name="20% - Accent3 2 5" xfId="969" xr:uid="{4C323FB1-E24A-4CDF-9010-EFBBD52AEA7F}"/>
    <cellStyle name="20% - Accent3 3" xfId="151" xr:uid="{00000000-0005-0000-0000-000014000000}"/>
    <cellStyle name="20% - Accent3 3 2" xfId="974" xr:uid="{724ADA64-E435-46B2-97C4-6CDB46B18919}"/>
    <cellStyle name="20% - Accent3 3 2 2" xfId="1985" xr:uid="{EFF75ED3-9A83-41A3-9445-C9BE4DF6531B}"/>
    <cellStyle name="20% - Accent3 3 2 2 2" xfId="2823" xr:uid="{C881D943-3B7D-47FD-B219-74F48A9E7A25}"/>
    <cellStyle name="20% - Accent3 3 2 2 2 2" xfId="5258" xr:uid="{720EC776-DCA4-46A8-BCB7-1D1F46D2FE52}"/>
    <cellStyle name="20% - Accent3 3 2 2 3" xfId="4502" xr:uid="{E4A6BE64-C47C-464D-B6F8-A35A0A20E005}"/>
    <cellStyle name="20% - Accent3 3 2 3" xfId="2304" xr:uid="{F8983E88-6832-4586-BC30-679C8E76A32B}"/>
    <cellStyle name="20% - Accent3 3 2 3 2" xfId="4739" xr:uid="{B170CF8B-57B8-4EF9-B39E-A5EF3FBE4713}"/>
    <cellStyle name="20% - Accent3 3 2 4" xfId="3862" xr:uid="{B3664056-6FCF-4488-9A77-BF74C15BB8A6}"/>
    <cellStyle name="20% - Accent3 3 3" xfId="1815" xr:uid="{592F98F2-B4AD-42AB-A6E2-67FF0950841F}"/>
    <cellStyle name="20% - Accent3 3 3 2" xfId="2653" xr:uid="{0AFD1EF2-0FE0-4765-8734-E1D7A3853E8C}"/>
    <cellStyle name="20% - Accent3 3 3 2 2" xfId="5088" xr:uid="{FD884B17-49AD-4991-91B0-097BD0ED9E6B}"/>
    <cellStyle name="20% - Accent3 3 3 3" xfId="4332" xr:uid="{8F38C60D-E657-4C5A-84AC-2EAAE4FBC0A4}"/>
    <cellStyle name="20% - Accent3 3 4" xfId="2303" xr:uid="{0B87E608-DF69-4BD0-9AE9-4033E259A740}"/>
    <cellStyle name="20% - Accent3 3 4 2" xfId="4738" xr:uid="{78CD18B0-7CC0-4BD3-BBBC-EE18260B30E0}"/>
    <cellStyle name="20% - Accent3 3 5" xfId="973" xr:uid="{AB5D054D-9FD3-4F54-AD65-B7435A73F58A}"/>
    <cellStyle name="20% - Accent3 3 5 2" xfId="3861" xr:uid="{B7EB9F60-62CB-4CC4-B9B0-24947ECA7E53}"/>
    <cellStyle name="20% - Accent3 4" xfId="197" xr:uid="{00000000-0005-0000-0000-000015000000}"/>
    <cellStyle name="20% - Accent3 4 2" xfId="976" xr:uid="{9C0D4E76-07E0-4CFB-ABCB-56B683E5C1BA}"/>
    <cellStyle name="20% - Accent3 4 2 2" xfId="1983" xr:uid="{C5E18A03-061D-460C-9E0D-5E4515F30B08}"/>
    <cellStyle name="20% - Accent3 4 2 2 2" xfId="2821" xr:uid="{1E4E49C2-AAC5-4D0D-BC39-B6BAA92C6531}"/>
    <cellStyle name="20% - Accent3 4 2 2 2 2" xfId="5256" xr:uid="{7D839A4A-A443-4BD2-A20D-619131839913}"/>
    <cellStyle name="20% - Accent3 4 2 2 3" xfId="4500" xr:uid="{18442005-92BC-43B8-B58F-F672C02C660C}"/>
    <cellStyle name="20% - Accent3 4 2 3" xfId="2306" xr:uid="{FAAC5063-06E2-4296-AF98-8664D2AABEC0}"/>
    <cellStyle name="20% - Accent3 4 2 3 2" xfId="4741" xr:uid="{D926774F-B53A-4F71-AC33-4763BBE9E369}"/>
    <cellStyle name="20% - Accent3 4 2 4" xfId="3864" xr:uid="{8FE9A1C0-C18E-424F-B786-244FA637F61B}"/>
    <cellStyle name="20% - Accent3 4 3" xfId="1813" xr:uid="{D0B87D49-0A48-40F1-A7CB-BD29ABBC3EF9}"/>
    <cellStyle name="20% - Accent3 4 3 2" xfId="2651" xr:uid="{10423483-C5BF-42FD-8CB6-7B6538F6630F}"/>
    <cellStyle name="20% - Accent3 4 3 2 2" xfId="5086" xr:uid="{049F7C1C-3EEE-48DF-A776-64D1838F9A03}"/>
    <cellStyle name="20% - Accent3 4 3 3" xfId="4330" xr:uid="{B589C21F-CBB8-4ED2-BFA7-F4D5AEACBFD8}"/>
    <cellStyle name="20% - Accent3 4 4" xfId="2305" xr:uid="{ADF42BCE-45BB-4408-9F27-C0EA8972DA18}"/>
    <cellStyle name="20% - Accent3 4 4 2" xfId="4740" xr:uid="{3CB6FE64-AA87-496C-AB23-19CBB7BD1107}"/>
    <cellStyle name="20% - Accent3 4 5" xfId="975" xr:uid="{543CACB9-489A-41CD-93A0-84EF0D365944}"/>
    <cellStyle name="20% - Accent3 4 5 2" xfId="3863" xr:uid="{06678B94-8370-4B37-925B-45A09E44B5A5}"/>
    <cellStyle name="20% - Accent3 5" xfId="243" xr:uid="{00000000-0005-0000-0000-000016000000}"/>
    <cellStyle name="20% - Accent3 5 2" xfId="1961" xr:uid="{E753CB56-69F4-4C75-ADDD-E0D6EE7BD3A1}"/>
    <cellStyle name="20% - Accent3 5 2 2" xfId="2799" xr:uid="{BD45DB39-6319-4D67-A57B-414913B399B5}"/>
    <cellStyle name="20% - Accent3 5 2 2 2" xfId="5234" xr:uid="{41360DF6-9840-4320-AF18-197831769DF4}"/>
    <cellStyle name="20% - Accent3 5 2 3" xfId="4478" xr:uid="{2E041C25-4467-4A84-9D72-5142A116B276}"/>
    <cellStyle name="20% - Accent3 5 3" xfId="2307" xr:uid="{10772820-7654-4DBC-AC0F-34B83BBBF6F9}"/>
    <cellStyle name="20% - Accent3 5 3 2" xfId="4742" xr:uid="{CCD92B74-99C7-4B59-B84F-B3394561D3FC}"/>
    <cellStyle name="20% - Accent3 5 4" xfId="977" xr:uid="{ADED9F3F-8F59-4E0E-8A8E-94684C4899FC}"/>
    <cellStyle name="20% - Accent3 5 4 2" xfId="3865" xr:uid="{8B77B3E0-E302-4E7A-8D89-6694A47B661A}"/>
    <cellStyle name="20% - Accent3 6" xfId="292" xr:uid="{00000000-0005-0000-0000-000017000000}"/>
    <cellStyle name="20% - Accent3 6 2" xfId="2629" xr:uid="{DE824507-CB77-4F9F-95D5-EE06AC53C063}"/>
    <cellStyle name="20% - Accent3 6 2 2" xfId="5064" xr:uid="{EBF3494C-A8E2-451B-939E-34C3346F49FD}"/>
    <cellStyle name="20% - Accent3 6 3" xfId="1791" xr:uid="{F38B3921-7B0D-48AC-BB6C-454285E7984D}"/>
    <cellStyle name="20% - Accent3 6 3 2" xfId="4308" xr:uid="{462A1C57-B0DD-47F6-B824-5BEADD38136A}"/>
    <cellStyle name="20% - Accent3 7" xfId="356" xr:uid="{00000000-0005-0000-0000-000018000000}"/>
    <cellStyle name="20% - Accent3 7 2" xfId="2973" xr:uid="{EBBCB823-A93A-43C1-927B-87CAA8A2BAAD}"/>
    <cellStyle name="20% - Accent3 7 2 2" xfId="5408" xr:uid="{BB045980-9CAB-4448-AFCA-4DF3D7AAC8AF}"/>
    <cellStyle name="20% - Accent3 7 3" xfId="2135" xr:uid="{725C397B-6B53-4D9C-B684-4026A2DB8815}"/>
    <cellStyle name="20% - Accent3 7 3 2" xfId="4652" xr:uid="{24048B39-92F6-4D3E-A61B-586547AB9DF3}"/>
    <cellStyle name="20% - Accent3 8" xfId="427" xr:uid="{00000000-0005-0000-0000-000019000000}"/>
    <cellStyle name="20% - Accent3 8 2" xfId="2164" xr:uid="{0F0926F3-ECC6-4B25-9A8F-31F3B010F4B7}"/>
    <cellStyle name="20% - Accent3 8 2 2" xfId="4665" xr:uid="{94636EE7-4F49-4AC2-95FC-1FD4FB23234A}"/>
    <cellStyle name="20% - Accent3 9" xfId="531" xr:uid="{00000000-0005-0000-0000-00001A000000}"/>
    <cellStyle name="20% - Accent3 9 2" xfId="2178" xr:uid="{F5635B58-C54B-431A-A9D3-BB0919FD4219}"/>
    <cellStyle name="20% - Accent3 9 2 2" xfId="4679" xr:uid="{4F104492-CE55-4F43-98A3-1B136DBAE4A4}"/>
    <cellStyle name="20% - Accent4" xfId="4" builtinId="42" customBuiltin="1"/>
    <cellStyle name="20% - Accent4 10" xfId="2621" xr:uid="{3B246094-1720-43B5-B680-538F0B9BDA82}"/>
    <cellStyle name="20% - Accent4 10 2" xfId="5056" xr:uid="{040F4E02-EBD6-418C-B81E-B50F042FD4DE}"/>
    <cellStyle name="20% - Accent4 11" xfId="915" xr:uid="{5A6EEF32-3650-4018-B54A-AD33BB006856}"/>
    <cellStyle name="20% - Accent4 11 2" xfId="3827" xr:uid="{CAB20B1B-CB31-4D01-BC92-00672AD3C219}"/>
    <cellStyle name="20% - Accent4 2" xfId="118" xr:uid="{00000000-0005-0000-0000-00001C000000}"/>
    <cellStyle name="20% - Accent4 2 2" xfId="990" xr:uid="{AD11BAD8-EB0E-4C02-B7E0-C8A5C5BC992E}"/>
    <cellStyle name="20% - Accent4 2 3" xfId="991" xr:uid="{F37AA1A0-CC98-40B9-9C98-EFFDE52DE8EB}"/>
    <cellStyle name="20% - Accent4 2 3 2" xfId="992" xr:uid="{8740DF73-40EF-423B-B763-D97D8BCD625F}"/>
    <cellStyle name="20% - Accent4 2 3 2 2" xfId="1987" xr:uid="{50D7960A-5EBA-4D17-B5E4-486906E08A20}"/>
    <cellStyle name="20% - Accent4 2 3 2 2 2" xfId="2825" xr:uid="{EC1AAE1A-91C5-4103-9B27-4D1D0FE91ACC}"/>
    <cellStyle name="20% - Accent4 2 3 2 2 2 2" xfId="5260" xr:uid="{C7C1C9F6-4215-4672-A45C-39350091EDDC}"/>
    <cellStyle name="20% - Accent4 2 3 2 2 3" xfId="4504" xr:uid="{3158E772-1AFA-45FE-9836-C55201ED0407}"/>
    <cellStyle name="20% - Accent4 2 3 2 3" xfId="2309" xr:uid="{8657D0CA-0A0E-48A8-BF17-7661EF597940}"/>
    <cellStyle name="20% - Accent4 2 3 2 3 2" xfId="4744" xr:uid="{B37C1CBC-2D8A-4CED-A95A-33138F7C90EA}"/>
    <cellStyle name="20% - Accent4 2 3 2 4" xfId="3870" xr:uid="{3D42FFD1-33DB-4C91-9240-1CE8121377F8}"/>
    <cellStyle name="20% - Accent4 2 3 3" xfId="1817" xr:uid="{46E3803B-4A29-4307-A8A2-D69AB3EB1929}"/>
    <cellStyle name="20% - Accent4 2 3 3 2" xfId="2655" xr:uid="{4004886A-F3E3-45AE-99E6-D759C004DD92}"/>
    <cellStyle name="20% - Accent4 2 3 3 2 2" xfId="5090" xr:uid="{132EF9A7-DFB3-44B4-BC9B-5B5D57F7F722}"/>
    <cellStyle name="20% - Accent4 2 3 3 3" xfId="4334" xr:uid="{3391F630-E113-4FC9-B5EB-3900D57CD177}"/>
    <cellStyle name="20% - Accent4 2 3 4" xfId="2308" xr:uid="{26963832-3F73-44E1-979B-DB77DCFAC3E8}"/>
    <cellStyle name="20% - Accent4 2 3 4 2" xfId="4743" xr:uid="{89F77D22-A34E-44E7-962D-2D0309141FBA}"/>
    <cellStyle name="20% - Accent4 2 3 5" xfId="3869" xr:uid="{6DB4A763-618E-4E54-A67D-1F8F0564AE45}"/>
    <cellStyle name="20% - Accent4 2 4" xfId="2219" xr:uid="{075B8647-6530-43C4-ADD7-C3E66A097459}"/>
    <cellStyle name="20% - Accent4 2 5" xfId="978" xr:uid="{41407D36-276F-427E-AA59-25CEF9B39271}"/>
    <cellStyle name="20% - Accent4 3" xfId="152" xr:uid="{00000000-0005-0000-0000-00001D000000}"/>
    <cellStyle name="20% - Accent4 3 2" xfId="994" xr:uid="{8EA00686-9AF7-455A-9C75-384CEBBBD61B}"/>
    <cellStyle name="20% - Accent4 3 2 2" xfId="1988" xr:uid="{E2019116-697E-44F4-B067-14D621F451AB}"/>
    <cellStyle name="20% - Accent4 3 2 2 2" xfId="2826" xr:uid="{FDAC9AD9-EE27-49C4-914E-1AA1BEEC14C2}"/>
    <cellStyle name="20% - Accent4 3 2 2 2 2" xfId="5261" xr:uid="{082399F4-96DF-47B5-9C73-2D93A48E8E2F}"/>
    <cellStyle name="20% - Accent4 3 2 2 3" xfId="4505" xr:uid="{46FDB8C5-E9E8-4B3B-A365-76F4024BF87D}"/>
    <cellStyle name="20% - Accent4 3 2 3" xfId="2311" xr:uid="{806C6774-D6C7-4EE8-A7F9-0731C5754DE1}"/>
    <cellStyle name="20% - Accent4 3 2 3 2" xfId="4746" xr:uid="{91330C7A-9AED-41EB-A197-D9907D2DE3A2}"/>
    <cellStyle name="20% - Accent4 3 2 4" xfId="3872" xr:uid="{D12157BB-7337-4314-9EB7-69685E3A7243}"/>
    <cellStyle name="20% - Accent4 3 3" xfId="1818" xr:uid="{083BC5F4-CE7C-44D6-817C-8DE06A951424}"/>
    <cellStyle name="20% - Accent4 3 3 2" xfId="2656" xr:uid="{2EAFABAD-E117-4497-87CC-74CC40D14302}"/>
    <cellStyle name="20% - Accent4 3 3 2 2" xfId="5091" xr:uid="{E5088DFE-EBE5-4FFE-9771-8267B252A125}"/>
    <cellStyle name="20% - Accent4 3 3 3" xfId="4335" xr:uid="{E94C647A-35CB-4AEE-93D3-3993C7983190}"/>
    <cellStyle name="20% - Accent4 3 4" xfId="2310" xr:uid="{C49B6845-9C0F-408F-847E-7BB01040D4FD}"/>
    <cellStyle name="20% - Accent4 3 4 2" xfId="4745" xr:uid="{EA29C7C7-F910-4FBD-A695-5D7DA1E60954}"/>
    <cellStyle name="20% - Accent4 3 5" xfId="993" xr:uid="{DDD2C970-219F-4FC0-9272-5809ACEBDED1}"/>
    <cellStyle name="20% - Accent4 3 5 2" xfId="3871" xr:uid="{E8D4AE52-6686-4481-AC67-A8473C6A7653}"/>
    <cellStyle name="20% - Accent4 4" xfId="198" xr:uid="{00000000-0005-0000-0000-00001E000000}"/>
    <cellStyle name="20% - Accent4 4 2" xfId="996" xr:uid="{BE25CD25-1068-40EC-976D-64B4DB0B9F1A}"/>
    <cellStyle name="20% - Accent4 4 2 2" xfId="1986" xr:uid="{744944CC-AFC2-4AEA-A3B0-9BA055A9C307}"/>
    <cellStyle name="20% - Accent4 4 2 2 2" xfId="2824" xr:uid="{598AA6E2-7C39-4ABB-999E-6F0B383D7539}"/>
    <cellStyle name="20% - Accent4 4 2 2 2 2" xfId="5259" xr:uid="{C49AF3F4-FDA9-4CED-9B31-3B298C5BA507}"/>
    <cellStyle name="20% - Accent4 4 2 2 3" xfId="4503" xr:uid="{2690F89E-5ABD-4643-8F52-18A1140C3F8E}"/>
    <cellStyle name="20% - Accent4 4 2 3" xfId="2313" xr:uid="{78686982-BAEA-4E23-962D-280F43539678}"/>
    <cellStyle name="20% - Accent4 4 2 3 2" xfId="4748" xr:uid="{959BAC1E-37A2-48C7-A365-EF25B10650CE}"/>
    <cellStyle name="20% - Accent4 4 2 4" xfId="3874" xr:uid="{26F6BEEC-EE56-40A7-B134-71BFB518374E}"/>
    <cellStyle name="20% - Accent4 4 3" xfId="1816" xr:uid="{83190624-4E4D-4E40-A1C7-92888BFA02F8}"/>
    <cellStyle name="20% - Accent4 4 3 2" xfId="2654" xr:uid="{49A10E1E-DC85-408D-B63A-6065F56D789C}"/>
    <cellStyle name="20% - Accent4 4 3 2 2" xfId="5089" xr:uid="{9328185E-619E-4C97-8117-68CF351A1EC6}"/>
    <cellStyle name="20% - Accent4 4 3 3" xfId="4333" xr:uid="{9061EA33-24D5-4699-A7EF-B842AB3DC73E}"/>
    <cellStyle name="20% - Accent4 4 4" xfId="2312" xr:uid="{6FCF534A-0EA9-4B7F-9F79-A333B98820D7}"/>
    <cellStyle name="20% - Accent4 4 4 2" xfId="4747" xr:uid="{97989DA6-E5BA-48F5-A60C-E68494987407}"/>
    <cellStyle name="20% - Accent4 4 5" xfId="995" xr:uid="{DFA5EF04-B3E9-4B5D-9F85-2930EA017724}"/>
    <cellStyle name="20% - Accent4 4 5 2" xfId="3873" xr:uid="{646F8E97-E2B7-4E2C-92D1-EF30D47C108D}"/>
    <cellStyle name="20% - Accent4 5" xfId="244" xr:uid="{00000000-0005-0000-0000-00001F000000}"/>
    <cellStyle name="20% - Accent4 5 2" xfId="1962" xr:uid="{ADA161F3-2D41-4676-BD2F-3E7196E94731}"/>
    <cellStyle name="20% - Accent4 5 2 2" xfId="2800" xr:uid="{2F1CB915-6CC7-44FD-951C-00B876F43780}"/>
    <cellStyle name="20% - Accent4 5 2 2 2" xfId="5235" xr:uid="{E0F69F5F-2F51-47C4-8C7D-89BD1DCE69EA}"/>
    <cellStyle name="20% - Accent4 5 2 3" xfId="4479" xr:uid="{56118FF9-B512-4109-84C7-0186EC575E3E}"/>
    <cellStyle name="20% - Accent4 5 3" xfId="2314" xr:uid="{9747D78F-093D-4B47-8A38-96D7F968850B}"/>
    <cellStyle name="20% - Accent4 5 3 2" xfId="4749" xr:uid="{799B96A5-9C99-45F9-9C19-1165C57E06EC}"/>
    <cellStyle name="20% - Accent4 5 4" xfId="997" xr:uid="{3CC0B8DE-554D-4A59-8AE4-77900C732C2A}"/>
    <cellStyle name="20% - Accent4 5 4 2" xfId="3875" xr:uid="{1B5C81B1-65BD-4DD2-AA65-44AE87DD249D}"/>
    <cellStyle name="20% - Accent4 6" xfId="293" xr:uid="{00000000-0005-0000-0000-000020000000}"/>
    <cellStyle name="20% - Accent4 6 2" xfId="2630" xr:uid="{E591D52A-CCE6-4B0B-8597-1A6DBEF752A2}"/>
    <cellStyle name="20% - Accent4 6 2 2" xfId="5065" xr:uid="{6CF8AF5E-3730-4BB7-9B29-603F003BA235}"/>
    <cellStyle name="20% - Accent4 6 3" xfId="1792" xr:uid="{F940F4DD-2457-47CA-97AD-8792B5DBC7C5}"/>
    <cellStyle name="20% - Accent4 6 3 2" xfId="4309" xr:uid="{45AAE682-8192-4845-AFB2-6603CF47FA91}"/>
    <cellStyle name="20% - Accent4 7" xfId="357" xr:uid="{00000000-0005-0000-0000-000021000000}"/>
    <cellStyle name="20% - Accent4 7 2" xfId="2975" xr:uid="{0B41D3AE-EA91-4627-B1BC-B18C40D99F8D}"/>
    <cellStyle name="20% - Accent4 7 2 2" xfId="5410" xr:uid="{FCD70600-CE08-4DC5-8CC0-F38E631FCB7C}"/>
    <cellStyle name="20% - Accent4 7 3" xfId="2137" xr:uid="{AFA90D69-FED5-45B2-BC8B-3ABC622E7564}"/>
    <cellStyle name="20% - Accent4 7 3 2" xfId="4654" xr:uid="{ACA308D2-4F47-4F74-8420-CDB75EB62EBC}"/>
    <cellStyle name="20% - Accent4 8" xfId="428" xr:uid="{00000000-0005-0000-0000-000022000000}"/>
    <cellStyle name="20% - Accent4 8 2" xfId="2166" xr:uid="{279FEF06-27CB-4D4A-8DC7-721ACEEA3476}"/>
    <cellStyle name="20% - Accent4 8 2 2" xfId="4667" xr:uid="{2DD21D8D-B606-46ED-BE8B-1F85A1AEE040}"/>
    <cellStyle name="20% - Accent4 9" xfId="532" xr:uid="{00000000-0005-0000-0000-000023000000}"/>
    <cellStyle name="20% - Accent4 9 2" xfId="2180" xr:uid="{9C5FA449-C34D-49CA-B79F-5874FCBE6CDD}"/>
    <cellStyle name="20% - Accent4 9 2 2" xfId="4681" xr:uid="{25188845-D549-4B21-BC70-DE161D5492FD}"/>
    <cellStyle name="20% - Accent5" xfId="5" builtinId="46" customBuiltin="1"/>
    <cellStyle name="20% - Accent5 10" xfId="2623" xr:uid="{6838C6DB-F91B-405D-9955-F790BD8866AB}"/>
    <cellStyle name="20% - Accent5 10 2" xfId="5058" xr:uid="{62E328D9-A66D-4C93-B645-9E5C3AEC8E58}"/>
    <cellStyle name="20% - Accent5 11" xfId="955" xr:uid="{65D9CE5D-1048-4C74-92E8-52AAD66AFC95}"/>
    <cellStyle name="20% - Accent5 11 2" xfId="3846" xr:uid="{97F1742F-EE5C-4CB9-B4B3-6964688E9D4E}"/>
    <cellStyle name="20% - Accent5 2" xfId="119" xr:uid="{00000000-0005-0000-0000-000025000000}"/>
    <cellStyle name="20% - Accent5 2 2" xfId="999" xr:uid="{7B5C3155-02B1-4EDC-8B6B-5B064CD8FACE}"/>
    <cellStyle name="20% - Accent5 2 3" xfId="1000" xr:uid="{5A35E671-037E-4446-B676-B44A4A44C604}"/>
    <cellStyle name="20% - Accent5 2 3 2" xfId="1001" xr:uid="{7C69208B-6F47-419A-A30F-7D48C2B6C02A}"/>
    <cellStyle name="20% - Accent5 2 3 2 2" xfId="1990" xr:uid="{D7B6362A-66A5-4F7C-860F-221FBE4B7D1F}"/>
    <cellStyle name="20% - Accent5 2 3 2 2 2" xfId="2828" xr:uid="{E40D3A5F-568E-4EDF-A2C6-E1490F686110}"/>
    <cellStyle name="20% - Accent5 2 3 2 2 2 2" xfId="5263" xr:uid="{B6069C67-F9ED-465F-9629-5060AB2F2E03}"/>
    <cellStyle name="20% - Accent5 2 3 2 2 3" xfId="4507" xr:uid="{F13DD214-5A10-4D05-9013-992F07BC0C29}"/>
    <cellStyle name="20% - Accent5 2 3 2 3" xfId="2316" xr:uid="{0A18502E-91A4-4CA9-AA6A-834170908847}"/>
    <cellStyle name="20% - Accent5 2 3 2 3 2" xfId="4751" xr:uid="{D1BAD48E-94C5-4ED8-9866-6295A121C356}"/>
    <cellStyle name="20% - Accent5 2 3 2 4" xfId="3877" xr:uid="{5D95B66C-1796-41CD-81D5-C93FFF8314DD}"/>
    <cellStyle name="20% - Accent5 2 3 3" xfId="1820" xr:uid="{56132001-12FE-43E0-A866-2099ECB6DAA4}"/>
    <cellStyle name="20% - Accent5 2 3 3 2" xfId="2658" xr:uid="{45706CF6-E31B-4035-9572-EB5647294671}"/>
    <cellStyle name="20% - Accent5 2 3 3 2 2" xfId="5093" xr:uid="{C5A61A4F-E37C-4897-AD03-4501467DF222}"/>
    <cellStyle name="20% - Accent5 2 3 3 3" xfId="4337" xr:uid="{4534452B-1EB7-4168-ADF2-40AD63937640}"/>
    <cellStyle name="20% - Accent5 2 3 4" xfId="2315" xr:uid="{EAF24546-C969-44E0-B446-36ACA632C60B}"/>
    <cellStyle name="20% - Accent5 2 3 4 2" xfId="4750" xr:uid="{2CB39F72-F137-4615-8936-FBB7828CE826}"/>
    <cellStyle name="20% - Accent5 2 3 5" xfId="3876" xr:uid="{9CBD559E-7C5C-4807-827B-BB55B0B5455C}"/>
    <cellStyle name="20% - Accent5 2 4" xfId="2220" xr:uid="{F98227FC-5253-4B46-9E09-F249A2650BFA}"/>
    <cellStyle name="20% - Accent5 2 5" xfId="998" xr:uid="{8760A610-AD8B-447D-BBC5-668CB764E525}"/>
    <cellStyle name="20% - Accent5 3" xfId="153" xr:uid="{00000000-0005-0000-0000-000026000000}"/>
    <cellStyle name="20% - Accent5 3 2" xfId="1003" xr:uid="{9EF973E9-CAF4-4B7B-962C-3BF2F8E8CC62}"/>
    <cellStyle name="20% - Accent5 3 2 2" xfId="1991" xr:uid="{928F28D5-455D-42E0-B049-F840D568D4AF}"/>
    <cellStyle name="20% - Accent5 3 2 2 2" xfId="2829" xr:uid="{39F47B1B-CC14-415D-B7B6-A9686C46E583}"/>
    <cellStyle name="20% - Accent5 3 2 2 2 2" xfId="5264" xr:uid="{1F8DE7A4-11DF-43FB-B921-8714407D074D}"/>
    <cellStyle name="20% - Accent5 3 2 2 3" xfId="4508" xr:uid="{73536A38-2E6D-4708-8DE8-DDD214F24609}"/>
    <cellStyle name="20% - Accent5 3 2 3" xfId="2318" xr:uid="{ECEEC8EF-F888-4F3D-A6EF-6D8436AAAEA3}"/>
    <cellStyle name="20% - Accent5 3 2 3 2" xfId="4753" xr:uid="{76DF84AC-63CD-4A0E-93BE-BF5189E4F266}"/>
    <cellStyle name="20% - Accent5 3 2 4" xfId="3879" xr:uid="{6B0713C1-E84D-48F0-81F8-1F00CEA241E9}"/>
    <cellStyle name="20% - Accent5 3 3" xfId="1821" xr:uid="{AD14CF76-C82F-48DF-BF54-C960C90F9C84}"/>
    <cellStyle name="20% - Accent5 3 3 2" xfId="2659" xr:uid="{53B9054F-287D-4ED0-A13F-5533116E6542}"/>
    <cellStyle name="20% - Accent5 3 3 2 2" xfId="5094" xr:uid="{88087135-5B8E-474F-B3D3-195622B3C0A3}"/>
    <cellStyle name="20% - Accent5 3 3 3" xfId="4338" xr:uid="{100EE6FF-A653-4F53-8A11-69F26C67D491}"/>
    <cellStyle name="20% - Accent5 3 4" xfId="2317" xr:uid="{FF60A855-3B8A-4019-9058-ED5FAF5861E8}"/>
    <cellStyle name="20% - Accent5 3 4 2" xfId="4752" xr:uid="{F646AE9F-F323-4EE1-95A0-C02ADD14D9DE}"/>
    <cellStyle name="20% - Accent5 3 5" xfId="1002" xr:uid="{66A87533-90B6-4B1A-B0E5-C9B470CD23B3}"/>
    <cellStyle name="20% - Accent5 3 5 2" xfId="3878" xr:uid="{30D46826-05A9-4DBA-AE28-BCCBF653EBB4}"/>
    <cellStyle name="20% - Accent5 4" xfId="199" xr:uid="{00000000-0005-0000-0000-000027000000}"/>
    <cellStyle name="20% - Accent5 4 2" xfId="1005" xr:uid="{AA644061-9800-4EC0-8A2D-50A8B4859DBA}"/>
    <cellStyle name="20% - Accent5 4 2 2" xfId="1989" xr:uid="{65F84DE7-7582-4CE5-AAE4-089F874701F2}"/>
    <cellStyle name="20% - Accent5 4 2 2 2" xfId="2827" xr:uid="{473D1B3D-8A9C-4F6C-8B8D-DBDD8805BDB1}"/>
    <cellStyle name="20% - Accent5 4 2 2 2 2" xfId="5262" xr:uid="{6CFCA27E-F752-473B-8338-BD93C8B98E57}"/>
    <cellStyle name="20% - Accent5 4 2 2 3" xfId="4506" xr:uid="{FD40DF06-F49F-4971-8B9B-2B1B5BAB5A5D}"/>
    <cellStyle name="20% - Accent5 4 2 3" xfId="2320" xr:uid="{29086845-2772-429E-9818-D7E62C0C192B}"/>
    <cellStyle name="20% - Accent5 4 2 3 2" xfId="4755" xr:uid="{694771FA-D0B7-4281-8B52-6577793C87E0}"/>
    <cellStyle name="20% - Accent5 4 2 4" xfId="3881" xr:uid="{45BA9550-D03D-4673-A73E-4637E9590E8F}"/>
    <cellStyle name="20% - Accent5 4 3" xfId="1819" xr:uid="{6821BDDF-2075-48EF-91B5-8E552E9AE38D}"/>
    <cellStyle name="20% - Accent5 4 3 2" xfId="2657" xr:uid="{13EF4B57-3E05-4E81-ACD7-C490BEC58E3F}"/>
    <cellStyle name="20% - Accent5 4 3 2 2" xfId="5092" xr:uid="{69C9F7B5-6933-48F9-89F4-7E074DA4205E}"/>
    <cellStyle name="20% - Accent5 4 3 3" xfId="4336" xr:uid="{0026E6B3-271A-43B7-8B22-D641E01BF4F9}"/>
    <cellStyle name="20% - Accent5 4 4" xfId="2319" xr:uid="{7879E237-7FC4-4E34-8CEB-AC4398F530CB}"/>
    <cellStyle name="20% - Accent5 4 4 2" xfId="4754" xr:uid="{FC93B88B-26DC-4016-B094-8DE8F251E784}"/>
    <cellStyle name="20% - Accent5 4 5" xfId="1004" xr:uid="{1899A785-A684-45DA-AE71-1FD9C1F733EA}"/>
    <cellStyle name="20% - Accent5 4 5 2" xfId="3880" xr:uid="{7FD88EB2-79BE-4361-9B32-C3AC11868042}"/>
    <cellStyle name="20% - Accent5 5" xfId="245" xr:uid="{00000000-0005-0000-0000-000028000000}"/>
    <cellStyle name="20% - Accent5 5 2" xfId="1963" xr:uid="{D8B730FA-47E5-4692-90C1-F0F8DBD24AA6}"/>
    <cellStyle name="20% - Accent5 5 2 2" xfId="2801" xr:uid="{C9A74226-BC2B-440C-846F-873E586DC660}"/>
    <cellStyle name="20% - Accent5 5 2 2 2" xfId="5236" xr:uid="{77E33AE2-5E04-42E4-B3DC-3258794FFA4B}"/>
    <cellStyle name="20% - Accent5 5 2 3" xfId="4480" xr:uid="{4EE21CBA-9DC2-4F36-9C52-8C5F59C419C9}"/>
    <cellStyle name="20% - Accent5 5 3" xfId="2321" xr:uid="{1AA93757-A072-4EA9-AC5D-F4084391F2BE}"/>
    <cellStyle name="20% - Accent5 5 3 2" xfId="4756" xr:uid="{44AED110-499B-4C71-AAFB-D7A55515B370}"/>
    <cellStyle name="20% - Accent5 5 4" xfId="1006" xr:uid="{371A469F-AC47-4255-A777-DC99FF1E267C}"/>
    <cellStyle name="20% - Accent5 5 4 2" xfId="3882" xr:uid="{EDF4D78E-DD45-4B79-9515-614AE7BC41FF}"/>
    <cellStyle name="20% - Accent5 6" xfId="294" xr:uid="{00000000-0005-0000-0000-000029000000}"/>
    <cellStyle name="20% - Accent5 6 2" xfId="2631" xr:uid="{78177C13-B088-4043-8BE7-9473C983F540}"/>
    <cellStyle name="20% - Accent5 6 2 2" xfId="5066" xr:uid="{ED82CC04-98F8-465F-8A67-20F7DF6648D5}"/>
    <cellStyle name="20% - Accent5 6 3" xfId="1793" xr:uid="{D5581B2D-3A53-4D15-B3E3-5833254AF209}"/>
    <cellStyle name="20% - Accent5 6 3 2" xfId="4310" xr:uid="{B6B175A8-02B6-46F5-A9F3-F6A3E6A02BC9}"/>
    <cellStyle name="20% - Accent5 7" xfId="358" xr:uid="{00000000-0005-0000-0000-00002A000000}"/>
    <cellStyle name="20% - Accent5 7 2" xfId="2977" xr:uid="{7EFC81BD-072A-4105-A587-0039157F90AD}"/>
    <cellStyle name="20% - Accent5 7 2 2" xfId="5412" xr:uid="{66B4D51D-2472-4470-9E74-57C631DCED0F}"/>
    <cellStyle name="20% - Accent5 7 3" xfId="2139" xr:uid="{F83AD71D-90F4-43AB-AF68-AA61A396CEBF}"/>
    <cellStyle name="20% - Accent5 7 3 2" xfId="4656" xr:uid="{501C41A7-D99F-423A-90F5-BEDA4ABA7C25}"/>
    <cellStyle name="20% - Accent5 8" xfId="429" xr:uid="{00000000-0005-0000-0000-00002B000000}"/>
    <cellStyle name="20% - Accent5 8 2" xfId="2168" xr:uid="{79F8541E-4003-4E4A-8FB0-75B183F81C6D}"/>
    <cellStyle name="20% - Accent5 8 2 2" xfId="4669" xr:uid="{84E1334E-66D9-4F18-9BCA-09107C3D2855}"/>
    <cellStyle name="20% - Accent5 9" xfId="533" xr:uid="{00000000-0005-0000-0000-00002C000000}"/>
    <cellStyle name="20% - Accent5 9 2" xfId="2182" xr:uid="{AFC5FC3C-446B-4FFD-BD2F-2CA2F2885C3E}"/>
    <cellStyle name="20% - Accent5 9 2 2" xfId="4683" xr:uid="{EF8226F4-2EB0-40B1-9FA2-B9EDA30793DE}"/>
    <cellStyle name="20% - Accent6" xfId="6" builtinId="50" customBuiltin="1"/>
    <cellStyle name="20% - Accent6 10" xfId="2625" xr:uid="{139A38CA-48A4-420F-A66C-C60413E459E3}"/>
    <cellStyle name="20% - Accent6 10 2" xfId="5060" xr:uid="{75CACBBF-BB25-4D3E-821F-2396AA1ED485}"/>
    <cellStyle name="20% - Accent6 11" xfId="958" xr:uid="{B196BEDD-6B0C-4E1B-87E6-F4BD78EECC60}"/>
    <cellStyle name="20% - Accent6 11 2" xfId="3848" xr:uid="{EC3B6E11-5F16-41CF-BE18-9CA72FBC805F}"/>
    <cellStyle name="20% - Accent6 2" xfId="120" xr:uid="{00000000-0005-0000-0000-00002E000000}"/>
    <cellStyle name="20% - Accent6 2 2" xfId="1008" xr:uid="{32A5127A-3158-42F6-ACB8-F01D7AD7CBAE}"/>
    <cellStyle name="20% - Accent6 2 3" xfId="1009" xr:uid="{15F34193-FEFE-41FB-B285-50FEE25AC214}"/>
    <cellStyle name="20% - Accent6 2 3 2" xfId="1010" xr:uid="{29751FB2-23BC-4A0B-9D2B-386F70DDBD1D}"/>
    <cellStyle name="20% - Accent6 2 3 2 2" xfId="1993" xr:uid="{767E7C03-25F3-4099-A590-8993B88049A2}"/>
    <cellStyle name="20% - Accent6 2 3 2 2 2" xfId="2831" xr:uid="{C8CE4F9D-3B59-4168-9DC4-1F8CFCE3A7DA}"/>
    <cellStyle name="20% - Accent6 2 3 2 2 2 2" xfId="5266" xr:uid="{24A882A1-AF59-4A81-BC52-882B528D277A}"/>
    <cellStyle name="20% - Accent6 2 3 2 2 3" xfId="4510" xr:uid="{571644A2-CEBE-44C0-8461-F2632C02A947}"/>
    <cellStyle name="20% - Accent6 2 3 2 3" xfId="2323" xr:uid="{37B0D38D-241E-4FD5-9913-741F562B68BD}"/>
    <cellStyle name="20% - Accent6 2 3 2 3 2" xfId="4758" xr:uid="{85E6C73D-DD08-44D8-AC93-FD6316C20D7F}"/>
    <cellStyle name="20% - Accent6 2 3 2 4" xfId="3884" xr:uid="{68F4EA79-E96E-4D8B-9FC3-7CD8A1C42971}"/>
    <cellStyle name="20% - Accent6 2 3 3" xfId="1823" xr:uid="{DE964CA4-EFEA-4507-B351-4BC01D0B1A19}"/>
    <cellStyle name="20% - Accent6 2 3 3 2" xfId="2661" xr:uid="{6773F93F-E0A5-46F6-BE89-C126DBA3A359}"/>
    <cellStyle name="20% - Accent6 2 3 3 2 2" xfId="5096" xr:uid="{DFEDCFD8-7ACD-4A6F-BCA7-4964AF3DC8E1}"/>
    <cellStyle name="20% - Accent6 2 3 3 3" xfId="4340" xr:uid="{874A11FF-928C-4B41-99B2-61D756BD7C99}"/>
    <cellStyle name="20% - Accent6 2 3 4" xfId="2322" xr:uid="{8B9AC681-C74B-49D8-B5DF-8951548AEDDF}"/>
    <cellStyle name="20% - Accent6 2 3 4 2" xfId="4757" xr:uid="{15CC0B2B-28DB-4F52-8D11-C0EC7400DDC2}"/>
    <cellStyle name="20% - Accent6 2 3 5" xfId="3883" xr:uid="{2C6D429E-1151-46CC-B445-9C40C7CE9732}"/>
    <cellStyle name="20% - Accent6 2 4" xfId="2221" xr:uid="{1A3DBE4A-C500-4E69-90EF-CF2C4EF38B1E}"/>
    <cellStyle name="20% - Accent6 2 5" xfId="1007" xr:uid="{9B49734C-E797-4017-9F8B-57F174BA59E8}"/>
    <cellStyle name="20% - Accent6 3" xfId="154" xr:uid="{00000000-0005-0000-0000-00002F000000}"/>
    <cellStyle name="20% - Accent6 3 2" xfId="1012" xr:uid="{1FFCAC97-0DD8-4341-AECB-C9037D8A9C54}"/>
    <cellStyle name="20% - Accent6 3 2 2" xfId="1994" xr:uid="{F0964D8A-F982-47DB-9D2A-69AAA5276D6E}"/>
    <cellStyle name="20% - Accent6 3 2 2 2" xfId="2832" xr:uid="{55830FB8-ECCE-463F-980D-00966899FD23}"/>
    <cellStyle name="20% - Accent6 3 2 2 2 2" xfId="5267" xr:uid="{7A504E44-489F-4F50-B101-31926F83F82A}"/>
    <cellStyle name="20% - Accent6 3 2 2 3" xfId="4511" xr:uid="{73B2140E-2551-4CE0-A997-276F549FBC24}"/>
    <cellStyle name="20% - Accent6 3 2 3" xfId="2325" xr:uid="{969F23C2-3B2F-4F92-96BA-B58367C225A6}"/>
    <cellStyle name="20% - Accent6 3 2 3 2" xfId="4760" xr:uid="{F91DC0C4-AB48-49B6-B58C-E24F9FCFCA93}"/>
    <cellStyle name="20% - Accent6 3 2 4" xfId="3886" xr:uid="{997D49AC-28D0-4DC5-9DA3-190BEBA69AB8}"/>
    <cellStyle name="20% - Accent6 3 3" xfId="1824" xr:uid="{EA9F2BF0-7637-430B-A65A-B6B2AB02AE85}"/>
    <cellStyle name="20% - Accent6 3 3 2" xfId="2662" xr:uid="{3A61757D-1082-4B74-8AC7-9DEC567E744A}"/>
    <cellStyle name="20% - Accent6 3 3 2 2" xfId="5097" xr:uid="{48AD3C59-CFCF-4C1F-81FF-9A2051B5E2AC}"/>
    <cellStyle name="20% - Accent6 3 3 3" xfId="4341" xr:uid="{62318227-B596-4F8D-BB38-6B591C923498}"/>
    <cellStyle name="20% - Accent6 3 4" xfId="2324" xr:uid="{FC852339-ADB8-4F5E-A0CD-97DB78B76527}"/>
    <cellStyle name="20% - Accent6 3 4 2" xfId="4759" xr:uid="{7FEE3C9E-50A4-4670-90F4-B1335D60734C}"/>
    <cellStyle name="20% - Accent6 3 5" xfId="1011" xr:uid="{949DA3A4-504F-499F-951E-89B06CD75A3B}"/>
    <cellStyle name="20% - Accent6 3 5 2" xfId="3885" xr:uid="{8A135F68-F411-4549-8486-0BFC84DE2E78}"/>
    <cellStyle name="20% - Accent6 4" xfId="200" xr:uid="{00000000-0005-0000-0000-000030000000}"/>
    <cellStyle name="20% - Accent6 4 2" xfId="1014" xr:uid="{3C103C63-E1FB-49A7-B883-6396EC392837}"/>
    <cellStyle name="20% - Accent6 4 2 2" xfId="1992" xr:uid="{D71DC411-7CA8-48C4-BECA-07D33584524A}"/>
    <cellStyle name="20% - Accent6 4 2 2 2" xfId="2830" xr:uid="{38C70ADE-5196-4C51-BB7B-8725CC6ED438}"/>
    <cellStyle name="20% - Accent6 4 2 2 2 2" xfId="5265" xr:uid="{CF9A8566-14DF-42DC-8F30-A87A025ABCC8}"/>
    <cellStyle name="20% - Accent6 4 2 2 3" xfId="4509" xr:uid="{87E34A21-FA6A-434C-BCE7-EC3FC13BF0CD}"/>
    <cellStyle name="20% - Accent6 4 2 3" xfId="2327" xr:uid="{5028CC10-8F79-42F4-AA4F-14F8812C8659}"/>
    <cellStyle name="20% - Accent6 4 2 3 2" xfId="4762" xr:uid="{3DFA315E-0EE5-427D-A2BA-75D702FB9976}"/>
    <cellStyle name="20% - Accent6 4 2 4" xfId="3888" xr:uid="{5F39E91C-DEE9-4AAE-BBBC-96FD6FEE4350}"/>
    <cellStyle name="20% - Accent6 4 3" xfId="1822" xr:uid="{4E34EB62-5440-42DD-8BB2-B6A5B5AA818A}"/>
    <cellStyle name="20% - Accent6 4 3 2" xfId="2660" xr:uid="{DA677DDD-626D-4ABD-9AD8-40C33D5EA3D7}"/>
    <cellStyle name="20% - Accent6 4 3 2 2" xfId="5095" xr:uid="{15E27458-E25C-4A2C-801C-2FA22CF466A1}"/>
    <cellStyle name="20% - Accent6 4 3 3" xfId="4339" xr:uid="{5A763E22-205A-478C-B99A-E3BA57D5EB60}"/>
    <cellStyle name="20% - Accent6 4 4" xfId="2326" xr:uid="{9F4BA4ED-C76C-40B3-A529-40F93C5044D5}"/>
    <cellStyle name="20% - Accent6 4 4 2" xfId="4761" xr:uid="{AF8BE3ED-A36C-470D-B949-3267192289C3}"/>
    <cellStyle name="20% - Accent6 4 5" xfId="1013" xr:uid="{9835A1A3-582B-4CC5-BEB3-3F9F0E66E2FC}"/>
    <cellStyle name="20% - Accent6 4 5 2" xfId="3887" xr:uid="{E7279F50-AF90-4376-9B6F-4E673E898393}"/>
    <cellStyle name="20% - Accent6 5" xfId="246" xr:uid="{00000000-0005-0000-0000-000031000000}"/>
    <cellStyle name="20% - Accent6 5 2" xfId="1964" xr:uid="{C4A807BD-1441-4A64-B357-61DF14CEDC7F}"/>
    <cellStyle name="20% - Accent6 5 2 2" xfId="2802" xr:uid="{806E15D8-A54D-4A6E-9772-D01A7672815B}"/>
    <cellStyle name="20% - Accent6 5 2 2 2" xfId="5237" xr:uid="{E20E59F7-2901-47B4-90A6-67783099AC5F}"/>
    <cellStyle name="20% - Accent6 5 2 3" xfId="4481" xr:uid="{8E2C9663-AE93-4753-A264-E807C883A62F}"/>
    <cellStyle name="20% - Accent6 5 3" xfId="2328" xr:uid="{0621E947-548F-4EE2-99F6-CCF6F1B65603}"/>
    <cellStyle name="20% - Accent6 5 3 2" xfId="4763" xr:uid="{ACC09F02-37B4-4B09-9DE4-4092C202DCCB}"/>
    <cellStyle name="20% - Accent6 5 4" xfId="1015" xr:uid="{4621D1A5-CB6A-48BB-8500-CA57A2AD7313}"/>
    <cellStyle name="20% - Accent6 5 4 2" xfId="3889" xr:uid="{54486E86-02B7-41AB-9D64-7C4D5340CC03}"/>
    <cellStyle name="20% - Accent6 6" xfId="295" xr:uid="{00000000-0005-0000-0000-000032000000}"/>
    <cellStyle name="20% - Accent6 6 2" xfId="2632" xr:uid="{22D31A18-E558-42D0-8E06-9901EE55CA19}"/>
    <cellStyle name="20% - Accent6 6 2 2" xfId="5067" xr:uid="{5B87FEA5-72D1-4903-B335-65AB4C35EF5C}"/>
    <cellStyle name="20% - Accent6 6 3" xfId="1794" xr:uid="{E6EBB1C7-654C-4277-89B4-491E8CD6B2C3}"/>
    <cellStyle name="20% - Accent6 6 3 2" xfId="4311" xr:uid="{D1063137-A923-4D90-9B61-FCAA318855CE}"/>
    <cellStyle name="20% - Accent6 7" xfId="359" xr:uid="{00000000-0005-0000-0000-000033000000}"/>
    <cellStyle name="20% - Accent6 7 2" xfId="2979" xr:uid="{1D4239AF-0E88-411D-B0C6-31687C78CA14}"/>
    <cellStyle name="20% - Accent6 7 2 2" xfId="5414" xr:uid="{552859F0-BB5A-4E9F-9012-76EF315ED881}"/>
    <cellStyle name="20% - Accent6 7 3" xfId="2141" xr:uid="{451580E6-A980-4075-9D43-10BF72B6A4CC}"/>
    <cellStyle name="20% - Accent6 7 3 2" xfId="4658" xr:uid="{C465DDD3-7035-44CC-A139-BBB3173BAF65}"/>
    <cellStyle name="20% - Accent6 8" xfId="430" xr:uid="{00000000-0005-0000-0000-000034000000}"/>
    <cellStyle name="20% - Accent6 8 2" xfId="2170" xr:uid="{9F0149A4-331C-43E7-A5AD-DBED7B7EDFB2}"/>
    <cellStyle name="20% - Accent6 8 2 2" xfId="4671" xr:uid="{818EC89C-84A0-4752-9EA2-C1985C476E52}"/>
    <cellStyle name="20% - Accent6 9" xfId="534" xr:uid="{00000000-0005-0000-0000-000035000000}"/>
    <cellStyle name="20% - Accent6 9 2" xfId="2184" xr:uid="{B0835F1C-8ADD-4FC2-956F-2355BE589A25}"/>
    <cellStyle name="20% - Accent6 9 2 2" xfId="4685" xr:uid="{81885053-AE07-43EE-8191-1B98F57CEBA0}"/>
    <cellStyle name="40% - Accent1" xfId="7" builtinId="31" customBuiltin="1"/>
    <cellStyle name="40% - Accent1 10" xfId="2616" xr:uid="{8DCF070A-6C11-487D-BFBD-3D35B39B9F92}"/>
    <cellStyle name="40% - Accent1 10 2" xfId="5051" xr:uid="{9832DBC0-357D-4D3B-90CF-9E606EECB899}"/>
    <cellStyle name="40% - Accent1 11" xfId="944" xr:uid="{46097E77-5F1A-4B07-AE71-FAFFE50481D3}"/>
    <cellStyle name="40% - Accent1 11 2" xfId="3840" xr:uid="{3E771EAA-1729-4A37-8AF3-FB219A90044D}"/>
    <cellStyle name="40% - Accent1 2" xfId="121" xr:uid="{00000000-0005-0000-0000-000037000000}"/>
    <cellStyle name="40% - Accent1 2 2" xfId="1017" xr:uid="{EE48B4A9-65FA-4FC8-8680-BDD0BA5C69A3}"/>
    <cellStyle name="40% - Accent1 2 3" xfId="1018" xr:uid="{DC9195C7-F47C-43FD-BA98-0D0C4E98A4A6}"/>
    <cellStyle name="40% - Accent1 2 3 2" xfId="1019" xr:uid="{D6B387A6-9662-44E6-BEFE-7848465CE965}"/>
    <cellStyle name="40% - Accent1 2 3 2 2" xfId="1996" xr:uid="{8EEB65FC-E9BB-4FC4-B673-61FC5029F6AC}"/>
    <cellStyle name="40% - Accent1 2 3 2 2 2" xfId="2834" xr:uid="{5CE6FBD4-4399-4CAD-B4E9-2BA8007C0CC6}"/>
    <cellStyle name="40% - Accent1 2 3 2 2 2 2" xfId="5269" xr:uid="{281C139D-322A-417C-A280-3D7CD37572E6}"/>
    <cellStyle name="40% - Accent1 2 3 2 2 3" xfId="4513" xr:uid="{3E42D775-0DFA-4673-986B-BB5F1C629B1C}"/>
    <cellStyle name="40% - Accent1 2 3 2 3" xfId="2330" xr:uid="{55C66B1D-61A6-42B8-BB57-CB269C402D79}"/>
    <cellStyle name="40% - Accent1 2 3 2 3 2" xfId="4765" xr:uid="{B4D17EA6-795B-4437-BCA2-3588FEC9E177}"/>
    <cellStyle name="40% - Accent1 2 3 2 4" xfId="3891" xr:uid="{97A5CD8D-9080-4400-9C41-E55A5B5D0506}"/>
    <cellStyle name="40% - Accent1 2 3 3" xfId="1826" xr:uid="{B9432942-8463-453B-8802-AA2CDBDB5784}"/>
    <cellStyle name="40% - Accent1 2 3 3 2" xfId="2664" xr:uid="{D7FC95AD-F906-4945-980F-972E3AC29BFF}"/>
    <cellStyle name="40% - Accent1 2 3 3 2 2" xfId="5099" xr:uid="{5D2D9C3C-080E-4E95-895A-2748AB24E3C9}"/>
    <cellStyle name="40% - Accent1 2 3 3 3" xfId="4343" xr:uid="{3FF4E9B2-4529-4BC4-82AC-B0074EADC44D}"/>
    <cellStyle name="40% - Accent1 2 3 4" xfId="2329" xr:uid="{3FBA806A-E593-477C-A3AD-B2E19FDD9E5E}"/>
    <cellStyle name="40% - Accent1 2 3 4 2" xfId="4764" xr:uid="{4E775B0E-BA31-449C-BF97-BCA48D24408D}"/>
    <cellStyle name="40% - Accent1 2 3 5" xfId="3890" xr:uid="{540BAFC4-EF50-4A83-B862-F88A3283CFD6}"/>
    <cellStyle name="40% - Accent1 2 4" xfId="2223" xr:uid="{C5B0BFA0-089B-4BCA-A9E6-F0301307232A}"/>
    <cellStyle name="40% - Accent1 2 5" xfId="1016" xr:uid="{648F07C3-F6A0-4826-8FEB-8532217C7658}"/>
    <cellStyle name="40% - Accent1 3" xfId="155" xr:uid="{00000000-0005-0000-0000-000038000000}"/>
    <cellStyle name="40% - Accent1 3 2" xfId="1021" xr:uid="{FE370C24-3AD6-4B1E-8457-DA0B7F8C3794}"/>
    <cellStyle name="40% - Accent1 3 2 2" xfId="1997" xr:uid="{582F2FE9-89BA-4469-9809-F8BA59B69C97}"/>
    <cellStyle name="40% - Accent1 3 2 2 2" xfId="2835" xr:uid="{3F8EF19E-78A2-4245-A3E0-4C517A27EFC5}"/>
    <cellStyle name="40% - Accent1 3 2 2 2 2" xfId="5270" xr:uid="{6863D2C5-EE8A-4F6F-9DF0-9169BF337B86}"/>
    <cellStyle name="40% - Accent1 3 2 2 3" xfId="4514" xr:uid="{9BAD4EE6-51B6-41F5-91A8-74F8E253EEDE}"/>
    <cellStyle name="40% - Accent1 3 2 3" xfId="2332" xr:uid="{7818673E-111F-4712-8F55-9203627E9E64}"/>
    <cellStyle name="40% - Accent1 3 2 3 2" xfId="4767" xr:uid="{CD0BB43D-DB52-4B2D-A39A-D1099005A44F}"/>
    <cellStyle name="40% - Accent1 3 2 4" xfId="3893" xr:uid="{0F2A771F-21ED-40A7-85E1-887715581B07}"/>
    <cellStyle name="40% - Accent1 3 3" xfId="1827" xr:uid="{12EAA968-45E3-4A12-AAFC-A166182F278F}"/>
    <cellStyle name="40% - Accent1 3 3 2" xfId="2665" xr:uid="{C78DA72A-A91C-423D-A85C-FE7612BFD611}"/>
    <cellStyle name="40% - Accent1 3 3 2 2" xfId="5100" xr:uid="{EC970F49-32CF-487C-8D33-1F83D2847AFB}"/>
    <cellStyle name="40% - Accent1 3 3 3" xfId="4344" xr:uid="{73B316DB-FE24-4E3C-B427-F361C557482E}"/>
    <cellStyle name="40% - Accent1 3 4" xfId="2331" xr:uid="{6E5D48A6-D5C8-43AA-9B31-772799AB031B}"/>
    <cellStyle name="40% - Accent1 3 4 2" xfId="4766" xr:uid="{487E860D-ACAD-4A02-B72E-22E4F81B6116}"/>
    <cellStyle name="40% - Accent1 3 5" xfId="1020" xr:uid="{FF522930-8B14-4E28-8E4A-BB5ED8305E8E}"/>
    <cellStyle name="40% - Accent1 3 5 2" xfId="3892" xr:uid="{BF1C0A06-CE90-4425-B55C-9EB080F185B3}"/>
    <cellStyle name="40% - Accent1 4" xfId="201" xr:uid="{00000000-0005-0000-0000-000039000000}"/>
    <cellStyle name="40% - Accent1 4 2" xfId="1023" xr:uid="{93840538-DAE1-4C0D-9FE3-5F0452C86E85}"/>
    <cellStyle name="40% - Accent1 4 2 2" xfId="1995" xr:uid="{AD96C125-14A3-49C9-9B4D-A0DE30A33181}"/>
    <cellStyle name="40% - Accent1 4 2 2 2" xfId="2833" xr:uid="{DC2E03EB-4AD4-41A0-8838-D2B0574D9909}"/>
    <cellStyle name="40% - Accent1 4 2 2 2 2" xfId="5268" xr:uid="{58278A91-AEC1-4145-8349-F19CE5F8D428}"/>
    <cellStyle name="40% - Accent1 4 2 2 3" xfId="4512" xr:uid="{AEF84FA0-940C-46A2-8747-BB962BD5D022}"/>
    <cellStyle name="40% - Accent1 4 2 3" xfId="2334" xr:uid="{42B24712-EF83-4749-8AB1-3FB5AAC83AA2}"/>
    <cellStyle name="40% - Accent1 4 2 3 2" xfId="4769" xr:uid="{6C11AE4D-356F-4F57-AEFA-C8A925CEC94C}"/>
    <cellStyle name="40% - Accent1 4 2 4" xfId="3895" xr:uid="{EF37CAAA-5790-4E1A-A21A-E5141875935A}"/>
    <cellStyle name="40% - Accent1 4 3" xfId="1825" xr:uid="{4D5FCDA6-F22E-4E53-BAB4-3D2999636ED7}"/>
    <cellStyle name="40% - Accent1 4 3 2" xfId="2663" xr:uid="{6831E5E7-98ED-4212-814C-282CF515E354}"/>
    <cellStyle name="40% - Accent1 4 3 2 2" xfId="5098" xr:uid="{FC8CCE56-6E45-42F1-AE55-D74BEF0FD3E1}"/>
    <cellStyle name="40% - Accent1 4 3 3" xfId="4342" xr:uid="{726245DD-A7AC-4956-9DB1-E14E5A906021}"/>
    <cellStyle name="40% - Accent1 4 4" xfId="2333" xr:uid="{92A1FEFF-F629-41EC-B43C-36C71232A3E0}"/>
    <cellStyle name="40% - Accent1 4 4 2" xfId="4768" xr:uid="{BC28C5CB-5992-4218-9E38-E76E1E37DC58}"/>
    <cellStyle name="40% - Accent1 4 5" xfId="1022" xr:uid="{A22BB37C-CB2B-478D-807B-8FE7BF86C5E7}"/>
    <cellStyle name="40% - Accent1 4 5 2" xfId="3894" xr:uid="{D7D315DD-20EC-44F0-B080-776F27C2EE9D}"/>
    <cellStyle name="40% - Accent1 5" xfId="247" xr:uid="{00000000-0005-0000-0000-00003A000000}"/>
    <cellStyle name="40% - Accent1 5 2" xfId="1965" xr:uid="{58C80BFF-42C7-4126-BAA6-119CEBA75570}"/>
    <cellStyle name="40% - Accent1 5 2 2" xfId="2803" xr:uid="{DF6CD9D2-F7E2-475C-8B4F-015AA8A4DA14}"/>
    <cellStyle name="40% - Accent1 5 2 2 2" xfId="5238" xr:uid="{22325EC8-EB99-41C9-8A1D-684E407B061E}"/>
    <cellStyle name="40% - Accent1 5 2 3" xfId="4482" xr:uid="{CCB9A425-59E6-457A-99FA-47E414E8B555}"/>
    <cellStyle name="40% - Accent1 5 3" xfId="2335" xr:uid="{0C00D2A3-64B5-4CCF-9C89-79857C6CF382}"/>
    <cellStyle name="40% - Accent1 5 3 2" xfId="4770" xr:uid="{41C87991-2D38-48B7-A891-9E2B4C7FB789}"/>
    <cellStyle name="40% - Accent1 5 4" xfId="1024" xr:uid="{1DA25C8A-EFCF-4CD2-A4CB-0EFAB4A69DC5}"/>
    <cellStyle name="40% - Accent1 5 4 2" xfId="3896" xr:uid="{132E7D38-795B-4B28-A2B8-1C3746543887}"/>
    <cellStyle name="40% - Accent1 6" xfId="296" xr:uid="{00000000-0005-0000-0000-00003B000000}"/>
    <cellStyle name="40% - Accent1 6 2" xfId="2633" xr:uid="{D952AC11-1B1F-42FD-975A-1AD990526C1B}"/>
    <cellStyle name="40% - Accent1 6 2 2" xfId="5068" xr:uid="{1F6DCBA6-01AD-4A4A-B500-99156671DD02}"/>
    <cellStyle name="40% - Accent1 6 3" xfId="1795" xr:uid="{56E05594-FA1E-4647-B277-307FDA961CF2}"/>
    <cellStyle name="40% - Accent1 6 3 2" xfId="4312" xr:uid="{A0F900EF-A3FE-4B0D-B4BA-92B8EA46EF61}"/>
    <cellStyle name="40% - Accent1 7" xfId="360" xr:uid="{00000000-0005-0000-0000-00003C000000}"/>
    <cellStyle name="40% - Accent1 7 2" xfId="2970" xr:uid="{336063C9-E1F0-4D0B-8A93-DDEE942B6C77}"/>
    <cellStyle name="40% - Accent1 7 2 2" xfId="5405" xr:uid="{FC0B442D-1059-4EE8-B21C-742C098A17A7}"/>
    <cellStyle name="40% - Accent1 7 3" xfId="2132" xr:uid="{9A52F3B6-521F-40F9-9248-D65415BD5E99}"/>
    <cellStyle name="40% - Accent1 7 3 2" xfId="4649" xr:uid="{9E91A0AC-97EF-4F4F-A0D2-0D5263FA2446}"/>
    <cellStyle name="40% - Accent1 8" xfId="431" xr:uid="{00000000-0005-0000-0000-00003D000000}"/>
    <cellStyle name="40% - Accent1 8 2" xfId="2161" xr:uid="{446425C6-AD67-4B85-92C7-39C2BF478FD3}"/>
    <cellStyle name="40% - Accent1 8 2 2" xfId="4662" xr:uid="{0184520C-7DF5-44F9-8DB7-D8689330376F}"/>
    <cellStyle name="40% - Accent1 9" xfId="535" xr:uid="{00000000-0005-0000-0000-00003E000000}"/>
    <cellStyle name="40% - Accent1 9 2" xfId="2175" xr:uid="{4A54814F-EC79-4125-A046-4E0F4D9EF67B}"/>
    <cellStyle name="40% - Accent1 9 2 2" xfId="4676" xr:uid="{6A15A2DC-10A4-4C59-B516-EFB4DE783A09}"/>
    <cellStyle name="40% - Accent2" xfId="8" builtinId="35" customBuiltin="1"/>
    <cellStyle name="40% - Accent2 10" xfId="2618" xr:uid="{4ED8CBBC-0D55-4F26-B119-846424F4CA95}"/>
    <cellStyle name="40% - Accent2 10 2" xfId="5053" xr:uid="{6B354EB2-ED62-41F3-9F2F-16CC62724C5B}"/>
    <cellStyle name="40% - Accent2 11" xfId="893" xr:uid="{D6CC90F6-0DF7-49B8-A513-9DD4961A0502}"/>
    <cellStyle name="40% - Accent2 11 2" xfId="3824" xr:uid="{06EF7812-1EE3-46B0-AA4E-CEBCC7395DC6}"/>
    <cellStyle name="40% - Accent2 2" xfId="122" xr:uid="{00000000-0005-0000-0000-000040000000}"/>
    <cellStyle name="40% - Accent2 2 2" xfId="1026" xr:uid="{6B5255D9-CB53-4690-9973-FD8E659E02A4}"/>
    <cellStyle name="40% - Accent2 2 3" xfId="1027" xr:uid="{22D0D5E1-605C-46D1-B31F-A850489A6057}"/>
    <cellStyle name="40% - Accent2 2 3 2" xfId="1028" xr:uid="{0D1AE1B7-00C9-4A6B-AD84-23BFF950FA87}"/>
    <cellStyle name="40% - Accent2 2 3 2 2" xfId="1999" xr:uid="{A18D3EB8-3271-4554-9210-65D763B37097}"/>
    <cellStyle name="40% - Accent2 2 3 2 2 2" xfId="2837" xr:uid="{C72ACBCA-2B43-4030-94FD-74F11BE8E98D}"/>
    <cellStyle name="40% - Accent2 2 3 2 2 2 2" xfId="5272" xr:uid="{220B7851-665C-4EAC-A76E-F41A6E1E654A}"/>
    <cellStyle name="40% - Accent2 2 3 2 2 3" xfId="4516" xr:uid="{F6AD9080-D777-4294-9AB0-839F66A77510}"/>
    <cellStyle name="40% - Accent2 2 3 2 3" xfId="2337" xr:uid="{FDDC75C2-50C9-48D5-91C8-FB9B4F8BB5BF}"/>
    <cellStyle name="40% - Accent2 2 3 2 3 2" xfId="4772" xr:uid="{2DFFDAC0-CDB2-4DFB-B0B1-05F175933176}"/>
    <cellStyle name="40% - Accent2 2 3 2 4" xfId="3898" xr:uid="{E5D341C4-C700-4827-B908-C33771C46A39}"/>
    <cellStyle name="40% - Accent2 2 3 3" xfId="1829" xr:uid="{CE441B61-9CA3-42A6-9CF0-09C2530BD27E}"/>
    <cellStyle name="40% - Accent2 2 3 3 2" xfId="2667" xr:uid="{E9789472-8691-4150-B608-79D41C1601FE}"/>
    <cellStyle name="40% - Accent2 2 3 3 2 2" xfId="5102" xr:uid="{74CAE5EE-61D1-4B15-9C66-32845134B057}"/>
    <cellStyle name="40% - Accent2 2 3 3 3" xfId="4346" xr:uid="{31958467-638A-4070-A61C-BC354B628BE5}"/>
    <cellStyle name="40% - Accent2 2 3 4" xfId="2336" xr:uid="{F0DE6004-854A-42D2-8D1E-14BAD10469BC}"/>
    <cellStyle name="40% - Accent2 2 3 4 2" xfId="4771" xr:uid="{E69C30D3-DE74-4DA4-B9CA-DD90AF2D600B}"/>
    <cellStyle name="40% - Accent2 2 3 5" xfId="3897" xr:uid="{25B1009B-FEB4-45D2-9F7E-631C72A6D1CE}"/>
    <cellStyle name="40% - Accent2 2 4" xfId="2224" xr:uid="{9B866BF4-7507-4FBB-AB72-CC085B508EF7}"/>
    <cellStyle name="40% - Accent2 2 5" xfId="1025" xr:uid="{46A41531-F2B5-4F5F-8A35-BAB4B088FFB2}"/>
    <cellStyle name="40% - Accent2 3" xfId="156" xr:uid="{00000000-0005-0000-0000-000041000000}"/>
    <cellStyle name="40% - Accent2 3 2" xfId="1030" xr:uid="{5322D6BD-A374-461D-8A70-1C146D8AF3FA}"/>
    <cellStyle name="40% - Accent2 3 2 2" xfId="2000" xr:uid="{E68FD63E-C94A-456A-B05F-9BC4970E5B73}"/>
    <cellStyle name="40% - Accent2 3 2 2 2" xfId="2838" xr:uid="{868C5B54-0648-4ECE-BF6F-8584BB61DCD7}"/>
    <cellStyle name="40% - Accent2 3 2 2 2 2" xfId="5273" xr:uid="{BE14042F-7F8F-4969-AD34-29DF1EAFB943}"/>
    <cellStyle name="40% - Accent2 3 2 2 3" xfId="4517" xr:uid="{798BD15A-B058-458F-9B97-093747010DB1}"/>
    <cellStyle name="40% - Accent2 3 2 3" xfId="2339" xr:uid="{358ACF96-D8BB-426E-9EF4-7C19C5E69CBB}"/>
    <cellStyle name="40% - Accent2 3 2 3 2" xfId="4774" xr:uid="{AA503A31-3B49-4A17-8010-157F30B2130F}"/>
    <cellStyle name="40% - Accent2 3 2 4" xfId="3900" xr:uid="{9B2868B2-AA86-4909-9E4C-C564A6897B6A}"/>
    <cellStyle name="40% - Accent2 3 3" xfId="1830" xr:uid="{8FAF9D24-EACF-4860-9C7E-45EA276D9B71}"/>
    <cellStyle name="40% - Accent2 3 3 2" xfId="2668" xr:uid="{9B7490B5-40BB-446A-8CB6-D30DBA58E466}"/>
    <cellStyle name="40% - Accent2 3 3 2 2" xfId="5103" xr:uid="{28F23F5C-DFDF-4222-8361-C97684560A1A}"/>
    <cellStyle name="40% - Accent2 3 3 3" xfId="4347" xr:uid="{155847CA-D9B8-4EDC-BD9E-972CBEDE8CB6}"/>
    <cellStyle name="40% - Accent2 3 4" xfId="2338" xr:uid="{3629ABE5-6672-4DFD-8EA0-15587EA23525}"/>
    <cellStyle name="40% - Accent2 3 4 2" xfId="4773" xr:uid="{E26E60E0-0022-4FEF-B027-1B539A90BCDA}"/>
    <cellStyle name="40% - Accent2 3 5" xfId="1029" xr:uid="{3B09D580-820C-49FB-81A3-01EFBA75B48F}"/>
    <cellStyle name="40% - Accent2 3 5 2" xfId="3899" xr:uid="{C2D2ECE5-3CC2-45A4-8C29-19D1FB6E183B}"/>
    <cellStyle name="40% - Accent2 4" xfId="202" xr:uid="{00000000-0005-0000-0000-000042000000}"/>
    <cellStyle name="40% - Accent2 4 2" xfId="1032" xr:uid="{42DC46C4-87E8-4925-A28E-816E5CF076A2}"/>
    <cellStyle name="40% - Accent2 4 2 2" xfId="1998" xr:uid="{6E81AC5C-F2D9-4EE1-ADA9-839D4521C0B1}"/>
    <cellStyle name="40% - Accent2 4 2 2 2" xfId="2836" xr:uid="{DC2E255B-C60C-469C-B104-B54343E1DAA6}"/>
    <cellStyle name="40% - Accent2 4 2 2 2 2" xfId="5271" xr:uid="{CE3EB828-DD84-4F78-873C-28F1F107D3F2}"/>
    <cellStyle name="40% - Accent2 4 2 2 3" xfId="4515" xr:uid="{26C500D4-1C15-4DDF-95BE-E78A189A0E47}"/>
    <cellStyle name="40% - Accent2 4 2 3" xfId="2341" xr:uid="{B39BC855-4F75-40C9-B574-7E5834953957}"/>
    <cellStyle name="40% - Accent2 4 2 3 2" xfId="4776" xr:uid="{D253577F-0005-4962-901F-F036FDF77AA5}"/>
    <cellStyle name="40% - Accent2 4 2 4" xfId="3902" xr:uid="{CB96834B-5B2C-4BA6-82B8-155074D8C052}"/>
    <cellStyle name="40% - Accent2 4 3" xfId="1828" xr:uid="{D2E37A67-86B6-4258-8CF7-3FBD20E638BF}"/>
    <cellStyle name="40% - Accent2 4 3 2" xfId="2666" xr:uid="{253A0C2D-EB5A-47C9-936E-4EAAD8078C74}"/>
    <cellStyle name="40% - Accent2 4 3 2 2" xfId="5101" xr:uid="{5FED8C17-0019-4928-AE60-8810BE3B1FF4}"/>
    <cellStyle name="40% - Accent2 4 3 3" xfId="4345" xr:uid="{727D9186-61AE-4B92-9040-7A60B85EB28A}"/>
    <cellStyle name="40% - Accent2 4 4" xfId="2340" xr:uid="{2B579A92-8853-4B2D-A889-742FAADED4CE}"/>
    <cellStyle name="40% - Accent2 4 4 2" xfId="4775" xr:uid="{1639C33C-E146-4481-AD7F-8280A82916A2}"/>
    <cellStyle name="40% - Accent2 4 5" xfId="1031" xr:uid="{0E944379-D451-43BF-BF64-4870F4FAEEF1}"/>
    <cellStyle name="40% - Accent2 4 5 2" xfId="3901" xr:uid="{3928FD80-0E91-4704-9589-96AD8BB28245}"/>
    <cellStyle name="40% - Accent2 5" xfId="248" xr:uid="{00000000-0005-0000-0000-000043000000}"/>
    <cellStyle name="40% - Accent2 5 2" xfId="1966" xr:uid="{F4E17101-50B3-41ED-BB4D-641C96D86CED}"/>
    <cellStyle name="40% - Accent2 5 2 2" xfId="2804" xr:uid="{57F9DBBA-BECF-48E1-8CC2-5F1149710052}"/>
    <cellStyle name="40% - Accent2 5 2 2 2" xfId="5239" xr:uid="{DB9380B4-8633-4EFB-996B-EAA6042A7DF6}"/>
    <cellStyle name="40% - Accent2 5 2 3" xfId="4483" xr:uid="{DFC0BF43-EE48-4AF0-B402-A4F675E512A0}"/>
    <cellStyle name="40% - Accent2 5 3" xfId="2342" xr:uid="{204C8AEF-F453-46A4-98E9-999A1C6C5EF7}"/>
    <cellStyle name="40% - Accent2 5 3 2" xfId="4777" xr:uid="{17C2A9F3-01AD-4BA0-8D49-BFC7A24740AC}"/>
    <cellStyle name="40% - Accent2 5 4" xfId="1033" xr:uid="{BCC49285-3421-4C7C-80B3-0ED30D6AABD8}"/>
    <cellStyle name="40% - Accent2 5 4 2" xfId="3903" xr:uid="{BFB33BBC-BBDE-403F-B56B-1333CEB4B97C}"/>
    <cellStyle name="40% - Accent2 6" xfId="297" xr:uid="{00000000-0005-0000-0000-000044000000}"/>
    <cellStyle name="40% - Accent2 6 2" xfId="2634" xr:uid="{85F7B6F5-D95E-4D94-82BB-E7D0DA33D648}"/>
    <cellStyle name="40% - Accent2 6 2 2" xfId="5069" xr:uid="{2FE7A053-8174-4F58-9D3D-B6BD049B7ACB}"/>
    <cellStyle name="40% - Accent2 6 3" xfId="1796" xr:uid="{E15BB069-C0DC-4BC4-95EB-E54BF7CD2FBA}"/>
    <cellStyle name="40% - Accent2 6 3 2" xfId="4313" xr:uid="{1C1D7A6E-7F13-40C8-AC22-628F74A89A0F}"/>
    <cellStyle name="40% - Accent2 7" xfId="361" xr:uid="{00000000-0005-0000-0000-000045000000}"/>
    <cellStyle name="40% - Accent2 7 2" xfId="2972" xr:uid="{E6E563E8-0CBF-4BBC-ACC2-A09A31F533A9}"/>
    <cellStyle name="40% - Accent2 7 2 2" xfId="5407" xr:uid="{34D1700C-5B1F-4825-81B6-8147F3EDB03D}"/>
    <cellStyle name="40% - Accent2 7 3" xfId="2134" xr:uid="{C1422F2F-CEE7-4A3C-99AC-C1E5168BBFFF}"/>
    <cellStyle name="40% - Accent2 7 3 2" xfId="4651" xr:uid="{FE95389A-4AA5-494C-9429-342506B46E90}"/>
    <cellStyle name="40% - Accent2 8" xfId="432" xr:uid="{00000000-0005-0000-0000-000046000000}"/>
    <cellStyle name="40% - Accent2 8 2" xfId="2163" xr:uid="{C9041BBB-5899-4B75-83E2-84C6BC5BA982}"/>
    <cellStyle name="40% - Accent2 8 2 2" xfId="4664" xr:uid="{08BEE4BC-2179-40C9-90B5-F3BABDA6695C}"/>
    <cellStyle name="40% - Accent2 9" xfId="536" xr:uid="{00000000-0005-0000-0000-000047000000}"/>
    <cellStyle name="40% - Accent2 9 2" xfId="2177" xr:uid="{21DC29D4-E009-49F0-8C87-AB9B553F1698}"/>
    <cellStyle name="40% - Accent2 9 2 2" xfId="4678" xr:uid="{6A175A0C-E4F2-4BC3-812D-36A3D0039C36}"/>
    <cellStyle name="40% - Accent3" xfId="9" builtinId="39" customBuiltin="1"/>
    <cellStyle name="40% - Accent3 10" xfId="2620" xr:uid="{D03705F1-283D-4103-9DF2-44F8014E5DF1}"/>
    <cellStyle name="40% - Accent3 10 2" xfId="5055" xr:uid="{948B8219-D7AF-4B5F-9641-7848751D194C}"/>
    <cellStyle name="40% - Accent3 11" xfId="894" xr:uid="{BEB4EAE7-F034-4700-B2F3-ED68D2F135C6}"/>
    <cellStyle name="40% - Accent3 11 2" xfId="3825" xr:uid="{4AF76F72-7D4B-4EEF-A5BB-2270C2BFC5C3}"/>
    <cellStyle name="40% - Accent3 2" xfId="123" xr:uid="{00000000-0005-0000-0000-000049000000}"/>
    <cellStyle name="40% - Accent3 2 2" xfId="1035" xr:uid="{027332D9-2EB7-4DD1-A3D9-9987E80C940D}"/>
    <cellStyle name="40% - Accent3 2 3" xfId="1036" xr:uid="{2ECE416E-E605-4573-AD51-7D73BC711556}"/>
    <cellStyle name="40% - Accent3 2 3 2" xfId="1037" xr:uid="{B0B6B9A7-C04F-4799-81F9-AF0B839BADB6}"/>
    <cellStyle name="40% - Accent3 2 3 2 2" xfId="2002" xr:uid="{2919B334-82E2-4AE2-9830-9F8351F96F9A}"/>
    <cellStyle name="40% - Accent3 2 3 2 2 2" xfId="2840" xr:uid="{9D95E25C-60C7-418C-A09A-EA06F8F33610}"/>
    <cellStyle name="40% - Accent3 2 3 2 2 2 2" xfId="5275" xr:uid="{022247CA-CC1C-476E-A328-32253C6D5334}"/>
    <cellStyle name="40% - Accent3 2 3 2 2 3" xfId="4519" xr:uid="{025EA318-10F9-49B4-92C8-540CFD59D7F6}"/>
    <cellStyle name="40% - Accent3 2 3 2 3" xfId="2344" xr:uid="{F8E39E6D-0DBF-45A4-AF43-CDBEE7638C0F}"/>
    <cellStyle name="40% - Accent3 2 3 2 3 2" xfId="4779" xr:uid="{890C54AA-19C6-4CDE-BC24-6A10265CF5D1}"/>
    <cellStyle name="40% - Accent3 2 3 2 4" xfId="3905" xr:uid="{2E744821-A0BD-4686-8BDB-82ECF086AAC8}"/>
    <cellStyle name="40% - Accent3 2 3 3" xfId="1832" xr:uid="{55082156-81C0-4F26-A75D-1E29F3B5C755}"/>
    <cellStyle name="40% - Accent3 2 3 3 2" xfId="2670" xr:uid="{F2C5545B-687B-4D58-AD4F-EF8346D9470F}"/>
    <cellStyle name="40% - Accent3 2 3 3 2 2" xfId="5105" xr:uid="{075E7CAC-6FD8-4C64-844B-B15C0A3C92FD}"/>
    <cellStyle name="40% - Accent3 2 3 3 3" xfId="4349" xr:uid="{7CD86003-E336-4707-9DEC-D04A337E277E}"/>
    <cellStyle name="40% - Accent3 2 3 4" xfId="2343" xr:uid="{3D0B2A48-1D5B-4EB2-A0F8-5D5941A31C71}"/>
    <cellStyle name="40% - Accent3 2 3 4 2" xfId="4778" xr:uid="{8C7CF4CB-5A79-4A22-80AA-CC906882CA9F}"/>
    <cellStyle name="40% - Accent3 2 3 5" xfId="3904" xr:uid="{1EEBCA4B-8F7D-4867-A9DB-58B5A805FFFE}"/>
    <cellStyle name="40% - Accent3 2 4" xfId="2225" xr:uid="{4E1B9DB2-724D-497A-ABA4-5ABF9DF46E1F}"/>
    <cellStyle name="40% - Accent3 2 5" xfId="1034" xr:uid="{80840938-49E6-4C94-90E7-5512EFF48B42}"/>
    <cellStyle name="40% - Accent3 3" xfId="157" xr:uid="{00000000-0005-0000-0000-00004A000000}"/>
    <cellStyle name="40% - Accent3 3 2" xfId="1039" xr:uid="{A4163C39-0254-4651-9A09-F4398787355F}"/>
    <cellStyle name="40% - Accent3 3 2 2" xfId="2003" xr:uid="{5618BC1E-15AF-469C-B516-57BCB349F213}"/>
    <cellStyle name="40% - Accent3 3 2 2 2" xfId="2841" xr:uid="{24D5AEF9-E009-4DC2-8D91-089A825C427B}"/>
    <cellStyle name="40% - Accent3 3 2 2 2 2" xfId="5276" xr:uid="{86A0D762-E7D5-4C66-890A-71689B47E8F4}"/>
    <cellStyle name="40% - Accent3 3 2 2 3" xfId="4520" xr:uid="{B58E5B51-36D8-431D-91FA-B292E021B999}"/>
    <cellStyle name="40% - Accent3 3 2 3" xfId="2346" xr:uid="{48C9B6CC-9987-4A3B-99B7-95E7FBB006DB}"/>
    <cellStyle name="40% - Accent3 3 2 3 2" xfId="4781" xr:uid="{45FC9F42-E41C-4661-993A-EDA5135AF14A}"/>
    <cellStyle name="40% - Accent3 3 2 4" xfId="3907" xr:uid="{9D872CCD-8C4D-42C9-9747-5E4B3CF499ED}"/>
    <cellStyle name="40% - Accent3 3 3" xfId="1833" xr:uid="{BE366B6A-1996-41E1-B78B-72CB0D0BA5E7}"/>
    <cellStyle name="40% - Accent3 3 3 2" xfId="2671" xr:uid="{7415228F-059D-4799-AC19-08EDF39B9B03}"/>
    <cellStyle name="40% - Accent3 3 3 2 2" xfId="5106" xr:uid="{C0C38D83-E71E-4492-A7F6-F5AE5094D4C1}"/>
    <cellStyle name="40% - Accent3 3 3 3" xfId="4350" xr:uid="{455C83FE-E051-47CA-84DB-C834DE858E40}"/>
    <cellStyle name="40% - Accent3 3 4" xfId="2345" xr:uid="{B7D69C59-D338-4C6F-8D7D-127038B27552}"/>
    <cellStyle name="40% - Accent3 3 4 2" xfId="4780" xr:uid="{38AF1530-2432-49A8-AA1A-2C088372EBC5}"/>
    <cellStyle name="40% - Accent3 3 5" xfId="1038" xr:uid="{12D06056-74D5-46A2-A626-D19A80418A6E}"/>
    <cellStyle name="40% - Accent3 3 5 2" xfId="3906" xr:uid="{0EAD8279-85BF-421F-AC7C-CFF4E33CC5D4}"/>
    <cellStyle name="40% - Accent3 4" xfId="203" xr:uid="{00000000-0005-0000-0000-00004B000000}"/>
    <cellStyle name="40% - Accent3 4 2" xfId="1041" xr:uid="{2683EA80-6F60-4C73-9741-C59E6197270F}"/>
    <cellStyle name="40% - Accent3 4 2 2" xfId="2001" xr:uid="{C0042232-4A98-458C-B5EC-9502EE225DB1}"/>
    <cellStyle name="40% - Accent3 4 2 2 2" xfId="2839" xr:uid="{771FC633-B27A-4B70-917B-16D0F70DCD0E}"/>
    <cellStyle name="40% - Accent3 4 2 2 2 2" xfId="5274" xr:uid="{7526066C-146F-4F62-961B-A823554B831B}"/>
    <cellStyle name="40% - Accent3 4 2 2 3" xfId="4518" xr:uid="{7186C668-0A8E-4415-AD08-BAAAECC6FC3E}"/>
    <cellStyle name="40% - Accent3 4 2 3" xfId="2348" xr:uid="{0E927B08-B40B-4E3A-90BD-3749085F3694}"/>
    <cellStyle name="40% - Accent3 4 2 3 2" xfId="4783" xr:uid="{90F7E248-DF7D-4D10-89CA-7767F5CF34B9}"/>
    <cellStyle name="40% - Accent3 4 2 4" xfId="3909" xr:uid="{5708B07D-B056-422B-A1CC-22EE7F50643A}"/>
    <cellStyle name="40% - Accent3 4 3" xfId="1831" xr:uid="{5F5418D4-8788-46D2-92F8-16A37417670A}"/>
    <cellStyle name="40% - Accent3 4 3 2" xfId="2669" xr:uid="{ED4CAA7C-14F0-4B84-B447-0541164181E4}"/>
    <cellStyle name="40% - Accent3 4 3 2 2" xfId="5104" xr:uid="{CA347DE7-F313-40CC-939D-0CC533D8B2BF}"/>
    <cellStyle name="40% - Accent3 4 3 3" xfId="4348" xr:uid="{1DFFCB72-8E6D-4070-83B5-2B899C9B268D}"/>
    <cellStyle name="40% - Accent3 4 4" xfId="2347" xr:uid="{063EFA8E-DEDB-4B3E-B889-C26731A4688C}"/>
    <cellStyle name="40% - Accent3 4 4 2" xfId="4782" xr:uid="{F381EABD-8BB6-4E53-BAF6-9851B3CE65B5}"/>
    <cellStyle name="40% - Accent3 4 5" xfId="1040" xr:uid="{F43464E9-CC0D-4003-93DE-6B26DEEB3C4C}"/>
    <cellStyle name="40% - Accent3 4 5 2" xfId="3908" xr:uid="{9264628C-766E-4567-A64B-CCE186A8A31A}"/>
    <cellStyle name="40% - Accent3 5" xfId="249" xr:uid="{00000000-0005-0000-0000-00004C000000}"/>
    <cellStyle name="40% - Accent3 5 2" xfId="1967" xr:uid="{5717DCE0-A95D-478B-80E6-CDBC54F62C66}"/>
    <cellStyle name="40% - Accent3 5 2 2" xfId="2805" xr:uid="{2D4CE687-B75B-48CA-8FF4-F33E7BAA443B}"/>
    <cellStyle name="40% - Accent3 5 2 2 2" xfId="5240" xr:uid="{50F22E40-1F0D-4F62-AC3B-FED120659208}"/>
    <cellStyle name="40% - Accent3 5 2 3" xfId="4484" xr:uid="{4200D24B-2274-482D-8484-9F22878B0C94}"/>
    <cellStyle name="40% - Accent3 5 3" xfId="2349" xr:uid="{3F121369-597C-4A67-AA71-41EEF23B1591}"/>
    <cellStyle name="40% - Accent3 5 3 2" xfId="4784" xr:uid="{D7730369-F223-4F40-9FA9-DB143AEC5572}"/>
    <cellStyle name="40% - Accent3 5 4" xfId="1042" xr:uid="{30F462C0-1140-4C1D-8578-82CD0FB224D9}"/>
    <cellStyle name="40% - Accent3 5 4 2" xfId="3910" xr:uid="{64112712-1696-4963-971B-11ED0C37E7E9}"/>
    <cellStyle name="40% - Accent3 6" xfId="298" xr:uid="{00000000-0005-0000-0000-00004D000000}"/>
    <cellStyle name="40% - Accent3 6 2" xfId="2635" xr:uid="{85BC891B-CA1C-44DE-AA8C-D00C12FB90A8}"/>
    <cellStyle name="40% - Accent3 6 2 2" xfId="5070" xr:uid="{2635973E-6DB0-419D-B760-2E8DE7A91AE8}"/>
    <cellStyle name="40% - Accent3 6 3" xfId="1797" xr:uid="{900D2738-B04F-407A-9F79-151B4674F5DC}"/>
    <cellStyle name="40% - Accent3 6 3 2" xfId="4314" xr:uid="{1B5D8845-A8A9-4BC9-9596-0A9C10C428A4}"/>
    <cellStyle name="40% - Accent3 7" xfId="362" xr:uid="{00000000-0005-0000-0000-00004E000000}"/>
    <cellStyle name="40% - Accent3 7 2" xfId="2974" xr:uid="{745B1B20-FEF6-4C5E-B17F-61AC42180B1A}"/>
    <cellStyle name="40% - Accent3 7 2 2" xfId="5409" xr:uid="{C005027C-1088-4AAA-8507-F611546F6B28}"/>
    <cellStyle name="40% - Accent3 7 3" xfId="2136" xr:uid="{4677B899-388B-4AD1-98BB-6ABB7E834ACA}"/>
    <cellStyle name="40% - Accent3 7 3 2" xfId="4653" xr:uid="{64C71B14-D5E8-42C4-9F8E-5C97490630DE}"/>
    <cellStyle name="40% - Accent3 8" xfId="433" xr:uid="{00000000-0005-0000-0000-00004F000000}"/>
    <cellStyle name="40% - Accent3 8 2" xfId="2165" xr:uid="{2B3A52B2-2B2F-4EBE-AF86-C04A005C7AC3}"/>
    <cellStyle name="40% - Accent3 8 2 2" xfId="4666" xr:uid="{FB50FEB6-9BCC-4330-90E3-63C96CF31F7A}"/>
    <cellStyle name="40% - Accent3 9" xfId="537" xr:uid="{00000000-0005-0000-0000-000050000000}"/>
    <cellStyle name="40% - Accent3 9 2" xfId="2179" xr:uid="{73225AB0-2279-47EC-A712-98904FB9D3EF}"/>
    <cellStyle name="40% - Accent3 9 2 2" xfId="4680" xr:uid="{A1B89623-A572-4C1B-89F9-95DE440FEEF6}"/>
    <cellStyle name="40% - Accent4" xfId="10" builtinId="43" customBuiltin="1"/>
    <cellStyle name="40% - Accent4 10" xfId="2622" xr:uid="{0E144FDE-7340-4A8F-BA04-96915B70C42A}"/>
    <cellStyle name="40% - Accent4 10 2" xfId="5057" xr:uid="{6DDDD463-32E6-4E32-9BFD-B2CFFAE216DE}"/>
    <cellStyle name="40% - Accent4 11" xfId="914" xr:uid="{44800666-2691-4C94-8A77-A6BFD5C031CE}"/>
    <cellStyle name="40% - Accent4 11 2" xfId="3826" xr:uid="{8AF8C8D4-0D48-417A-8D55-538E6277A251}"/>
    <cellStyle name="40% - Accent4 2" xfId="124" xr:uid="{00000000-0005-0000-0000-000052000000}"/>
    <cellStyle name="40% - Accent4 2 2" xfId="1044" xr:uid="{A0B0F8D9-488B-4370-8D3E-57AD03BECD33}"/>
    <cellStyle name="40% - Accent4 2 3" xfId="1045" xr:uid="{0539CD71-78BC-41FE-BB52-497B096ABEDA}"/>
    <cellStyle name="40% - Accent4 2 3 2" xfId="1046" xr:uid="{4C8D461D-706D-45E8-9905-E348C5ABAAEF}"/>
    <cellStyle name="40% - Accent4 2 3 2 2" xfId="2005" xr:uid="{10CF92E6-41F5-492F-AAD8-72CAFD31DB80}"/>
    <cellStyle name="40% - Accent4 2 3 2 2 2" xfId="2843" xr:uid="{17AF8F52-CCFC-42D5-AD05-D02B55E8BA90}"/>
    <cellStyle name="40% - Accent4 2 3 2 2 2 2" xfId="5278" xr:uid="{D9269FC0-2AAF-4245-8802-374E8C5DD7D7}"/>
    <cellStyle name="40% - Accent4 2 3 2 2 3" xfId="4522" xr:uid="{B49AD349-F1D1-4613-91F3-87E6F7975FEB}"/>
    <cellStyle name="40% - Accent4 2 3 2 3" xfId="2351" xr:uid="{20B42E8B-45BF-4C32-93D4-D47AC122F1B6}"/>
    <cellStyle name="40% - Accent4 2 3 2 3 2" xfId="4786" xr:uid="{44A27F71-B69B-4D2A-9F48-2003096D0B74}"/>
    <cellStyle name="40% - Accent4 2 3 2 4" xfId="3912" xr:uid="{CB06680E-5224-4C13-81B8-44E25BEBA332}"/>
    <cellStyle name="40% - Accent4 2 3 3" xfId="1835" xr:uid="{33BF445D-21AB-40A7-A8FE-277878DFD9D4}"/>
    <cellStyle name="40% - Accent4 2 3 3 2" xfId="2673" xr:uid="{9BD9C329-EC2A-4711-BFDB-91D5FA9DFCA6}"/>
    <cellStyle name="40% - Accent4 2 3 3 2 2" xfId="5108" xr:uid="{49CC667D-2F81-4203-A8B9-D85CE6BEBE26}"/>
    <cellStyle name="40% - Accent4 2 3 3 3" xfId="4352" xr:uid="{C7609109-2899-45CA-9116-5E3263EBE3CD}"/>
    <cellStyle name="40% - Accent4 2 3 4" xfId="2350" xr:uid="{AB21A8CC-0921-440E-B973-E650883CC1A5}"/>
    <cellStyle name="40% - Accent4 2 3 4 2" xfId="4785" xr:uid="{15BAC67F-4195-4993-B106-75328B9CC698}"/>
    <cellStyle name="40% - Accent4 2 3 5" xfId="3911" xr:uid="{2D610C7C-9946-4740-AC79-5D277C0F6777}"/>
    <cellStyle name="40% - Accent4 2 4" xfId="2226" xr:uid="{6D20DC19-6A6C-407F-A2D1-513EC97EB6D6}"/>
    <cellStyle name="40% - Accent4 2 5" xfId="1043" xr:uid="{0ACFD449-F23E-4FE3-B0AB-FF4D6DA60800}"/>
    <cellStyle name="40% - Accent4 3" xfId="158" xr:uid="{00000000-0005-0000-0000-000053000000}"/>
    <cellStyle name="40% - Accent4 3 2" xfId="1048" xr:uid="{7233C134-A469-4246-BEBD-26A3E9C04C46}"/>
    <cellStyle name="40% - Accent4 3 2 2" xfId="2006" xr:uid="{AE15EBFF-7036-49C8-B2EA-23C1BC78C16D}"/>
    <cellStyle name="40% - Accent4 3 2 2 2" xfId="2844" xr:uid="{FF7B8F9B-2293-4512-9D6B-4C4ADA982AAA}"/>
    <cellStyle name="40% - Accent4 3 2 2 2 2" xfId="5279" xr:uid="{96E1F437-EC4B-49D3-9702-8DEA9929BA19}"/>
    <cellStyle name="40% - Accent4 3 2 2 3" xfId="4523" xr:uid="{A4DC51B5-C43B-4142-BEB4-42BFC3A2BA0A}"/>
    <cellStyle name="40% - Accent4 3 2 3" xfId="2353" xr:uid="{1C6B5577-30F2-40D3-8E64-0E872E02C582}"/>
    <cellStyle name="40% - Accent4 3 2 3 2" xfId="4788" xr:uid="{F69F67D2-781B-47D6-933F-CBBE2CF480B0}"/>
    <cellStyle name="40% - Accent4 3 2 4" xfId="3914" xr:uid="{1BC76346-13EF-4EF2-AB16-96346BA518C2}"/>
    <cellStyle name="40% - Accent4 3 3" xfId="1836" xr:uid="{F761AF9A-854B-4358-9DFC-1DE5E15504EE}"/>
    <cellStyle name="40% - Accent4 3 3 2" xfId="2674" xr:uid="{ACFCFE2A-51F8-4F24-A300-C64969F78A3D}"/>
    <cellStyle name="40% - Accent4 3 3 2 2" xfId="5109" xr:uid="{D0142FA3-8568-4986-B246-14BA19FB4662}"/>
    <cellStyle name="40% - Accent4 3 3 3" xfId="4353" xr:uid="{E2F12815-6CB5-4FD3-9F76-2DE5A911FEDF}"/>
    <cellStyle name="40% - Accent4 3 4" xfId="2352" xr:uid="{13B731E0-8F58-4D7A-B48D-7068F8F65D09}"/>
    <cellStyle name="40% - Accent4 3 4 2" xfId="4787" xr:uid="{36519A12-EB8E-45E2-8C12-12B959173EF8}"/>
    <cellStyle name="40% - Accent4 3 5" xfId="1047" xr:uid="{CFBCF4D9-47BA-4733-B24B-762F3DBA7406}"/>
    <cellStyle name="40% - Accent4 3 5 2" xfId="3913" xr:uid="{D97CD6C7-F85B-454F-B283-511DFEBCB062}"/>
    <cellStyle name="40% - Accent4 4" xfId="204" xr:uid="{00000000-0005-0000-0000-000054000000}"/>
    <cellStyle name="40% - Accent4 4 2" xfId="1050" xr:uid="{DE17A839-9135-4056-917B-EAB151047E7F}"/>
    <cellStyle name="40% - Accent4 4 2 2" xfId="2004" xr:uid="{A084BD64-9512-47B0-A37C-685B1B06F2A6}"/>
    <cellStyle name="40% - Accent4 4 2 2 2" xfId="2842" xr:uid="{8E884660-6ECB-47FF-BA97-08E49D7B643F}"/>
    <cellStyle name="40% - Accent4 4 2 2 2 2" xfId="5277" xr:uid="{8F8BE2F4-5333-4977-B391-C67050FC7896}"/>
    <cellStyle name="40% - Accent4 4 2 2 3" xfId="4521" xr:uid="{1FCEF1FD-B241-44B0-9FBF-8966737C9E8E}"/>
    <cellStyle name="40% - Accent4 4 2 3" xfId="2355" xr:uid="{BA3A3A70-DCAF-4905-9790-DFDA4C4BB1C8}"/>
    <cellStyle name="40% - Accent4 4 2 3 2" xfId="4790" xr:uid="{9C7737D1-4ED0-4BE8-8C84-4257C86EC559}"/>
    <cellStyle name="40% - Accent4 4 2 4" xfId="3916" xr:uid="{9017BD89-8ADC-496B-9869-392129FBF6BE}"/>
    <cellStyle name="40% - Accent4 4 3" xfId="1834" xr:uid="{2FB7EF63-94F1-4365-AFA6-65FC2EA7D67A}"/>
    <cellStyle name="40% - Accent4 4 3 2" xfId="2672" xr:uid="{C127E980-437A-4299-BCDE-DD27759CF322}"/>
    <cellStyle name="40% - Accent4 4 3 2 2" xfId="5107" xr:uid="{AEEA28E9-24EE-4DD8-95C8-EC7CDD19DBE0}"/>
    <cellStyle name="40% - Accent4 4 3 3" xfId="4351" xr:uid="{E1E4DBF4-CF91-43AE-B087-19AED4934A9E}"/>
    <cellStyle name="40% - Accent4 4 4" xfId="2354" xr:uid="{082FCE4E-07D6-46D5-9DDA-EE48BC21EB7A}"/>
    <cellStyle name="40% - Accent4 4 4 2" xfId="4789" xr:uid="{D8CA8ABC-90C8-47F3-A990-5917219D4315}"/>
    <cellStyle name="40% - Accent4 4 5" xfId="1049" xr:uid="{5B05DD0E-D171-4716-8953-DEF3389EFDFB}"/>
    <cellStyle name="40% - Accent4 4 5 2" xfId="3915" xr:uid="{38271523-C291-408E-BC60-52A98533AA32}"/>
    <cellStyle name="40% - Accent4 5" xfId="250" xr:uid="{00000000-0005-0000-0000-000055000000}"/>
    <cellStyle name="40% - Accent4 5 2" xfId="1968" xr:uid="{BD4237AB-1704-44EF-97FE-47480B509987}"/>
    <cellStyle name="40% - Accent4 5 2 2" xfId="2806" xr:uid="{14417774-31F1-42C2-8495-AFA881A73460}"/>
    <cellStyle name="40% - Accent4 5 2 2 2" xfId="5241" xr:uid="{9D68EC30-8199-4F67-AE38-848CCC0E3737}"/>
    <cellStyle name="40% - Accent4 5 2 3" xfId="4485" xr:uid="{BDEBDAC1-017D-4116-86C3-99ED929758E1}"/>
    <cellStyle name="40% - Accent4 5 3" xfId="2356" xr:uid="{3D97A6D3-BE80-46DC-ABA3-805650CA40B1}"/>
    <cellStyle name="40% - Accent4 5 3 2" xfId="4791" xr:uid="{4BC833BB-F107-4396-8DB3-B1BCC4CF26EF}"/>
    <cellStyle name="40% - Accent4 5 4" xfId="1051" xr:uid="{7FED6131-7C86-4745-B80B-08B5E0095669}"/>
    <cellStyle name="40% - Accent4 5 4 2" xfId="3917" xr:uid="{780D1E36-F19F-4D58-BFA7-4B955D39D1D0}"/>
    <cellStyle name="40% - Accent4 6" xfId="299" xr:uid="{00000000-0005-0000-0000-000056000000}"/>
    <cellStyle name="40% - Accent4 6 2" xfId="2636" xr:uid="{5D8D53BD-BB9C-43CC-971F-19E983D06462}"/>
    <cellStyle name="40% - Accent4 6 2 2" xfId="5071" xr:uid="{74CF94B2-F891-4215-BA8B-1C1C9F83D3B1}"/>
    <cellStyle name="40% - Accent4 6 3" xfId="1798" xr:uid="{05F174E9-B5C4-4ED8-80AB-6B711C1713E4}"/>
    <cellStyle name="40% - Accent4 6 3 2" xfId="4315" xr:uid="{E15CC6A0-D88E-4BB8-A72E-E3EBDBB585A7}"/>
    <cellStyle name="40% - Accent4 7" xfId="363" xr:uid="{00000000-0005-0000-0000-000057000000}"/>
    <cellStyle name="40% - Accent4 7 2" xfId="2976" xr:uid="{40FFA76D-0188-4CAC-AA54-D03A58C9BD8D}"/>
    <cellStyle name="40% - Accent4 7 2 2" xfId="5411" xr:uid="{BF72BB01-9015-4838-B3DB-D6F1F6E6691D}"/>
    <cellStyle name="40% - Accent4 7 3" xfId="2138" xr:uid="{6E0875B5-5060-44A8-83FF-53F8EA965182}"/>
    <cellStyle name="40% - Accent4 7 3 2" xfId="4655" xr:uid="{FCB57EDD-ECF8-439A-820C-A1576E667909}"/>
    <cellStyle name="40% - Accent4 8" xfId="434" xr:uid="{00000000-0005-0000-0000-000058000000}"/>
    <cellStyle name="40% - Accent4 8 2" xfId="2167" xr:uid="{C07DF2F1-D637-4040-88B1-44F9BF5A4813}"/>
    <cellStyle name="40% - Accent4 8 2 2" xfId="4668" xr:uid="{65338133-8849-4FE6-B160-C2A17770FA8E}"/>
    <cellStyle name="40% - Accent4 9" xfId="538" xr:uid="{00000000-0005-0000-0000-000059000000}"/>
    <cellStyle name="40% - Accent4 9 2" xfId="2181" xr:uid="{272F4A23-11DA-482D-B721-81F1FE611EE5}"/>
    <cellStyle name="40% - Accent4 9 2 2" xfId="4682" xr:uid="{1D0315DB-449E-47BC-BF05-E1CF3B8CBEAB}"/>
    <cellStyle name="40% - Accent5" xfId="11" builtinId="47" customBuiltin="1"/>
    <cellStyle name="40% - Accent5 10" xfId="2624" xr:uid="{BEA96B51-3F59-4ACC-959B-EFCE2376E587}"/>
    <cellStyle name="40% - Accent5 10 2" xfId="5059" xr:uid="{591A4C8F-60B8-49DB-BE7F-A541E80B4DC3}"/>
    <cellStyle name="40% - Accent5 11" xfId="956" xr:uid="{F7B0C202-3EB2-4AAD-BCAF-EEF1A4C74832}"/>
    <cellStyle name="40% - Accent5 11 2" xfId="3847" xr:uid="{16695F4D-7DBA-4FF3-B6F2-E1F8C3983214}"/>
    <cellStyle name="40% - Accent5 2" xfId="125" xr:uid="{00000000-0005-0000-0000-00005B000000}"/>
    <cellStyle name="40% - Accent5 2 2" xfId="1053" xr:uid="{F68A143B-4FD0-4EE1-99E3-59C7F7E532DC}"/>
    <cellStyle name="40% - Accent5 2 3" xfId="1054" xr:uid="{60FC2C4B-B656-4700-AEEB-EB77C3E61E5F}"/>
    <cellStyle name="40% - Accent5 2 3 2" xfId="1055" xr:uid="{EDA48642-5E87-4F6F-AEEB-0260E746E635}"/>
    <cellStyle name="40% - Accent5 2 3 2 2" xfId="2008" xr:uid="{092753AD-3BF4-466F-99D8-2513227C0328}"/>
    <cellStyle name="40% - Accent5 2 3 2 2 2" xfId="2846" xr:uid="{4E256D91-99DE-41A1-8B66-A80DBBA3EDD4}"/>
    <cellStyle name="40% - Accent5 2 3 2 2 2 2" xfId="5281" xr:uid="{F3EE5566-7C19-4ADA-A033-F8943A00C09E}"/>
    <cellStyle name="40% - Accent5 2 3 2 2 3" xfId="4525" xr:uid="{D9277B07-3D54-4D6D-9C78-449B6A8979B8}"/>
    <cellStyle name="40% - Accent5 2 3 2 3" xfId="2358" xr:uid="{54A7B384-C74A-4E57-BE1A-4061D975B71D}"/>
    <cellStyle name="40% - Accent5 2 3 2 3 2" xfId="4793" xr:uid="{EB81FF91-EF86-406F-836B-46A370E21552}"/>
    <cellStyle name="40% - Accent5 2 3 2 4" xfId="3919" xr:uid="{38FB6272-9BE4-49CE-9411-71E829AB268C}"/>
    <cellStyle name="40% - Accent5 2 3 3" xfId="1838" xr:uid="{FB789F49-DAA1-4471-A7F3-E3E51C96C97F}"/>
    <cellStyle name="40% - Accent5 2 3 3 2" xfId="2676" xr:uid="{C647C14E-1FDC-4FF2-ACFA-073B54DA9319}"/>
    <cellStyle name="40% - Accent5 2 3 3 2 2" xfId="5111" xr:uid="{0FD44ADF-4D7B-40F9-BD60-8729CA0B84EF}"/>
    <cellStyle name="40% - Accent5 2 3 3 3" xfId="4355" xr:uid="{E3D03835-1C9A-4EE6-8DCB-6DBC89656C53}"/>
    <cellStyle name="40% - Accent5 2 3 4" xfId="2357" xr:uid="{777EEF74-297F-47F9-985C-E3D294AE7332}"/>
    <cellStyle name="40% - Accent5 2 3 4 2" xfId="4792" xr:uid="{2A45B322-4474-4F00-AB57-1448B5B36F6E}"/>
    <cellStyle name="40% - Accent5 2 3 5" xfId="3918" xr:uid="{52DCBF71-CF00-4EC1-B50E-2940EF8AADCA}"/>
    <cellStyle name="40% - Accent5 2 4" xfId="2227" xr:uid="{A970BE78-FF47-498A-BC70-576076D8970D}"/>
    <cellStyle name="40% - Accent5 2 5" xfId="1052" xr:uid="{2AE2FF2D-53DE-4FA1-9131-5539E505D5EB}"/>
    <cellStyle name="40% - Accent5 3" xfId="159" xr:uid="{00000000-0005-0000-0000-00005C000000}"/>
    <cellStyle name="40% - Accent5 3 2" xfId="1057" xr:uid="{FF0B5EF2-35EB-459E-80D9-3F6A3358A4BD}"/>
    <cellStyle name="40% - Accent5 3 2 2" xfId="2009" xr:uid="{14636DA1-F6D7-4DDD-8A9F-BD2942B4E9C3}"/>
    <cellStyle name="40% - Accent5 3 2 2 2" xfId="2847" xr:uid="{4073D374-99C4-4462-BC7D-819077C5C83F}"/>
    <cellStyle name="40% - Accent5 3 2 2 2 2" xfId="5282" xr:uid="{A36D9199-2E47-4A4A-83DC-4030F0FA8188}"/>
    <cellStyle name="40% - Accent5 3 2 2 3" xfId="4526" xr:uid="{E82E4418-6E43-4EAF-9280-0E417BA1CBE9}"/>
    <cellStyle name="40% - Accent5 3 2 3" xfId="2360" xr:uid="{6142FD7C-5281-4458-AE22-B29F1DAC8298}"/>
    <cellStyle name="40% - Accent5 3 2 3 2" xfId="4795" xr:uid="{6DA916C0-2DBC-4961-8B65-1FD1483EECBA}"/>
    <cellStyle name="40% - Accent5 3 2 4" xfId="3921" xr:uid="{6646D104-CE81-446F-B87B-661B7FBA4B4C}"/>
    <cellStyle name="40% - Accent5 3 3" xfId="1839" xr:uid="{64D0CD8D-6ACD-437A-A73B-3C52C1717C15}"/>
    <cellStyle name="40% - Accent5 3 3 2" xfId="2677" xr:uid="{7E1A2875-F160-4407-81A0-383408601322}"/>
    <cellStyle name="40% - Accent5 3 3 2 2" xfId="5112" xr:uid="{72BED644-E998-44C6-AE16-C0F8D7018403}"/>
    <cellStyle name="40% - Accent5 3 3 3" xfId="4356" xr:uid="{300F9ECD-F3F6-4868-BCCE-6C709AFC1915}"/>
    <cellStyle name="40% - Accent5 3 4" xfId="2359" xr:uid="{1560B020-90C1-44AB-BD98-6A4B0498711C}"/>
    <cellStyle name="40% - Accent5 3 4 2" xfId="4794" xr:uid="{20506587-1C4A-484D-8BC1-5B17E33FD3E7}"/>
    <cellStyle name="40% - Accent5 3 5" xfId="1056" xr:uid="{9D8EABC5-349B-49FA-A42B-26EFBC12E179}"/>
    <cellStyle name="40% - Accent5 3 5 2" xfId="3920" xr:uid="{2475AFA4-E363-4D74-85DE-70C4C5E3D156}"/>
    <cellStyle name="40% - Accent5 4" xfId="205" xr:uid="{00000000-0005-0000-0000-00005D000000}"/>
    <cellStyle name="40% - Accent5 4 2" xfId="1059" xr:uid="{BFFD4667-8B9F-47D9-8F72-FED5C06867EE}"/>
    <cellStyle name="40% - Accent5 4 2 2" xfId="2007" xr:uid="{75EE0A65-17DC-465D-8B1C-58AB94C4A784}"/>
    <cellStyle name="40% - Accent5 4 2 2 2" xfId="2845" xr:uid="{89E353C9-DA67-4A85-8EBE-04E1AE939A7C}"/>
    <cellStyle name="40% - Accent5 4 2 2 2 2" xfId="5280" xr:uid="{AD7CFB95-6166-4A61-8115-050E8884142E}"/>
    <cellStyle name="40% - Accent5 4 2 2 3" xfId="4524" xr:uid="{14A4D0BD-A657-45E0-A0BB-27AF9785AB8A}"/>
    <cellStyle name="40% - Accent5 4 2 3" xfId="2362" xr:uid="{68C43C60-7370-40F5-81B3-6E417044ED6F}"/>
    <cellStyle name="40% - Accent5 4 2 3 2" xfId="4797" xr:uid="{058D9E1E-028E-4004-9E9C-93F7C80090FC}"/>
    <cellStyle name="40% - Accent5 4 2 4" xfId="3923" xr:uid="{49891433-B69B-4998-AB1D-CA7A6AE49B1F}"/>
    <cellStyle name="40% - Accent5 4 3" xfId="1837" xr:uid="{A78D0F56-CFE0-43B9-BA42-C23FA85EB63C}"/>
    <cellStyle name="40% - Accent5 4 3 2" xfId="2675" xr:uid="{55A9E2BD-7ADC-43D7-904F-FF2821E26A53}"/>
    <cellStyle name="40% - Accent5 4 3 2 2" xfId="5110" xr:uid="{08DDBAAF-D726-438C-9300-6A42542985BD}"/>
    <cellStyle name="40% - Accent5 4 3 3" xfId="4354" xr:uid="{DF5B0E45-42FD-4831-9CB8-6CEE921B7FB9}"/>
    <cellStyle name="40% - Accent5 4 4" xfId="2361" xr:uid="{8677EBAD-EAA3-4494-8AFC-03E0F2E7B1E0}"/>
    <cellStyle name="40% - Accent5 4 4 2" xfId="4796" xr:uid="{537D74C5-0C95-48DB-B7C4-DB14C6729B11}"/>
    <cellStyle name="40% - Accent5 4 5" xfId="1058" xr:uid="{8430CDCE-E50B-483D-A8C7-7C7A4F032391}"/>
    <cellStyle name="40% - Accent5 4 5 2" xfId="3922" xr:uid="{5FC73EF2-F469-4252-BC42-DC6846469019}"/>
    <cellStyle name="40% - Accent5 5" xfId="251" xr:uid="{00000000-0005-0000-0000-00005E000000}"/>
    <cellStyle name="40% - Accent5 5 2" xfId="1969" xr:uid="{1F93E9D8-DD19-4BA6-BF40-41F52D9B54B4}"/>
    <cellStyle name="40% - Accent5 5 2 2" xfId="2807" xr:uid="{62CC4DAC-8412-4A8E-AC09-D2D593B3EAB2}"/>
    <cellStyle name="40% - Accent5 5 2 2 2" xfId="5242" xr:uid="{8EE43EB3-A7F9-4EFE-8B43-9C8C2AA14FAE}"/>
    <cellStyle name="40% - Accent5 5 2 3" xfId="4486" xr:uid="{0A59B1B5-853E-4C11-A323-34F7DCFB49C4}"/>
    <cellStyle name="40% - Accent5 5 3" xfId="2363" xr:uid="{C4D318D2-1E9A-402C-88ED-94D42B4AB7B6}"/>
    <cellStyle name="40% - Accent5 5 3 2" xfId="4798" xr:uid="{2FD3F569-D0C6-47F9-A4BB-BE49D733B41C}"/>
    <cellStyle name="40% - Accent5 5 4" xfId="1060" xr:uid="{348B5C0E-3CCA-496E-8DA9-B08D08888DD9}"/>
    <cellStyle name="40% - Accent5 5 4 2" xfId="3924" xr:uid="{953F043D-CAC0-49AE-8A81-88D00E6E962C}"/>
    <cellStyle name="40% - Accent5 6" xfId="300" xr:uid="{00000000-0005-0000-0000-00005F000000}"/>
    <cellStyle name="40% - Accent5 6 2" xfId="2637" xr:uid="{7C03BFD5-7850-43FE-A022-49BE0D2012BC}"/>
    <cellStyle name="40% - Accent5 6 2 2" xfId="5072" xr:uid="{296BB2CC-4629-49E8-A1FF-2A6D8FB02406}"/>
    <cellStyle name="40% - Accent5 6 3" xfId="1799" xr:uid="{F0680BF5-692E-4BC7-B24A-8A365AB75533}"/>
    <cellStyle name="40% - Accent5 6 3 2" xfId="4316" xr:uid="{55338790-8FF0-4FB0-8354-1BDFA4593352}"/>
    <cellStyle name="40% - Accent5 7" xfId="364" xr:uid="{00000000-0005-0000-0000-000060000000}"/>
    <cellStyle name="40% - Accent5 7 2" xfId="2978" xr:uid="{B82E5AC5-3CA2-4207-AB30-C4E3375643A7}"/>
    <cellStyle name="40% - Accent5 7 2 2" xfId="5413" xr:uid="{C0CB2207-CC79-4B39-A8C2-063BD6509C6A}"/>
    <cellStyle name="40% - Accent5 7 3" xfId="2140" xr:uid="{36E357C2-0B9D-4C09-8A6C-85794ED33B2C}"/>
    <cellStyle name="40% - Accent5 7 3 2" xfId="4657" xr:uid="{57709832-28F2-4D95-AFC3-7DB7755FE513}"/>
    <cellStyle name="40% - Accent5 8" xfId="435" xr:uid="{00000000-0005-0000-0000-000061000000}"/>
    <cellStyle name="40% - Accent5 8 2" xfId="2169" xr:uid="{2A822548-C23F-4116-88BB-FC8458188FB6}"/>
    <cellStyle name="40% - Accent5 8 2 2" xfId="4670" xr:uid="{697571D3-CBC7-4031-A7A5-EC3F4946E89E}"/>
    <cellStyle name="40% - Accent5 9" xfId="539" xr:uid="{00000000-0005-0000-0000-000062000000}"/>
    <cellStyle name="40% - Accent5 9 2" xfId="2183" xr:uid="{645737B1-ACB4-4801-9970-DE5D4002227B}"/>
    <cellStyle name="40% - Accent5 9 2 2" xfId="4684" xr:uid="{6AE2F8E2-1893-49CA-9651-9A14E8CFAEC6}"/>
    <cellStyle name="40% - Accent6" xfId="12" builtinId="51" customBuiltin="1"/>
    <cellStyle name="40% - Accent6 10" xfId="2626" xr:uid="{C21A98BD-1103-471F-9430-20648CE90C44}"/>
    <cellStyle name="40% - Accent6 10 2" xfId="5061" xr:uid="{A2CA3F10-3C8D-486E-BBD5-B08F213A7E81}"/>
    <cellStyle name="40% - Accent6 11" xfId="980" xr:uid="{D230E761-E665-4AB1-860D-06F98F9B84BA}"/>
    <cellStyle name="40% - Accent6 11 2" xfId="3867" xr:uid="{F13A34CE-0978-4EFB-835F-65A09300E1FD}"/>
    <cellStyle name="40% - Accent6 2" xfId="126" xr:uid="{00000000-0005-0000-0000-000064000000}"/>
    <cellStyle name="40% - Accent6 2 2" xfId="1062" xr:uid="{B86146FC-54B9-4A87-9241-9F84ECBCAD0F}"/>
    <cellStyle name="40% - Accent6 2 3" xfId="1063" xr:uid="{FF05A4C6-E2A6-4AFD-A716-7EDE0495435D}"/>
    <cellStyle name="40% - Accent6 2 3 2" xfId="1064" xr:uid="{93F0226F-1468-4673-90A2-66D39A984B23}"/>
    <cellStyle name="40% - Accent6 2 3 2 2" xfId="2011" xr:uid="{04FEE035-D0C6-43DE-AD4D-7C291A4BC41F}"/>
    <cellStyle name="40% - Accent6 2 3 2 2 2" xfId="2849" xr:uid="{C63635AB-20AB-4005-BF68-23745F1F8055}"/>
    <cellStyle name="40% - Accent6 2 3 2 2 2 2" xfId="5284" xr:uid="{BDC94FAE-C294-46FE-AB30-92EE9DE7739C}"/>
    <cellStyle name="40% - Accent6 2 3 2 2 3" xfId="4528" xr:uid="{67B18485-22F2-4A75-86FF-1A6FD490B8C6}"/>
    <cellStyle name="40% - Accent6 2 3 2 3" xfId="2365" xr:uid="{5A72E1EC-A89C-47A7-B5AB-21CBDE13B2F3}"/>
    <cellStyle name="40% - Accent6 2 3 2 3 2" xfId="4800" xr:uid="{CC2453F9-FBCC-401A-814D-755A70819D84}"/>
    <cellStyle name="40% - Accent6 2 3 2 4" xfId="3926" xr:uid="{B7138063-A151-4A91-97E2-77B63A8FF529}"/>
    <cellStyle name="40% - Accent6 2 3 3" xfId="1841" xr:uid="{0CECA3A3-4CA0-4015-8841-3394A6D58BC0}"/>
    <cellStyle name="40% - Accent6 2 3 3 2" xfId="2679" xr:uid="{99C30B72-3379-41CD-B03F-1298368562A1}"/>
    <cellStyle name="40% - Accent6 2 3 3 2 2" xfId="5114" xr:uid="{B9A72ACF-5692-485D-AE9C-D72B535C15B4}"/>
    <cellStyle name="40% - Accent6 2 3 3 3" xfId="4358" xr:uid="{A5111472-774C-417A-AD5B-49F621F6692C}"/>
    <cellStyle name="40% - Accent6 2 3 4" xfId="2364" xr:uid="{A03762CE-09A9-453B-AD40-F25C46C6258C}"/>
    <cellStyle name="40% - Accent6 2 3 4 2" xfId="4799" xr:uid="{9EDB8269-321D-4791-9982-0B762EC92B5C}"/>
    <cellStyle name="40% - Accent6 2 3 5" xfId="3925" xr:uid="{8248DE47-19CC-4844-BA65-22E3225B652D}"/>
    <cellStyle name="40% - Accent6 2 4" xfId="2228" xr:uid="{65A1543B-59F0-4039-A8FD-07E07E86BB34}"/>
    <cellStyle name="40% - Accent6 2 5" xfId="1061" xr:uid="{0C76B08B-C604-4D2E-B4AC-BD6FA052E290}"/>
    <cellStyle name="40% - Accent6 3" xfId="160" xr:uid="{00000000-0005-0000-0000-000065000000}"/>
    <cellStyle name="40% - Accent6 3 2" xfId="1066" xr:uid="{9E85FC9F-D8B3-44CB-9B8F-C593328F3F25}"/>
    <cellStyle name="40% - Accent6 3 2 2" xfId="2012" xr:uid="{DDF3C799-273C-4E67-B3D7-62459976B65B}"/>
    <cellStyle name="40% - Accent6 3 2 2 2" xfId="2850" xr:uid="{C8C73791-85DD-4AC1-AE19-3C8BDAA94870}"/>
    <cellStyle name="40% - Accent6 3 2 2 2 2" xfId="5285" xr:uid="{DFB02C79-EF39-41B0-B68D-FE7F0E7C0510}"/>
    <cellStyle name="40% - Accent6 3 2 2 3" xfId="4529" xr:uid="{B71B5CF9-8B36-40B4-966A-B34412E5C495}"/>
    <cellStyle name="40% - Accent6 3 2 3" xfId="2367" xr:uid="{43768B4C-6BBC-4F12-AFCD-0D5825128366}"/>
    <cellStyle name="40% - Accent6 3 2 3 2" xfId="4802" xr:uid="{11EDD627-A6A5-4D51-84BB-163C61E12C2C}"/>
    <cellStyle name="40% - Accent6 3 2 4" xfId="3928" xr:uid="{F218D3BA-C057-4D4A-B825-219DCA829BC6}"/>
    <cellStyle name="40% - Accent6 3 3" xfId="1842" xr:uid="{F92505F3-4309-4D1B-A5B9-936236423FAB}"/>
    <cellStyle name="40% - Accent6 3 3 2" xfId="2680" xr:uid="{4F2BD282-906B-444E-A3DF-E0BBA83A93D9}"/>
    <cellStyle name="40% - Accent6 3 3 2 2" xfId="5115" xr:uid="{92821CD0-C2AC-4AB5-8C1B-B77AF8334F78}"/>
    <cellStyle name="40% - Accent6 3 3 3" xfId="4359" xr:uid="{152F8A42-933F-496A-86A3-93920010E7CC}"/>
    <cellStyle name="40% - Accent6 3 4" xfId="2366" xr:uid="{FC24BB0B-C46F-489F-B9FF-BBDC9976A213}"/>
    <cellStyle name="40% - Accent6 3 4 2" xfId="4801" xr:uid="{E187E3BB-46AA-400C-B95B-E53C70A75138}"/>
    <cellStyle name="40% - Accent6 3 5" xfId="1065" xr:uid="{72C004D4-F533-453E-92A8-064553DEEF7D}"/>
    <cellStyle name="40% - Accent6 3 5 2" xfId="3927" xr:uid="{234F1C37-438E-43DF-9421-E1FBC9760C44}"/>
    <cellStyle name="40% - Accent6 4" xfId="206" xr:uid="{00000000-0005-0000-0000-000066000000}"/>
    <cellStyle name="40% - Accent6 4 2" xfId="1068" xr:uid="{DAE9BA26-DF31-4A0C-9DE4-76DD9FE5CBF1}"/>
    <cellStyle name="40% - Accent6 4 2 2" xfId="2010" xr:uid="{AEF4B1F5-379D-4017-BF4C-7EE557DCE7B8}"/>
    <cellStyle name="40% - Accent6 4 2 2 2" xfId="2848" xr:uid="{52D5DA1F-1104-48A4-B3CB-196D46C54A3E}"/>
    <cellStyle name="40% - Accent6 4 2 2 2 2" xfId="5283" xr:uid="{30AE53C2-C01C-47E3-99F3-88B577778306}"/>
    <cellStyle name="40% - Accent6 4 2 2 3" xfId="4527" xr:uid="{52C54EE7-35FF-4B7C-8667-0D25C3B31973}"/>
    <cellStyle name="40% - Accent6 4 2 3" xfId="2369" xr:uid="{17B98110-C695-4C47-8B88-F6C94E285DCA}"/>
    <cellStyle name="40% - Accent6 4 2 3 2" xfId="4804" xr:uid="{6A903863-5215-459A-9033-1D3F9ECC7B8E}"/>
    <cellStyle name="40% - Accent6 4 2 4" xfId="3930" xr:uid="{DECE60E3-CB74-45FC-A2D6-761A000E6C46}"/>
    <cellStyle name="40% - Accent6 4 3" xfId="1840" xr:uid="{C065FD5D-40AD-43F0-A448-10EC331687CB}"/>
    <cellStyle name="40% - Accent6 4 3 2" xfId="2678" xr:uid="{40921068-5F1E-416F-9B84-2BAFE9851948}"/>
    <cellStyle name="40% - Accent6 4 3 2 2" xfId="5113" xr:uid="{047DDEBE-FCCF-4E32-88C4-D8FF1E438FF0}"/>
    <cellStyle name="40% - Accent6 4 3 3" xfId="4357" xr:uid="{0A24E264-2243-4F2A-A712-B2169814241C}"/>
    <cellStyle name="40% - Accent6 4 4" xfId="2368" xr:uid="{F482FFD0-88C6-4E87-8165-D1C894D588B8}"/>
    <cellStyle name="40% - Accent6 4 4 2" xfId="4803" xr:uid="{7DBD6B80-6881-41AB-BAAD-ADFE2C9F8CB1}"/>
    <cellStyle name="40% - Accent6 4 5" xfId="1067" xr:uid="{6A5E99AF-4B74-46B7-81A9-1CE55B37A1BA}"/>
    <cellStyle name="40% - Accent6 4 5 2" xfId="3929" xr:uid="{B10D69FE-2FD1-4D86-AC7B-E62E00958FEF}"/>
    <cellStyle name="40% - Accent6 5" xfId="252" xr:uid="{00000000-0005-0000-0000-000067000000}"/>
    <cellStyle name="40% - Accent6 5 2" xfId="1970" xr:uid="{6DB890FB-0E61-4307-B183-2B16FEDF29DA}"/>
    <cellStyle name="40% - Accent6 5 2 2" xfId="2808" xr:uid="{FD7C7E97-8200-41B8-83ED-88790EDC0B32}"/>
    <cellStyle name="40% - Accent6 5 2 2 2" xfId="5243" xr:uid="{3962319C-0B9E-48CF-8D36-609BB1A4DB55}"/>
    <cellStyle name="40% - Accent6 5 2 3" xfId="4487" xr:uid="{84663BA4-FAEE-45F4-B4E3-21CEBC90E337}"/>
    <cellStyle name="40% - Accent6 5 3" xfId="2370" xr:uid="{513DC4F4-8205-4022-B47F-78A8636EDDEF}"/>
    <cellStyle name="40% - Accent6 5 3 2" xfId="4805" xr:uid="{34253FEA-ED60-4DE9-9B47-F92C9A1D7F34}"/>
    <cellStyle name="40% - Accent6 5 4" xfId="1069" xr:uid="{74B0F5AD-BFB2-4197-A6B4-BFE473A85D0B}"/>
    <cellStyle name="40% - Accent6 5 4 2" xfId="3931" xr:uid="{D7A49735-0888-41D3-B8B9-B7AD01AF8BF0}"/>
    <cellStyle name="40% - Accent6 6" xfId="301" xr:uid="{00000000-0005-0000-0000-000068000000}"/>
    <cellStyle name="40% - Accent6 6 2" xfId="2638" xr:uid="{05CC4D4F-565F-4911-A520-1097A66A7B0F}"/>
    <cellStyle name="40% - Accent6 6 2 2" xfId="5073" xr:uid="{83D041CC-9572-4B1D-B033-10E0A4E18094}"/>
    <cellStyle name="40% - Accent6 6 3" xfId="1800" xr:uid="{9F77B020-F03A-494A-BF77-5BA0AB3FBEF1}"/>
    <cellStyle name="40% - Accent6 6 3 2" xfId="4317" xr:uid="{3FE887F2-A909-4795-A41D-C0D257B18CB7}"/>
    <cellStyle name="40% - Accent6 7" xfId="365" xr:uid="{00000000-0005-0000-0000-000069000000}"/>
    <cellStyle name="40% - Accent6 7 2" xfId="2980" xr:uid="{CEFBAA50-B1DC-4787-AADA-BA301D75093C}"/>
    <cellStyle name="40% - Accent6 7 2 2" xfId="5415" xr:uid="{065F94EA-1F19-4198-9558-A4B43A5487A3}"/>
    <cellStyle name="40% - Accent6 7 3" xfId="2142" xr:uid="{C17B9AC1-103A-4DE1-A527-F4B906BDF9FB}"/>
    <cellStyle name="40% - Accent6 7 3 2" xfId="4659" xr:uid="{C0BA5D82-7939-4FD6-BE10-F975B16DEC91}"/>
    <cellStyle name="40% - Accent6 8" xfId="436" xr:uid="{00000000-0005-0000-0000-00006A000000}"/>
    <cellStyle name="40% - Accent6 8 2" xfId="2171" xr:uid="{14E1C59F-A3F4-4EEB-9C7A-BCC606A57B70}"/>
    <cellStyle name="40% - Accent6 8 2 2" xfId="4672" xr:uid="{7C34B83E-DF65-4B8D-8C24-9FE3F0332B1A}"/>
    <cellStyle name="40% - Accent6 9" xfId="540" xr:uid="{00000000-0005-0000-0000-00006B000000}"/>
    <cellStyle name="40% - Accent6 9 2" xfId="2185" xr:uid="{5E2EF2E5-F833-4108-8384-8DCC5EEB89F6}"/>
    <cellStyle name="40% - Accent6 9 2 2" xfId="4686" xr:uid="{744AC416-5387-4E18-87B2-011F11E64D78}"/>
    <cellStyle name="60% - Accent1" xfId="13" builtinId="32" customBuiltin="1"/>
    <cellStyle name="60% - Accent1 2" xfId="161" xr:uid="{00000000-0005-0000-0000-00006D000000}"/>
    <cellStyle name="60% - Accent1 2 2" xfId="1070" xr:uid="{F619F85F-EF0B-4773-9321-837336812262}"/>
    <cellStyle name="60% - Accent1 3" xfId="207" xr:uid="{00000000-0005-0000-0000-00006E000000}"/>
    <cellStyle name="60% - Accent1 3 2" xfId="1783" xr:uid="{F1A5227D-A071-47A6-834F-187B9306FD50}"/>
    <cellStyle name="60% - Accent1 4" xfId="253" xr:uid="{00000000-0005-0000-0000-00006F000000}"/>
    <cellStyle name="60% - Accent1 5" xfId="302" xr:uid="{00000000-0005-0000-0000-000070000000}"/>
    <cellStyle name="60% - Accent1 6" xfId="366" xr:uid="{00000000-0005-0000-0000-000071000000}"/>
    <cellStyle name="60% - Accent1 7" xfId="437" xr:uid="{00000000-0005-0000-0000-000072000000}"/>
    <cellStyle name="60% - Accent1 8" xfId="541" xr:uid="{00000000-0005-0000-0000-000073000000}"/>
    <cellStyle name="60% - Accent2" xfId="14" builtinId="36" customBuiltin="1"/>
    <cellStyle name="60% - Accent2 2" xfId="162" xr:uid="{00000000-0005-0000-0000-000075000000}"/>
    <cellStyle name="60% - Accent2 2 2" xfId="1071" xr:uid="{72AFCAA7-7264-4780-86D2-6FDDD127CA49}"/>
    <cellStyle name="60% - Accent2 3" xfId="208" xr:uid="{00000000-0005-0000-0000-000076000000}"/>
    <cellStyle name="60% - Accent2 3 2" xfId="1784" xr:uid="{9DCE2D12-9B17-4979-A261-A6DAB5D33E53}"/>
    <cellStyle name="60% - Accent2 4" xfId="254" xr:uid="{00000000-0005-0000-0000-000077000000}"/>
    <cellStyle name="60% - Accent2 5" xfId="303" xr:uid="{00000000-0005-0000-0000-000078000000}"/>
    <cellStyle name="60% - Accent2 6" xfId="367" xr:uid="{00000000-0005-0000-0000-000079000000}"/>
    <cellStyle name="60% - Accent2 7" xfId="438" xr:uid="{00000000-0005-0000-0000-00007A000000}"/>
    <cellStyle name="60% - Accent2 8" xfId="542" xr:uid="{00000000-0005-0000-0000-00007B000000}"/>
    <cellStyle name="60% - Accent3" xfId="15" builtinId="40" customBuiltin="1"/>
    <cellStyle name="60% - Accent3 2" xfId="163" xr:uid="{00000000-0005-0000-0000-00007D000000}"/>
    <cellStyle name="60% - Accent3 2 2" xfId="1072" xr:uid="{71C7DE70-2CA6-40B0-9021-46D5B544D7F1}"/>
    <cellStyle name="60% - Accent3 3" xfId="209" xr:uid="{00000000-0005-0000-0000-00007E000000}"/>
    <cellStyle name="60% - Accent3 3 2" xfId="1785" xr:uid="{96C7BFFF-0AAF-4470-8EFD-F78D78D47B4F}"/>
    <cellStyle name="60% - Accent3 4" xfId="255" xr:uid="{00000000-0005-0000-0000-00007F000000}"/>
    <cellStyle name="60% - Accent3 5" xfId="304" xr:uid="{00000000-0005-0000-0000-000080000000}"/>
    <cellStyle name="60% - Accent3 6" xfId="368" xr:uid="{00000000-0005-0000-0000-000081000000}"/>
    <cellStyle name="60% - Accent3 7" xfId="439" xr:uid="{00000000-0005-0000-0000-000082000000}"/>
    <cellStyle name="60% - Accent3 8" xfId="543" xr:uid="{00000000-0005-0000-0000-000083000000}"/>
    <cellStyle name="60% - Accent4" xfId="16" builtinId="44" customBuiltin="1"/>
    <cellStyle name="60% - Accent4 2" xfId="164" xr:uid="{00000000-0005-0000-0000-000085000000}"/>
    <cellStyle name="60% - Accent4 2 2" xfId="1073" xr:uid="{92624BDC-9309-4C34-B9B1-C834C49C682B}"/>
    <cellStyle name="60% - Accent4 3" xfId="210" xr:uid="{00000000-0005-0000-0000-000086000000}"/>
    <cellStyle name="60% - Accent4 3 2" xfId="1786" xr:uid="{BEECFAC8-A866-4ABE-B1DE-083EDDC2D164}"/>
    <cellStyle name="60% - Accent4 4" xfId="256" xr:uid="{00000000-0005-0000-0000-000087000000}"/>
    <cellStyle name="60% - Accent4 5" xfId="305" xr:uid="{00000000-0005-0000-0000-000088000000}"/>
    <cellStyle name="60% - Accent4 6" xfId="369" xr:uid="{00000000-0005-0000-0000-000089000000}"/>
    <cellStyle name="60% - Accent4 7" xfId="440" xr:uid="{00000000-0005-0000-0000-00008A000000}"/>
    <cellStyle name="60% - Accent4 8" xfId="544" xr:uid="{00000000-0005-0000-0000-00008B000000}"/>
    <cellStyle name="60% - Accent5" xfId="17" builtinId="48" customBuiltin="1"/>
    <cellStyle name="60% - Accent5 2" xfId="165" xr:uid="{00000000-0005-0000-0000-00008D000000}"/>
    <cellStyle name="60% - Accent5 2 2" xfId="1074" xr:uid="{79915B16-F3F0-402C-8D8B-332BA6107D95}"/>
    <cellStyle name="60% - Accent5 3" xfId="211" xr:uid="{00000000-0005-0000-0000-00008E000000}"/>
    <cellStyle name="60% - Accent5 3 2" xfId="1787" xr:uid="{1B435A57-E048-4E1B-822A-75C84CB1A8EF}"/>
    <cellStyle name="60% - Accent5 4" xfId="257" xr:uid="{00000000-0005-0000-0000-00008F000000}"/>
    <cellStyle name="60% - Accent5 5" xfId="306" xr:uid="{00000000-0005-0000-0000-000090000000}"/>
    <cellStyle name="60% - Accent5 6" xfId="370" xr:uid="{00000000-0005-0000-0000-000091000000}"/>
    <cellStyle name="60% - Accent5 7" xfId="441" xr:uid="{00000000-0005-0000-0000-000092000000}"/>
    <cellStyle name="60% - Accent5 8" xfId="545" xr:uid="{00000000-0005-0000-0000-000093000000}"/>
    <cellStyle name="60% - Accent6" xfId="18" builtinId="52" customBuiltin="1"/>
    <cellStyle name="60% - Accent6 2" xfId="166" xr:uid="{00000000-0005-0000-0000-000095000000}"/>
    <cellStyle name="60% - Accent6 2 2" xfId="1075" xr:uid="{03AB1D74-0877-4774-94EE-BF003912416F}"/>
    <cellStyle name="60% - Accent6 3" xfId="212" xr:uid="{00000000-0005-0000-0000-000096000000}"/>
    <cellStyle name="60% - Accent6 3 2" xfId="1788" xr:uid="{C5E35DEF-8A0D-4063-9F53-6EBDC7B83EAC}"/>
    <cellStyle name="60% - Accent6 4" xfId="258" xr:uid="{00000000-0005-0000-0000-000097000000}"/>
    <cellStyle name="60% - Accent6 5" xfId="307" xr:uid="{00000000-0005-0000-0000-000098000000}"/>
    <cellStyle name="60% - Accent6 6" xfId="371" xr:uid="{00000000-0005-0000-0000-000099000000}"/>
    <cellStyle name="60% - Accent6 7" xfId="442" xr:uid="{00000000-0005-0000-0000-00009A000000}"/>
    <cellStyle name="60% - Accent6 8" xfId="546" xr:uid="{00000000-0005-0000-0000-00009B000000}"/>
    <cellStyle name="Accent1" xfId="19" builtinId="29" customBuiltin="1"/>
    <cellStyle name="Accent1 - 20%" xfId="20" xr:uid="{00000000-0005-0000-0000-00009D000000}"/>
    <cellStyle name="Accent1 - 20% 2" xfId="895" xr:uid="{2341EBAC-9038-489B-89E0-D771DE82EA42}"/>
    <cellStyle name="Accent1 - 20% 2 2" xfId="1077" xr:uid="{414B7D17-031D-4725-BDCB-068DB20E3195}"/>
    <cellStyle name="Accent1 - 20% 3" xfId="1076" xr:uid="{6D182D04-6AC5-4395-84D6-5BBA711DB76C}"/>
    <cellStyle name="Accent1 - 40%" xfId="21" xr:uid="{00000000-0005-0000-0000-00009E000000}"/>
    <cellStyle name="Accent1 - 40% 2" xfId="896" xr:uid="{2BF20286-8C14-4DD0-BC48-F86BC03F1EA6}"/>
    <cellStyle name="Accent1 - 40% 2 2" xfId="1079" xr:uid="{5703260F-9F55-472D-B852-0745440CAE20}"/>
    <cellStyle name="Accent1 - 40% 3" xfId="1078" xr:uid="{37310F85-B540-47B0-A930-846AA20AAEE6}"/>
    <cellStyle name="Accent1 - 60%" xfId="22" xr:uid="{00000000-0005-0000-0000-00009F000000}"/>
    <cellStyle name="Accent1 - 60% 2" xfId="897" xr:uid="{408C100A-9179-46C4-8CFF-78775259CF40}"/>
    <cellStyle name="Accent1 - 60% 3" xfId="1080" xr:uid="{BD64EBD7-8CF6-4504-880D-533D1EB14A1C}"/>
    <cellStyle name="Accent1 10" xfId="1213" xr:uid="{1C990109-106A-4596-B574-DCB65713A036}"/>
    <cellStyle name="Accent1 2" xfId="167" xr:uid="{00000000-0005-0000-0000-0000A0000000}"/>
    <cellStyle name="Accent1 2 2" xfId="1082" xr:uid="{A2AEDD95-125F-4D35-8FEF-1CE9A7E7967C}"/>
    <cellStyle name="Accent1 2 3" xfId="1081" xr:uid="{D5BA26EA-C2B8-488C-A3D5-C7B9F5B8FBAE}"/>
    <cellStyle name="Accent1 3" xfId="213" xr:uid="{00000000-0005-0000-0000-0000A1000000}"/>
    <cellStyle name="Accent1 3 2" xfId="1083" xr:uid="{39773C2A-FEDF-4019-A333-EEE368665DA0}"/>
    <cellStyle name="Accent1 4" xfId="259" xr:uid="{00000000-0005-0000-0000-0000A2000000}"/>
    <cellStyle name="Accent1 4 2" xfId="1084" xr:uid="{F325E876-4B8E-453E-A8D7-B4D6CE075DB8}"/>
    <cellStyle name="Accent1 5" xfId="308" xr:uid="{00000000-0005-0000-0000-0000A3000000}"/>
    <cellStyle name="Accent1 5 2" xfId="1085" xr:uid="{B0F8ABE1-00B6-4D40-93F9-613FDA5B7CEC}"/>
    <cellStyle name="Accent1 6" xfId="372" xr:uid="{00000000-0005-0000-0000-0000A4000000}"/>
    <cellStyle name="Accent1 6 2" xfId="1086" xr:uid="{3A40E004-7839-4117-930D-994452E88160}"/>
    <cellStyle name="Accent1 7" xfId="443" xr:uid="{00000000-0005-0000-0000-0000A5000000}"/>
    <cellStyle name="Accent1 8" xfId="547" xr:uid="{00000000-0005-0000-0000-0000A6000000}"/>
    <cellStyle name="Accent1 9" xfId="951" xr:uid="{6347ABA3-020E-427A-ACD0-91D282C3A9A0}"/>
    <cellStyle name="Accent2" xfId="23" builtinId="33" customBuiltin="1"/>
    <cellStyle name="Accent2 - 20%" xfId="24" xr:uid="{00000000-0005-0000-0000-0000A8000000}"/>
    <cellStyle name="Accent2 - 20% 2" xfId="898" xr:uid="{CE2FEAEC-91C4-47A9-B758-BE9651C717BF}"/>
    <cellStyle name="Accent2 - 20% 2 2" xfId="1088" xr:uid="{F68C5F47-8087-4EF5-A86D-EF36AF207E58}"/>
    <cellStyle name="Accent2 - 20% 3" xfId="1087" xr:uid="{740E2974-99A3-4C6A-9A3C-9D35A45C4D44}"/>
    <cellStyle name="Accent2 - 40%" xfId="25" xr:uid="{00000000-0005-0000-0000-0000A9000000}"/>
    <cellStyle name="Accent2 - 40% 2" xfId="899" xr:uid="{C8AB0773-203C-4C6E-B565-01F33238BC7F}"/>
    <cellStyle name="Accent2 - 40% 2 2" xfId="1090" xr:uid="{B23C6FBB-CEEF-4E12-82D4-A41405795F2D}"/>
    <cellStyle name="Accent2 - 40% 3" xfId="1089" xr:uid="{36FB6292-0688-4100-A52D-BB0036457F47}"/>
    <cellStyle name="Accent2 - 60%" xfId="26" xr:uid="{00000000-0005-0000-0000-0000AA000000}"/>
    <cellStyle name="Accent2 - 60% 2" xfId="900" xr:uid="{AF53FF1C-518F-4939-AF19-B56F4C363B7D}"/>
    <cellStyle name="Accent2 - 60% 3" xfId="1091" xr:uid="{3EE8043A-A8D8-4095-A13B-E2F8DCAF4F83}"/>
    <cellStyle name="Accent2 10" xfId="931" xr:uid="{B71FC80D-923E-42FE-B25A-620E92B92CAA}"/>
    <cellStyle name="Accent2 2" xfId="168" xr:uid="{00000000-0005-0000-0000-0000AB000000}"/>
    <cellStyle name="Accent2 2 2" xfId="1093" xr:uid="{E2AFFB22-8D6D-4174-B386-E06D33B4B0D0}"/>
    <cellStyle name="Accent2 2 3" xfId="1092" xr:uid="{DEA24C2F-BD40-4FBE-A814-9D5A35169FA2}"/>
    <cellStyle name="Accent2 3" xfId="214" xr:uid="{00000000-0005-0000-0000-0000AC000000}"/>
    <cellStyle name="Accent2 3 2" xfId="1094" xr:uid="{91095101-B597-45A2-AAF7-4E16DFA94DC2}"/>
    <cellStyle name="Accent2 4" xfId="260" xr:uid="{00000000-0005-0000-0000-0000AD000000}"/>
    <cellStyle name="Accent2 4 2" xfId="1095" xr:uid="{B6825291-8684-430A-87A0-B6892FDCB861}"/>
    <cellStyle name="Accent2 5" xfId="309" xr:uid="{00000000-0005-0000-0000-0000AE000000}"/>
    <cellStyle name="Accent2 5 2" xfId="1096" xr:uid="{2BC4EB0C-C3D5-49F4-9B6D-0621473FBAC3}"/>
    <cellStyle name="Accent2 6" xfId="373" xr:uid="{00000000-0005-0000-0000-0000AF000000}"/>
    <cellStyle name="Accent2 6 2" xfId="1097" xr:uid="{E79C3EF2-7899-45CB-8E55-2409DE3D6262}"/>
    <cellStyle name="Accent2 7" xfId="444" xr:uid="{00000000-0005-0000-0000-0000B0000000}"/>
    <cellStyle name="Accent2 8" xfId="548" xr:uid="{00000000-0005-0000-0000-0000B1000000}"/>
    <cellStyle name="Accent2 9" xfId="950" xr:uid="{BC8A2DEE-4CB2-4376-80A9-E5B9DE57E410}"/>
    <cellStyle name="Accent3" xfId="27" builtinId="37" customBuiltin="1"/>
    <cellStyle name="Accent3 - 20%" xfId="28" xr:uid="{00000000-0005-0000-0000-0000B3000000}"/>
    <cellStyle name="Accent3 - 20% 2" xfId="901" xr:uid="{799D8D2C-063B-414A-9931-887EFCFC4E67}"/>
    <cellStyle name="Accent3 - 20% 2 2" xfId="1099" xr:uid="{B7CB49EF-AB66-4FED-8A0F-0665B8C333E2}"/>
    <cellStyle name="Accent3 - 20% 3" xfId="1098" xr:uid="{BEDE6608-4E97-48F3-A85A-04882925D571}"/>
    <cellStyle name="Accent3 - 40%" xfId="29" xr:uid="{00000000-0005-0000-0000-0000B4000000}"/>
    <cellStyle name="Accent3 - 40% 2" xfId="902" xr:uid="{9EE4BE1D-CF1C-4742-8B41-85BFD5FD0E44}"/>
    <cellStyle name="Accent3 - 40% 2 2" xfId="1101" xr:uid="{637AE64C-46E6-4E54-A754-5BCB4710A002}"/>
    <cellStyle name="Accent3 - 40% 3" xfId="1100" xr:uid="{1191125C-292B-4EAC-9AC9-5CDD313F9E61}"/>
    <cellStyle name="Accent3 - 60%" xfId="30" xr:uid="{00000000-0005-0000-0000-0000B5000000}"/>
    <cellStyle name="Accent3 - 60% 2" xfId="903" xr:uid="{D0DE66A8-CA6C-4224-8DB9-E474B7B1280B}"/>
    <cellStyle name="Accent3 - 60% 3" xfId="1102" xr:uid="{33A92544-35BE-42FD-8800-0B328CCE314B}"/>
    <cellStyle name="Accent3 10" xfId="1122" xr:uid="{062B3298-900C-4715-8273-EB8D67633230}"/>
    <cellStyle name="Accent3 2" xfId="169" xr:uid="{00000000-0005-0000-0000-0000B6000000}"/>
    <cellStyle name="Accent3 2 2" xfId="1104" xr:uid="{AD0EAA13-596C-48C8-B2B0-2BCCAB62471A}"/>
    <cellStyle name="Accent3 2 3" xfId="1103" xr:uid="{7BE6615A-2710-42B7-8924-11B35425E74D}"/>
    <cellStyle name="Accent3 3" xfId="215" xr:uid="{00000000-0005-0000-0000-0000B7000000}"/>
    <cellStyle name="Accent3 3 2" xfId="1105" xr:uid="{31C22731-24A1-4C30-86D2-212C22845DA9}"/>
    <cellStyle name="Accent3 4" xfId="261" xr:uid="{00000000-0005-0000-0000-0000B8000000}"/>
    <cellStyle name="Accent3 4 2" xfId="1106" xr:uid="{117C03F0-794F-4772-BC2D-AAD9A70B091E}"/>
    <cellStyle name="Accent3 5" xfId="310" xr:uid="{00000000-0005-0000-0000-0000B9000000}"/>
    <cellStyle name="Accent3 5 2" xfId="1107" xr:uid="{C67BA2AB-1CE0-4AE5-A4A8-F8513869DF9F}"/>
    <cellStyle name="Accent3 6" xfId="374" xr:uid="{00000000-0005-0000-0000-0000BA000000}"/>
    <cellStyle name="Accent3 6 2" xfId="1108" xr:uid="{4517FCAE-1CEA-4BDD-A2F2-D08942B3B088}"/>
    <cellStyle name="Accent3 7" xfId="445" xr:uid="{00000000-0005-0000-0000-0000BB000000}"/>
    <cellStyle name="Accent3 8" xfId="549" xr:uid="{00000000-0005-0000-0000-0000BC000000}"/>
    <cellStyle name="Accent3 9" xfId="953" xr:uid="{B22748A5-3A25-43AC-B351-99C87BEC613D}"/>
    <cellStyle name="Accent4" xfId="31" builtinId="41" customBuiltin="1"/>
    <cellStyle name="Accent4 - 20%" xfId="32" xr:uid="{00000000-0005-0000-0000-0000BE000000}"/>
    <cellStyle name="Accent4 - 20% 2" xfId="904" xr:uid="{2A244947-8719-466C-882F-76D767C039CB}"/>
    <cellStyle name="Accent4 - 20% 2 2" xfId="1110" xr:uid="{3E9F496F-5B39-4E62-9083-99C9008F1185}"/>
    <cellStyle name="Accent4 - 20% 3" xfId="1109" xr:uid="{219BD5D1-FA2D-40CD-B912-1C479533EAA8}"/>
    <cellStyle name="Accent4 - 40%" xfId="33" xr:uid="{00000000-0005-0000-0000-0000BF000000}"/>
    <cellStyle name="Accent4 - 40% 2" xfId="905" xr:uid="{AFDFCFCB-B00A-4EF8-A068-4DB2E94E6F65}"/>
    <cellStyle name="Accent4 - 40% 2 2" xfId="1112" xr:uid="{05CE971B-A2FB-4C38-B08B-32BBB09DFA33}"/>
    <cellStyle name="Accent4 - 40% 3" xfId="1111" xr:uid="{0D0C1A3F-A9AB-47C1-971A-0DFAED12DEEC}"/>
    <cellStyle name="Accent4 - 60%" xfId="34" xr:uid="{00000000-0005-0000-0000-0000C0000000}"/>
    <cellStyle name="Accent4 - 60% 2" xfId="906" xr:uid="{D5544E1B-0053-4E69-AFF5-74AC05D47F77}"/>
    <cellStyle name="Accent4 - 60% 3" xfId="1113" xr:uid="{0D4BC98E-799C-4B75-BBC6-02DCBD9BF55A}"/>
    <cellStyle name="Accent4 10" xfId="3311" xr:uid="{F46DF3C4-5610-4E61-AADA-B24876832B7A}"/>
    <cellStyle name="Accent4 2" xfId="170" xr:uid="{00000000-0005-0000-0000-0000C1000000}"/>
    <cellStyle name="Accent4 2 2" xfId="1115" xr:uid="{569278D7-7112-4B2E-BF1C-45E6D3F2735C}"/>
    <cellStyle name="Accent4 2 3" xfId="1114" xr:uid="{310310A8-778A-4026-8B1A-CB89A40C9F6C}"/>
    <cellStyle name="Accent4 3" xfId="216" xr:uid="{00000000-0005-0000-0000-0000C2000000}"/>
    <cellStyle name="Accent4 3 2" xfId="1116" xr:uid="{9AF0226D-D497-45B5-850A-BE9C180674DB}"/>
    <cellStyle name="Accent4 4" xfId="262" xr:uid="{00000000-0005-0000-0000-0000C3000000}"/>
    <cellStyle name="Accent4 4 2" xfId="1117" xr:uid="{D9496B3F-F057-431F-AEE1-0E4A33B46FAD}"/>
    <cellStyle name="Accent4 5" xfId="311" xr:uid="{00000000-0005-0000-0000-0000C4000000}"/>
    <cellStyle name="Accent4 5 2" xfId="1118" xr:uid="{4BD48876-9CB3-4458-9052-1C3ACB358A5F}"/>
    <cellStyle name="Accent4 6" xfId="375" xr:uid="{00000000-0005-0000-0000-0000C5000000}"/>
    <cellStyle name="Accent4 6 2" xfId="1119" xr:uid="{CEE9625D-A294-4910-81B6-B564BBDE42AC}"/>
    <cellStyle name="Accent4 7" xfId="446" xr:uid="{00000000-0005-0000-0000-0000C6000000}"/>
    <cellStyle name="Accent4 8" xfId="550" xr:uid="{00000000-0005-0000-0000-0000C7000000}"/>
    <cellStyle name="Accent4 9" xfId="916" xr:uid="{1E49948A-8419-4CDD-A029-BF6BCAB8415F}"/>
    <cellStyle name="Accent5" xfId="35" builtinId="45" customBuiltin="1"/>
    <cellStyle name="Accent5 - 20%" xfId="36" xr:uid="{00000000-0005-0000-0000-0000C9000000}"/>
    <cellStyle name="Accent5 - 20% 2" xfId="907" xr:uid="{89E935E9-9950-44BE-8448-0BB5624B551C}"/>
    <cellStyle name="Accent5 - 20% 2 2" xfId="1121" xr:uid="{986DEAA9-7DBF-4AD8-8A23-4567D6191E7F}"/>
    <cellStyle name="Accent5 - 20% 3" xfId="1120" xr:uid="{D94450C6-6787-4B9C-99B4-554826CF9990}"/>
    <cellStyle name="Accent5 - 40%" xfId="37" xr:uid="{00000000-0005-0000-0000-0000CA000000}"/>
    <cellStyle name="Accent5 - 40% 2" xfId="908" xr:uid="{8B81908A-60A3-4F36-BAE6-ECDF676E0561}"/>
    <cellStyle name="Accent5 - 60%" xfId="38" xr:uid="{00000000-0005-0000-0000-0000CB000000}"/>
    <cellStyle name="Accent5 - 60% 2" xfId="909" xr:uid="{BB129ECB-848D-4823-AB4C-1E2B0321DA1D}"/>
    <cellStyle name="Accent5 - 60% 3" xfId="1123" xr:uid="{5F4A6472-2E59-47F0-A928-C7A58380DDD5}"/>
    <cellStyle name="Accent5 10" xfId="3312" xr:uid="{F883AEA5-15AC-45E8-9072-1A76639067DF}"/>
    <cellStyle name="Accent5 2" xfId="171" xr:uid="{00000000-0005-0000-0000-0000CC000000}"/>
    <cellStyle name="Accent5 2 2" xfId="1125" xr:uid="{C3F6D20C-3BCD-4395-9E2D-BBB30836745E}"/>
    <cellStyle name="Accent5 2 3" xfId="1124" xr:uid="{DA6573BB-58A8-431B-ABA5-20DA17E05D8A}"/>
    <cellStyle name="Accent5 3" xfId="217" xr:uid="{00000000-0005-0000-0000-0000CD000000}"/>
    <cellStyle name="Accent5 3 2" xfId="1126" xr:uid="{63A1CBF7-EFF7-4700-935D-CA9EED1D58E1}"/>
    <cellStyle name="Accent5 4" xfId="263" xr:uid="{00000000-0005-0000-0000-0000CE000000}"/>
    <cellStyle name="Accent5 4 2" xfId="1127" xr:uid="{6CF94C34-7D46-4F8E-A1CE-C74E0AE3E331}"/>
    <cellStyle name="Accent5 5" xfId="312" xr:uid="{00000000-0005-0000-0000-0000CF000000}"/>
    <cellStyle name="Accent5 5 2" xfId="1128" xr:uid="{BF38DBF9-72C2-4737-972D-F53EF5BEAAAC}"/>
    <cellStyle name="Accent5 6" xfId="376" xr:uid="{00000000-0005-0000-0000-0000D0000000}"/>
    <cellStyle name="Accent5 6 2" xfId="1129" xr:uid="{7EDB78D8-448B-4B55-8FC4-F278B54F561B}"/>
    <cellStyle name="Accent5 7" xfId="447" xr:uid="{00000000-0005-0000-0000-0000D1000000}"/>
    <cellStyle name="Accent5 8" xfId="551" xr:uid="{00000000-0005-0000-0000-0000D2000000}"/>
    <cellStyle name="Accent5 9" xfId="913" xr:uid="{AF81FAD9-2403-4A11-AE4B-921643EBA684}"/>
    <cellStyle name="Accent6" xfId="39" builtinId="49" customBuiltin="1"/>
    <cellStyle name="Accent6 - 20%" xfId="40" xr:uid="{00000000-0005-0000-0000-0000D4000000}"/>
    <cellStyle name="Accent6 - 20% 2" xfId="910" xr:uid="{C54B27D8-100A-4EEC-83B0-62C23B5A7799}"/>
    <cellStyle name="Accent6 - 40%" xfId="41" xr:uid="{00000000-0005-0000-0000-0000D5000000}"/>
    <cellStyle name="Accent6 - 40% 2" xfId="911" xr:uid="{96A5857A-2028-47BB-AC92-FA568BFD5666}"/>
    <cellStyle name="Accent6 - 40% 2 2" xfId="1131" xr:uid="{C8A2569D-AA9B-4492-BFF6-38CF712B4884}"/>
    <cellStyle name="Accent6 - 40% 3" xfId="1130" xr:uid="{AD139F09-9DD1-4E0C-974D-F21ACFCC3369}"/>
    <cellStyle name="Accent6 - 60%" xfId="42" xr:uid="{00000000-0005-0000-0000-0000D6000000}"/>
    <cellStyle name="Accent6 - 60% 2" xfId="912" xr:uid="{1C6C4C6A-45F8-403C-BCA4-A7F3FB2FE4F9}"/>
    <cellStyle name="Accent6 - 60% 3" xfId="1132" xr:uid="{A0483F0A-D5D9-4BDC-8EF2-E9E671226253}"/>
    <cellStyle name="Accent6 10" xfId="3313" xr:uid="{5194ABC5-93A1-4C48-AE07-3D7F164B9ED5}"/>
    <cellStyle name="Accent6 2" xfId="172" xr:uid="{00000000-0005-0000-0000-0000D7000000}"/>
    <cellStyle name="Accent6 2 2" xfId="1134" xr:uid="{2A48EB7B-8F04-4D09-B815-DC461C6621AD}"/>
    <cellStyle name="Accent6 2 3" xfId="1133" xr:uid="{82050C57-1704-4782-8CFF-BA7B80AE3907}"/>
    <cellStyle name="Accent6 3" xfId="218" xr:uid="{00000000-0005-0000-0000-0000D8000000}"/>
    <cellStyle name="Accent6 3 2" xfId="1135" xr:uid="{393E79D3-6A93-4FC5-BC58-0C6D208767CA}"/>
    <cellStyle name="Accent6 4" xfId="264" xr:uid="{00000000-0005-0000-0000-0000D9000000}"/>
    <cellStyle name="Accent6 4 2" xfId="1136" xr:uid="{2400D7D5-448F-41EC-B144-F0773A2D67EE}"/>
    <cellStyle name="Accent6 5" xfId="313" xr:uid="{00000000-0005-0000-0000-0000DA000000}"/>
    <cellStyle name="Accent6 5 2" xfId="1137" xr:uid="{88D9331B-44B9-48EB-BCC5-47A36A59A06D}"/>
    <cellStyle name="Accent6 6" xfId="377" xr:uid="{00000000-0005-0000-0000-0000DB000000}"/>
    <cellStyle name="Accent6 6 2" xfId="1138" xr:uid="{B260B284-DD10-4822-9325-369AAC0302B0}"/>
    <cellStyle name="Accent6 7" xfId="448" xr:uid="{00000000-0005-0000-0000-0000DC000000}"/>
    <cellStyle name="Accent6 8" xfId="552" xr:uid="{00000000-0005-0000-0000-0000DD000000}"/>
    <cellStyle name="Accent6 9" xfId="957" xr:uid="{31DE2352-7871-47D4-AA82-7E747C110FA2}"/>
    <cellStyle name="Bad" xfId="43" builtinId="27" customBuiltin="1"/>
    <cellStyle name="Bad 2" xfId="173" xr:uid="{00000000-0005-0000-0000-0000DF000000}"/>
    <cellStyle name="Bad 2 2" xfId="1140" xr:uid="{EF3CDA51-3D50-43AD-AC08-88B3B52AEF02}"/>
    <cellStyle name="Bad 2 3" xfId="1139" xr:uid="{A73B6750-E885-4C74-82E2-F4EB09B85EE4}"/>
    <cellStyle name="Bad 3" xfId="219" xr:uid="{00000000-0005-0000-0000-0000E0000000}"/>
    <cellStyle name="Bad 3 2" xfId="1141" xr:uid="{1AEEBF8D-BD6A-4B40-8BF9-8431F8FAC5B5}"/>
    <cellStyle name="Bad 4" xfId="265" xr:uid="{00000000-0005-0000-0000-0000E1000000}"/>
    <cellStyle name="Bad 5" xfId="314" xr:uid="{00000000-0005-0000-0000-0000E2000000}"/>
    <cellStyle name="Bad 6" xfId="378" xr:uid="{00000000-0005-0000-0000-0000E3000000}"/>
    <cellStyle name="Bad 7" xfId="449" xr:uid="{00000000-0005-0000-0000-0000E4000000}"/>
    <cellStyle name="Bad 8" xfId="553" xr:uid="{00000000-0005-0000-0000-0000E5000000}"/>
    <cellStyle name="Bad 9" xfId="948" xr:uid="{75FF57D6-7168-4E47-B741-7396B407EB1B}"/>
    <cellStyle name="Calculation" xfId="44" builtinId="22" customBuiltin="1"/>
    <cellStyle name="Calculation 10" xfId="3314" xr:uid="{3DBE477C-096C-49F3-AFA3-5272A78340AA}"/>
    <cellStyle name="Calculation 2" xfId="174" xr:uid="{00000000-0005-0000-0000-0000E7000000}"/>
    <cellStyle name="Calculation 2 2" xfId="1143" xr:uid="{469FD491-EEDC-44CD-84EC-E8450110DEA4}"/>
    <cellStyle name="Calculation 2 2 2" xfId="3290" xr:uid="{8BDD3A74-61AF-4953-A27F-5B32B532D884}"/>
    <cellStyle name="Calculation 2 2 2 2" xfId="5664" xr:uid="{95F50B25-0F60-465E-8B3C-20F8945AD9E9}"/>
    <cellStyle name="Calculation 2 2 3" xfId="3141" xr:uid="{7896FD04-59FB-4E13-87C9-01D48FFC6D3E}"/>
    <cellStyle name="Calculation 2 2 3 2" xfId="5515" xr:uid="{8F06241D-FDD1-4689-A365-6DCE38ACD629}"/>
    <cellStyle name="Calculation 2 2 4" xfId="3933" xr:uid="{B01127C6-8106-449C-9DF1-6217D8C32293}"/>
    <cellStyle name="Calculation 2 3" xfId="3107" xr:uid="{B26FC16B-DE57-4E49-BE54-CD8B90EF129B}"/>
    <cellStyle name="Calculation 2 3 2" xfId="5481" xr:uid="{8CD9686D-35EC-4569-AFA6-5A525730C02E}"/>
    <cellStyle name="Calculation 2 4" xfId="3294" xr:uid="{87E32EE9-651C-4737-A334-2CA799505CC5}"/>
    <cellStyle name="Calculation 2 4 2" xfId="5668" xr:uid="{7ECF1AD5-86BB-48E4-86D8-215DEE2AF208}"/>
    <cellStyle name="Calculation 2 5" xfId="1142" xr:uid="{CF9B27F6-9FE3-42F8-BE7F-2E8BF783A282}"/>
    <cellStyle name="Calculation 2 5 2" xfId="3932" xr:uid="{6DCB1F24-2A1B-4330-9F63-903BE59538C0}"/>
    <cellStyle name="Calculation 2 6" xfId="3367" xr:uid="{16F673C4-1D84-4EAD-9570-E44D0CA379B2}"/>
    <cellStyle name="Calculation 3" xfId="220" xr:uid="{00000000-0005-0000-0000-0000E8000000}"/>
    <cellStyle name="Calculation 3 2" xfId="3373" xr:uid="{528D89DE-220D-41EB-8267-D42D165B7600}"/>
    <cellStyle name="Calculation 4" xfId="266" xr:uid="{00000000-0005-0000-0000-0000E9000000}"/>
    <cellStyle name="Calculation 4 2" xfId="3380" xr:uid="{F2F4F0E5-BE94-421B-85F9-AD0CAA076DD4}"/>
    <cellStyle name="Calculation 5" xfId="315" xr:uid="{00000000-0005-0000-0000-0000EA000000}"/>
    <cellStyle name="Calculation 5 2" xfId="3389" xr:uid="{9F8B0560-A0CE-472A-9776-91442BDC2121}"/>
    <cellStyle name="Calculation 6" xfId="379" xr:uid="{00000000-0005-0000-0000-0000EB000000}"/>
    <cellStyle name="Calculation 6 2" xfId="3412" xr:uid="{6235C727-A9B8-4133-8959-D4500D9FAD47}"/>
    <cellStyle name="Calculation 7" xfId="450" xr:uid="{00000000-0005-0000-0000-0000EC000000}"/>
    <cellStyle name="Calculation 7 2" xfId="3443" xr:uid="{DC59FC78-C2FD-472C-B318-90F122F82608}"/>
    <cellStyle name="Calculation 8" xfId="554" xr:uid="{00000000-0005-0000-0000-0000ED000000}"/>
    <cellStyle name="Calculation 8 2" xfId="3501" xr:uid="{59C5F892-F21E-4F74-8636-2E99F5EF84E9}"/>
    <cellStyle name="Calculation 9" xfId="923" xr:uid="{CA2DF9D3-1031-47BE-883C-D830DE199877}"/>
    <cellStyle name="Check Cell" xfId="45" builtinId="23" customBuiltin="1"/>
    <cellStyle name="Check Cell 2" xfId="175" xr:uid="{00000000-0005-0000-0000-0000EF000000}"/>
    <cellStyle name="Check Cell 2 2" xfId="1145" xr:uid="{C922E485-1A5F-45CC-B93E-1A4081F3FCA5}"/>
    <cellStyle name="Check Cell 2 3" xfId="1144" xr:uid="{0554EDF0-82FD-4B9E-A7F8-C7B58CF5BD7A}"/>
    <cellStyle name="Check Cell 3" xfId="221" xr:uid="{00000000-0005-0000-0000-0000F0000000}"/>
    <cellStyle name="Check Cell 4" xfId="267" xr:uid="{00000000-0005-0000-0000-0000F1000000}"/>
    <cellStyle name="Check Cell 5" xfId="316" xr:uid="{00000000-0005-0000-0000-0000F2000000}"/>
    <cellStyle name="Check Cell 6" xfId="380" xr:uid="{00000000-0005-0000-0000-0000F3000000}"/>
    <cellStyle name="Check Cell 7" xfId="451" xr:uid="{00000000-0005-0000-0000-0000F4000000}"/>
    <cellStyle name="Check Cell 8" xfId="555" xr:uid="{00000000-0005-0000-0000-0000F5000000}"/>
    <cellStyle name="Check Cell 9" xfId="983" xr:uid="{0FF80B56-0D70-42B8-BE8E-1DF3256F2D0E}"/>
    <cellStyle name="Comma" xfId="46" builtinId="3"/>
    <cellStyle name="Comma [0] 2" xfId="1146" xr:uid="{97CD7DFC-5A8D-4176-8E2B-5A4503614C4A}"/>
    <cellStyle name="Comma 10" xfId="891" xr:uid="{AA021DD0-4C03-4450-8885-A7D916097526}"/>
    <cellStyle name="Comma 10 2" xfId="1147" xr:uid="{68C2C8C2-F50C-4CA4-8525-580A914BFDDD}"/>
    <cellStyle name="Comma 10 2 2" xfId="1148" xr:uid="{8A34BE01-CC6D-4019-B06B-80E98CD16CCD}"/>
    <cellStyle name="Comma 10 3" xfId="1149" xr:uid="{7714276C-F20F-4672-AEE6-342684EA79E7}"/>
    <cellStyle name="Comma 10 4" xfId="930" xr:uid="{157ACD8A-9174-4A67-A274-730A03942E07}"/>
    <cellStyle name="Comma 10 5" xfId="3822" xr:uid="{20BBA402-4576-48F9-88A1-D548B45B31C2}"/>
    <cellStyle name="Comma 11" xfId="1150" xr:uid="{92D650FF-2BFA-4F28-8EC1-AC8C89BE6482}"/>
    <cellStyle name="Comma 12" xfId="1151" xr:uid="{72BBCD3A-31C0-45FE-8FA1-4EBD73EECAEB}"/>
    <cellStyle name="Comma 12 2" xfId="1152" xr:uid="{137FCBCD-6564-4448-AB0F-E36E93CEFD9E}"/>
    <cellStyle name="Comma 12 2 2" xfId="1153" xr:uid="{7AC5401D-36D7-4203-9B8D-4CF1F03EC974}"/>
    <cellStyle name="Comma 12 3" xfId="1154" xr:uid="{493EE55F-C202-4205-921E-5B6677569D98}"/>
    <cellStyle name="Comma 13" xfId="1155" xr:uid="{1822ABD2-8AD4-45C4-8D75-A2A485677059}"/>
    <cellStyle name="Comma 13 2" xfId="1156" xr:uid="{F097B4DC-856B-4053-A682-03DBC7EE424F}"/>
    <cellStyle name="Comma 14" xfId="1157" xr:uid="{139F5FC7-44AF-4817-8AE2-91D8023161A1}"/>
    <cellStyle name="Comma 14 2" xfId="1158" xr:uid="{57AD8D7A-DA25-40DF-9097-69C463B20E92}"/>
    <cellStyle name="Comma 15" xfId="1159" xr:uid="{40654EEE-2F20-4689-8A8D-AF8C760112B5}"/>
    <cellStyle name="Comma 15 2" xfId="1160" xr:uid="{A2EADB3B-952E-48D6-AA9F-D9ACE873B5C5}"/>
    <cellStyle name="Comma 16" xfId="1161" xr:uid="{BD6B89C2-E096-4704-8A7A-73F5E7EF646D}"/>
    <cellStyle name="Comma 16 2" xfId="1162" xr:uid="{BEE6BBC5-CB30-4B56-A14B-FA48A25A3A22}"/>
    <cellStyle name="Comma 17" xfId="1163" xr:uid="{8DF524E8-ADCC-47D1-AE24-AA58F5460431}"/>
    <cellStyle name="Comma 17 2" xfId="1164" xr:uid="{476647E9-0129-4967-B81A-E8266010BA9F}"/>
    <cellStyle name="Comma 17 2 2" xfId="1165" xr:uid="{B5DFC4CD-0DA0-4B4E-98CF-6EFDFA2A90F1}"/>
    <cellStyle name="Comma 17 2 3" xfId="1166" xr:uid="{03F909B2-892B-4318-A85D-5CB9DDCD1715}"/>
    <cellStyle name="Comma 17 3" xfId="1167" xr:uid="{2ACF6974-7B36-44CD-AC98-8759C9F26967}"/>
    <cellStyle name="Comma 17 4" xfId="1168" xr:uid="{70044D7A-504C-479F-809A-063CB9AB900E}"/>
    <cellStyle name="Comma 18" xfId="1169" xr:uid="{D1A79776-9786-4614-8B6E-86C504440B9E}"/>
    <cellStyle name="Comma 19" xfId="1170" xr:uid="{39500E38-EA51-42AD-B9AD-103AC2D59EF8}"/>
    <cellStyle name="Comma 2" xfId="47" xr:uid="{00000000-0005-0000-0000-0000F7000000}"/>
    <cellStyle name="Comma 2 2" xfId="48" xr:uid="{00000000-0005-0000-0000-0000F8000000}"/>
    <cellStyle name="Comma 2 2 2" xfId="1171" xr:uid="{E7E86A3B-B0DB-49BD-8BE7-416BB3C1416C}"/>
    <cellStyle name="Comma 2 2 3" xfId="1172" xr:uid="{8FE40F42-BF90-460D-BAAF-9E9DA3B545D5}"/>
    <cellStyle name="Comma 2 3" xfId="1173" xr:uid="{62701446-57CC-4F1F-89AF-529BC20415E6}"/>
    <cellStyle name="Comma 2 3 2" xfId="1174" xr:uid="{DE213E23-BC48-4316-AA6E-9F355EFB0855}"/>
    <cellStyle name="Comma 2 3 3" xfId="1175" xr:uid="{A7168289-8C1F-43AA-B140-C90E3D974B62}"/>
    <cellStyle name="Comma 2 3 3 2" xfId="1176" xr:uid="{3EBAE58E-A84C-46E6-90C3-F55179533DC8}"/>
    <cellStyle name="Comma 2 3 4" xfId="1177" xr:uid="{B7E54ECD-869E-4AF4-97E6-989985171106}"/>
    <cellStyle name="Comma 2 3 5" xfId="1178" xr:uid="{E1BB7F7B-C27C-4218-A733-A37ACB7DA8E8}"/>
    <cellStyle name="Comma 2 4" xfId="1179" xr:uid="{58C1FB42-84CE-44F4-A4CA-639C0273AFA2}"/>
    <cellStyle name="Comma 2 5" xfId="1180" xr:uid="{FB7B5BF3-4914-4C3D-864D-CFDDF3C2EA77}"/>
    <cellStyle name="Comma 20" xfId="1181" xr:uid="{CEC18F73-988A-43CE-96A5-CDA4E4612E04}"/>
    <cellStyle name="Comma 21" xfId="1182" xr:uid="{10E16244-70EC-4EA2-82F1-2D41D7A7952D}"/>
    <cellStyle name="Comma 22" xfId="1183" xr:uid="{7ADD6C31-2A24-43D5-B699-BAE3AA6AB17F}"/>
    <cellStyle name="Comma 23" xfId="1184" xr:uid="{7D2F663A-F6FF-4CF9-8BD1-36A237A49003}"/>
    <cellStyle name="Comma 24" xfId="1185" xr:uid="{ABD29478-2E19-4543-A887-D38C2CDF771F}"/>
    <cellStyle name="Comma 25" xfId="1186" xr:uid="{E15E5154-245B-46F9-84ED-1CA25F283741}"/>
    <cellStyle name="Comma 26" xfId="1187" xr:uid="{5D12D41C-CA14-4EA5-9FAB-00BA2B28A68E}"/>
    <cellStyle name="Comma 27" xfId="1188" xr:uid="{BA4A031E-9EBB-428A-B601-83E4425E7F3C}"/>
    <cellStyle name="Comma 28" xfId="1189" xr:uid="{C2548BF5-C6D0-4ADB-AC4E-CD7D1464B82B}"/>
    <cellStyle name="Comma 29" xfId="1190" xr:uid="{EC4BB99F-63A8-4899-AC39-6C4407FF112D}"/>
    <cellStyle name="Comma 3" xfId="176" xr:uid="{00000000-0005-0000-0000-0000F9000000}"/>
    <cellStyle name="Comma 3 2" xfId="1192" xr:uid="{A49EE661-BEE4-473B-9700-1D5499DEF105}"/>
    <cellStyle name="Comma 3 3" xfId="1193" xr:uid="{0DF9808A-4D6A-4634-9CEB-E065FEBE2405}"/>
    <cellStyle name="Comma 3 3 2" xfId="1194" xr:uid="{9B77B6C1-2117-4293-A3DF-16F3066D92B1}"/>
    <cellStyle name="Comma 3 4" xfId="1191" xr:uid="{02B6AFB5-5B83-4BB2-A85C-CF1007851E99}"/>
    <cellStyle name="Comma 30" xfId="1195" xr:uid="{2A6BFE5F-BDED-4FD2-8035-8245BFFE8A96}"/>
    <cellStyle name="Comma 31" xfId="1196" xr:uid="{971650DA-6F40-4FC1-B69A-E366926FA0DA}"/>
    <cellStyle name="Comma 32" xfId="1197" xr:uid="{3BFB74EA-39D1-406E-B207-7B225344EA6B}"/>
    <cellStyle name="Comma 33" xfId="1198" xr:uid="{A74FDD34-F598-4CF8-841E-23EC884C5AB6}"/>
    <cellStyle name="Comma 34" xfId="1199" xr:uid="{7A781A14-63C9-4E75-97D8-4CA2FEE54963}"/>
    <cellStyle name="Comma 35" xfId="1200" xr:uid="{CD32AD17-24FA-497F-A40D-7B1CA5CA471B}"/>
    <cellStyle name="Comma 36" xfId="1201" xr:uid="{00C4D41D-E246-4DEB-9A51-DA3DE1C10D13}"/>
    <cellStyle name="Comma 37" xfId="1202" xr:uid="{678B7820-A76E-472B-8563-971C56E216A1}"/>
    <cellStyle name="Comma 38" xfId="1203" xr:uid="{B01FB710-8A90-45ED-89E3-969A501C4AE1}"/>
    <cellStyle name="Comma 39" xfId="1204" xr:uid="{8300141D-EB03-456B-8011-A20BB1324E2C}"/>
    <cellStyle name="Comma 4" xfId="222" xr:uid="{00000000-0005-0000-0000-0000FA000000}"/>
    <cellStyle name="Comma 4 2" xfId="1206" xr:uid="{E735E1D8-4A15-4B91-AFDD-0B77617E5195}"/>
    <cellStyle name="Comma 4 3" xfId="1207" xr:uid="{635FDFCB-1E3C-4059-8280-2D8AC616335B}"/>
    <cellStyle name="Comma 4 4" xfId="1208" xr:uid="{9A46E82D-B4BD-456C-9F8E-5051ECC36D73}"/>
    <cellStyle name="Comma 4 4 2" xfId="1209" xr:uid="{14E2004A-08A3-4724-838B-1E917FDB251D}"/>
    <cellStyle name="Comma 4 5" xfId="1210" xr:uid="{41B8D035-0E01-47A9-B205-BE23AD54A9D6}"/>
    <cellStyle name="Comma 4 6" xfId="1205" xr:uid="{8742A3C9-B8D8-4959-AEB3-6E985796953A}"/>
    <cellStyle name="Comma 40" xfId="1211" xr:uid="{FE8ED40D-34F2-4B08-A341-F21BC3F7F119}"/>
    <cellStyle name="Comma 41" xfId="1212" xr:uid="{DBCE1388-0DE0-4781-BCA1-01C820CE25AB}"/>
    <cellStyle name="Comma 42" xfId="3043" xr:uid="{912B3E8F-8527-4AB6-B24F-47DB6C340F0D}"/>
    <cellStyle name="Comma 42 2" xfId="5417" xr:uid="{6FC48A84-97D1-4661-8167-9C2E1CF2BB88}"/>
    <cellStyle name="Comma 43" xfId="3309" xr:uid="{BD579F3F-AC46-431D-A6F2-A60D0274FFB9}"/>
    <cellStyle name="Comma 43 2" xfId="5683" xr:uid="{273BDF79-C595-46BC-A5EF-4E24AA1F70D9}"/>
    <cellStyle name="Comma 44" xfId="3308" xr:uid="{C7760472-264E-4679-9986-A0C746B344D6}"/>
    <cellStyle name="Comma 44 2" xfId="5682" xr:uid="{67A9A973-1A4B-4602-8E03-A1EA77FE9180}"/>
    <cellStyle name="Comma 45" xfId="3307" xr:uid="{EB6308FD-6A76-4D2E-A403-3AFC5D6DE18C}"/>
    <cellStyle name="Comma 45 2" xfId="5681" xr:uid="{6F29F66D-887F-47F1-8704-955136A6A147}"/>
    <cellStyle name="Comma 46" xfId="3310" xr:uid="{1580F03D-FECF-4C76-B543-A70F1EFF9C40}"/>
    <cellStyle name="Comma 46 2" xfId="5684" xr:uid="{EC6614A7-A679-4C51-B811-C3ADCA51F859}"/>
    <cellStyle name="Comma 5" xfId="268" xr:uid="{00000000-0005-0000-0000-0000FB000000}"/>
    <cellStyle name="Comma 6" xfId="317" xr:uid="{00000000-0005-0000-0000-0000FC000000}"/>
    <cellStyle name="Comma 6 2" xfId="1214" xr:uid="{3D8586F0-E870-4E6E-953E-4D6B771DA682}"/>
    <cellStyle name="Comma 7" xfId="381" xr:uid="{00000000-0005-0000-0000-0000FD000000}"/>
    <cellStyle name="Comma 8" xfId="452" xr:uid="{00000000-0005-0000-0000-0000FE000000}"/>
    <cellStyle name="Comma 8 2" xfId="1215" xr:uid="{6ECA102A-4C95-4B9C-AAD1-42B9CBF72A02}"/>
    <cellStyle name="Comma 9" xfId="556" xr:uid="{00000000-0005-0000-0000-0000FF000000}"/>
    <cellStyle name="Comma 9 2" xfId="1216" xr:uid="{2F6FD71D-38D7-4472-9224-6B345E7C210C}"/>
    <cellStyle name="Currency" xfId="5685" builtinId="4"/>
    <cellStyle name="Currency 10" xfId="1217" xr:uid="{DAA7AE13-90DF-44D0-B12F-E79020C62AD4}"/>
    <cellStyle name="Currency 10 2" xfId="1218" xr:uid="{8E982539-AEF9-414F-9C7F-C0F7B9118325}"/>
    <cellStyle name="Currency 11" xfId="1219" xr:uid="{9CEFFF05-F7F9-404E-8AA8-ED0A3020E9F7}"/>
    <cellStyle name="Currency 12" xfId="1220" xr:uid="{9D3F97B5-C1EC-445C-8ACF-B67F693FA35E}"/>
    <cellStyle name="Currency 12 2" xfId="1221" xr:uid="{D810A0AA-BE08-42E9-845B-292D0CEDEB10}"/>
    <cellStyle name="Currency 12 2 2" xfId="1222" xr:uid="{B71F33A8-CC80-42BD-9F33-C977A155F1CA}"/>
    <cellStyle name="Currency 12 3" xfId="1223" xr:uid="{8912D54A-A4E4-46A0-943E-92AB09722F3B}"/>
    <cellStyle name="Currency 13" xfId="1224" xr:uid="{BF7EA303-8146-4F5E-98A5-9B72CFD30F9D}"/>
    <cellStyle name="Currency 13 2" xfId="1225" xr:uid="{B7A5358C-D27A-4A8A-8051-82D4A2123E28}"/>
    <cellStyle name="Currency 14" xfId="1226" xr:uid="{D7DE8B73-3920-4922-92A8-F69549D707B9}"/>
    <cellStyle name="Currency 14 2" xfId="1227" xr:uid="{6FC6FDE5-3C6F-4276-9FD6-F9160E9F259E}"/>
    <cellStyle name="Currency 15" xfId="1228" xr:uid="{E4F97831-B02A-478C-9958-3D7D4D92E931}"/>
    <cellStyle name="Currency 15 2" xfId="1229" xr:uid="{B5AD3F47-E18E-4AD7-8FFD-650D03CB1CDA}"/>
    <cellStyle name="Currency 16" xfId="1230" xr:uid="{34C5363A-0478-440A-914E-7634B0BF0311}"/>
    <cellStyle name="Currency 16 2" xfId="1231" xr:uid="{52EC6057-4F3A-4565-895D-1AA17F7E82B4}"/>
    <cellStyle name="Currency 17" xfId="1232" xr:uid="{C4948B3C-6E3C-4232-A36A-8EFD2689DDA6}"/>
    <cellStyle name="Currency 17 2" xfId="1233" xr:uid="{27427482-0F17-4F6A-9F68-38A3ECEFDBAC}"/>
    <cellStyle name="Currency 18" xfId="1234" xr:uid="{C89E21F9-A1BC-4756-BF1F-A01203A87CEA}"/>
    <cellStyle name="Currency 18 2" xfId="1235" xr:uid="{A8000D24-AF90-46B2-A088-48EAA7CD2CA1}"/>
    <cellStyle name="Currency 18 2 2" xfId="1236" xr:uid="{B7C81EC8-5649-450A-9DA5-461497DEBF56}"/>
    <cellStyle name="Currency 18 2 3" xfId="1237" xr:uid="{3D510FBD-DFC6-4188-BB2B-1A60C69FD0C8}"/>
    <cellStyle name="Currency 18 3" xfId="1238" xr:uid="{B53FEBF3-5B8F-4AC0-A95A-A703E245119D}"/>
    <cellStyle name="Currency 18 4" xfId="1239" xr:uid="{394EF61E-0669-4EAF-89B9-A7EAE830A0DE}"/>
    <cellStyle name="Currency 18 5" xfId="1240" xr:uid="{2406DB68-BA10-4404-AA40-34A45ACA25BC}"/>
    <cellStyle name="Currency 19" xfId="2268" xr:uid="{ABE63D88-05B9-4341-BF7F-1CE44D24387E}"/>
    <cellStyle name="Currency 19 2" xfId="4716" xr:uid="{90FED96D-88CC-4667-AE35-CA5B6729470E}"/>
    <cellStyle name="Currency 2" xfId="49" xr:uid="{00000000-0005-0000-0000-000000010000}"/>
    <cellStyle name="Currency 2 2" xfId="50" xr:uid="{00000000-0005-0000-0000-000001010000}"/>
    <cellStyle name="Currency 2 2 2" xfId="1243" xr:uid="{E201012F-DE9A-4F2F-B13C-C0342E802014}"/>
    <cellStyle name="Currency 2 2 3" xfId="1242" xr:uid="{61010E2F-D2E7-4415-9717-2684358FC8A8}"/>
    <cellStyle name="Currency 2 3" xfId="1244" xr:uid="{41FC98B7-8DD9-4D98-8108-FD1500525169}"/>
    <cellStyle name="Currency 2 4" xfId="1245" xr:uid="{279044D2-7595-43D7-AD3E-95E5EB466ACB}"/>
    <cellStyle name="Currency 2 5" xfId="1241" xr:uid="{1D662784-D386-486B-ADD7-6BE09A3A13A2}"/>
    <cellStyle name="Currency 3" xfId="51" xr:uid="{00000000-0005-0000-0000-000002010000}"/>
    <cellStyle name="Currency 3 2" xfId="52" xr:uid="{00000000-0005-0000-0000-000003010000}"/>
    <cellStyle name="Currency 3 2 2" xfId="1246" xr:uid="{FD5F7968-4EB3-4004-902F-960F1B3DA825}"/>
    <cellStyle name="Currency 3 2 3" xfId="1247" xr:uid="{BE4A63EE-C1FF-4478-9392-B7E9D11A766A}"/>
    <cellStyle name="Currency 3 2 4" xfId="1248" xr:uid="{C3357B12-7269-471A-9CCA-0BAA693FD628}"/>
    <cellStyle name="Currency 3 3" xfId="1249" xr:uid="{3088D22E-097A-438C-8945-BDC153FE649D}"/>
    <cellStyle name="Currency 3 3 2" xfId="1250" xr:uid="{79D8C32D-4775-47A7-8DAA-7AB257B26260}"/>
    <cellStyle name="Currency 3 3 3" xfId="1251" xr:uid="{98B17E30-5E64-46E2-B83B-731EA5B463ED}"/>
    <cellStyle name="Currency 3 3 3 2" xfId="1252" xr:uid="{7D28ABCF-1C3F-42C1-BB13-BA194D7F9E34}"/>
    <cellStyle name="Currency 3 3 4" xfId="1253" xr:uid="{90EFB2FC-6EA9-4327-A845-4C23ACF35325}"/>
    <cellStyle name="Currency 3 4" xfId="1254" xr:uid="{F6294732-912E-4394-8D3D-2175E3498189}"/>
    <cellStyle name="Currency 3 5" xfId="1255" xr:uid="{C8814D9A-7522-4DE7-9501-57C086FC2A9D}"/>
    <cellStyle name="Currency 3 6" xfId="1256" xr:uid="{93B0155A-FD22-4EAC-B4FE-5325557393A8}"/>
    <cellStyle name="Currency 3 7" xfId="1257" xr:uid="{0660CDC1-723B-4A56-A7C0-0B2F3780FAB0}"/>
    <cellStyle name="Currency 3 8" xfId="1258" xr:uid="{0C193B52-817F-4DA8-824C-C6EBD67B8C87}"/>
    <cellStyle name="Currency 4" xfId="53" xr:uid="{00000000-0005-0000-0000-000004010000}"/>
    <cellStyle name="Currency 4 10" xfId="1805" xr:uid="{EFAC7B31-BA33-4C73-8FC4-6E2F25534A51}"/>
    <cellStyle name="Currency 4 10 2" xfId="2643" xr:uid="{40008FDA-B230-4A5A-9919-DF3F087DE3A1}"/>
    <cellStyle name="Currency 4 10 2 2" xfId="5078" xr:uid="{EAE17EE6-371A-4E90-B79D-734C5E80B434}"/>
    <cellStyle name="Currency 4 10 3" xfId="4322" xr:uid="{A681359D-A260-4950-91B3-CB08F5CBBEE5}"/>
    <cellStyle name="Currency 4 11" xfId="2371" xr:uid="{1E4B7249-AF69-45B6-BFDF-71F9118B83E7}"/>
    <cellStyle name="Currency 4 11 2" xfId="4806" xr:uid="{1396AF91-7A7D-4C4C-9205-E06B0BB17125}"/>
    <cellStyle name="Currency 4 12" xfId="1259" xr:uid="{E7DAEBC2-444C-4ECF-A8D9-C6A2487CC9FE}"/>
    <cellStyle name="Currency 4 12 2" xfId="3934" xr:uid="{E6AB433B-AC8E-4659-A443-814442C44636}"/>
    <cellStyle name="Currency 4 2" xfId="127" xr:uid="{00000000-0005-0000-0000-000005010000}"/>
    <cellStyle name="Currency 4 3" xfId="1260" xr:uid="{F14B565A-AF7A-4132-858B-D46891E7FECE}"/>
    <cellStyle name="Currency 4 4" xfId="1261" xr:uid="{1215AFDC-EF92-4ECD-9F23-105BB59802C4}"/>
    <cellStyle name="Currency 4 4 2" xfId="1262" xr:uid="{FB3ED144-2B78-49B6-BE58-E8FE9E6E2C85}"/>
    <cellStyle name="Currency 4 5" xfId="1263" xr:uid="{87AE4AD2-7D37-434A-8ED7-C3BD0C4F0819}"/>
    <cellStyle name="Currency 4 6" xfId="1264" xr:uid="{101F1732-1CBC-41B6-BB1B-62CC7AFAB105}"/>
    <cellStyle name="Currency 4 7" xfId="1265" xr:uid="{6F1C5B3E-5D2C-4E86-AC39-2B575E05E043}"/>
    <cellStyle name="Currency 4 8" xfId="1266" xr:uid="{4C0EB38E-9942-4FF6-B106-30C41CBB584C}"/>
    <cellStyle name="Currency 4 9" xfId="1267" xr:uid="{F060286D-DAEE-4B73-81C1-C3A2159FCC7D}"/>
    <cellStyle name="Currency 4 9 2" xfId="1975" xr:uid="{65A926D2-AE05-465C-9EB7-04D01620B564}"/>
    <cellStyle name="Currency 4 9 2 2" xfId="2813" xr:uid="{6F09FFD0-C0AD-418E-AB72-EF170FF94FF7}"/>
    <cellStyle name="Currency 4 9 2 2 2" xfId="5248" xr:uid="{32D83D4E-2A24-42D8-ADE0-AF34EB0B9171}"/>
    <cellStyle name="Currency 4 9 2 3" xfId="4492" xr:uid="{CE9D2E07-C449-43B5-A0F0-BC68907BABED}"/>
    <cellStyle name="Currency 4 9 3" xfId="2372" xr:uid="{08F4D02B-4292-473D-ADC0-56ABAC607A79}"/>
    <cellStyle name="Currency 4 9 3 2" xfId="4807" xr:uid="{F3A74430-4BAA-4149-82BD-EC49BDB06A1C}"/>
    <cellStyle name="Currency 4 9 4" xfId="3935" xr:uid="{CB864C65-BC8F-4C61-86CF-A5F6EF5709F1}"/>
    <cellStyle name="Currency 5" xfId="1268" xr:uid="{900E3995-2E18-4599-9BBE-6A07BB2A64BA}"/>
    <cellStyle name="Currency 5 2" xfId="1269" xr:uid="{70B909D3-B9F5-4ACC-8172-1B8C02222110}"/>
    <cellStyle name="Currency 6" xfId="1270" xr:uid="{3F346143-F901-4DF5-AEBD-3C6F74774E30}"/>
    <cellStyle name="Currency 6 2" xfId="1271" xr:uid="{3EF08993-B2A1-4E2B-82E9-CBB25FF36B29}"/>
    <cellStyle name="Currency 7" xfId="1272" xr:uid="{1043828E-45E4-4D96-85B7-09A15AF790F3}"/>
    <cellStyle name="Currency 7 2" xfId="1273" xr:uid="{4B5EBE0C-DF62-4828-ABDC-75E3A402E8D7}"/>
    <cellStyle name="Currency 7 3" xfId="1274" xr:uid="{9A32415E-325B-4E9B-BB8B-2BA34A6EFC2B}"/>
    <cellStyle name="Currency 8" xfId="1275" xr:uid="{991D6C1F-BC65-403F-859D-AA6A4A33BE17}"/>
    <cellStyle name="Currency 8 2" xfId="1276" xr:uid="{78526ABE-6E10-41BE-A51B-06C646A28CDC}"/>
    <cellStyle name="Currency 9" xfId="1277" xr:uid="{B7EB932E-5D2A-4502-A9EC-7E4985415933}"/>
    <cellStyle name="Currency 9 2" xfId="1278" xr:uid="{04B29BBA-569C-43B6-9B15-23B6E36323C3}"/>
    <cellStyle name="Emphasis 1" xfId="54" xr:uid="{00000000-0005-0000-0000-000006010000}"/>
    <cellStyle name="Emphasis 1 2" xfId="917" xr:uid="{74CCC5F6-5282-4A82-B4C7-6996BEAA31E3}"/>
    <cellStyle name="Emphasis 1 3" xfId="1279" xr:uid="{FAB9CDBF-38DC-4B39-BEA3-4C6946A1EA52}"/>
    <cellStyle name="Emphasis 2" xfId="55" xr:uid="{00000000-0005-0000-0000-000007010000}"/>
    <cellStyle name="Emphasis 2 2" xfId="918" xr:uid="{7DF847CC-DDD8-4E36-B62A-9D6AB0C4F0F3}"/>
    <cellStyle name="Emphasis 2 3" xfId="1280" xr:uid="{216350D6-20C0-4331-87E5-99F54F3A4EE8}"/>
    <cellStyle name="Emphasis 3" xfId="56" xr:uid="{00000000-0005-0000-0000-000008010000}"/>
    <cellStyle name="Emphasis 3 2" xfId="919" xr:uid="{1D85A897-D5F1-4CF0-A272-1A8272AC77B8}"/>
    <cellStyle name="Explanatory Text" xfId="57" builtinId="53" customBuiltin="1"/>
    <cellStyle name="Explanatory Text 2" xfId="177" xr:uid="{00000000-0005-0000-0000-00000A010000}"/>
    <cellStyle name="Explanatory Text 2 2" xfId="1281" xr:uid="{6B223D25-EBF2-48C0-9D0E-7AB8CF431BC0}"/>
    <cellStyle name="Explanatory Text 3" xfId="223" xr:uid="{00000000-0005-0000-0000-00000B010000}"/>
    <cellStyle name="Explanatory Text 4" xfId="269" xr:uid="{00000000-0005-0000-0000-00000C010000}"/>
    <cellStyle name="Explanatory Text 5" xfId="318" xr:uid="{00000000-0005-0000-0000-00000D010000}"/>
    <cellStyle name="Explanatory Text 6" xfId="382" xr:uid="{00000000-0005-0000-0000-00000E010000}"/>
    <cellStyle name="Explanatory Text 7" xfId="453" xr:uid="{00000000-0005-0000-0000-00000F010000}"/>
    <cellStyle name="Explanatory Text 8" xfId="557" xr:uid="{00000000-0005-0000-0000-000010010000}"/>
    <cellStyle name="Explanatory Text 9" xfId="922" xr:uid="{D73C82E4-7EB2-44C8-8269-71A823648203}"/>
    <cellStyle name="Good" xfId="58" builtinId="26" customBuiltin="1"/>
    <cellStyle name="Good 2" xfId="178" xr:uid="{00000000-0005-0000-0000-000012010000}"/>
    <cellStyle name="Good 2 2" xfId="1283" xr:uid="{4A8C39FC-9655-4713-BCF7-A2D2E3E47EBE}"/>
    <cellStyle name="Good 2 3" xfId="1284" xr:uid="{0873EB1A-3C28-45F8-94F6-89BF6598174D}"/>
    <cellStyle name="Good 2 4" xfId="1282" xr:uid="{2795725B-B5E4-48E4-B781-9603FE581344}"/>
    <cellStyle name="Good 3" xfId="224" xr:uid="{00000000-0005-0000-0000-000013010000}"/>
    <cellStyle name="Good 4" xfId="270" xr:uid="{00000000-0005-0000-0000-000014010000}"/>
    <cellStyle name="Good 5" xfId="319" xr:uid="{00000000-0005-0000-0000-000015010000}"/>
    <cellStyle name="Good 6" xfId="383" xr:uid="{00000000-0005-0000-0000-000016010000}"/>
    <cellStyle name="Good 7" xfId="454" xr:uid="{00000000-0005-0000-0000-000017010000}"/>
    <cellStyle name="Good 8" xfId="558" xr:uid="{00000000-0005-0000-0000-000018010000}"/>
    <cellStyle name="Good 9" xfId="924" xr:uid="{B9964E3A-2E01-42E4-BFF4-480EDA461974}"/>
    <cellStyle name="Heading 1" xfId="59" builtinId="16" customBuiltin="1"/>
    <cellStyle name="Heading 1 2" xfId="179" xr:uid="{00000000-0005-0000-0000-00001A010000}"/>
    <cellStyle name="Heading 1 2 2" xfId="1286" xr:uid="{80CA7419-8821-4512-9534-636CD0DFD148}"/>
    <cellStyle name="Heading 1 2 3" xfId="1285" xr:uid="{24AC5080-E21D-47DE-A0FE-B0C982CA2A4E}"/>
    <cellStyle name="Heading 1 3" xfId="225" xr:uid="{00000000-0005-0000-0000-00001B010000}"/>
    <cellStyle name="Heading 1 4" xfId="271" xr:uid="{00000000-0005-0000-0000-00001C010000}"/>
    <cellStyle name="Heading 1 5" xfId="320" xr:uid="{00000000-0005-0000-0000-00001D010000}"/>
    <cellStyle name="Heading 1 6" xfId="384" xr:uid="{00000000-0005-0000-0000-00001E010000}"/>
    <cellStyle name="Heading 1 7" xfId="455" xr:uid="{00000000-0005-0000-0000-00001F010000}"/>
    <cellStyle name="Heading 1 8" xfId="559" xr:uid="{00000000-0005-0000-0000-000020010000}"/>
    <cellStyle name="Heading 1 9" xfId="929" xr:uid="{9F610093-5186-443C-8749-A509FA11AA3B}"/>
    <cellStyle name="Heading 2" xfId="60" builtinId="17" customBuiltin="1"/>
    <cellStyle name="Heading 2 2" xfId="180" xr:uid="{00000000-0005-0000-0000-000022010000}"/>
    <cellStyle name="Heading 2 2 2" xfId="1288" xr:uid="{55E8AC3F-397B-4AD3-8D6F-A01C23E89ACB}"/>
    <cellStyle name="Heading 2 2 3" xfId="1287" xr:uid="{77BF7205-C67F-4C68-8797-44E4BE037886}"/>
    <cellStyle name="Heading 2 3" xfId="226" xr:uid="{00000000-0005-0000-0000-000023010000}"/>
    <cellStyle name="Heading 2 4" xfId="272" xr:uid="{00000000-0005-0000-0000-000024010000}"/>
    <cellStyle name="Heading 2 5" xfId="321" xr:uid="{00000000-0005-0000-0000-000025010000}"/>
    <cellStyle name="Heading 2 6" xfId="385" xr:uid="{00000000-0005-0000-0000-000026010000}"/>
    <cellStyle name="Heading 2 7" xfId="456" xr:uid="{00000000-0005-0000-0000-000027010000}"/>
    <cellStyle name="Heading 2 8" xfId="560" xr:uid="{00000000-0005-0000-0000-000028010000}"/>
    <cellStyle name="Heading 2 9" xfId="928" xr:uid="{CAD5B6B2-30B5-42C3-9D8E-F695196BD282}"/>
    <cellStyle name="Heading 3" xfId="61" builtinId="18" customBuiltin="1"/>
    <cellStyle name="Heading 3 2" xfId="181" xr:uid="{00000000-0005-0000-0000-00002A010000}"/>
    <cellStyle name="Heading 3 2 2" xfId="1290" xr:uid="{7B3B58F5-89E5-4E55-B3E1-BC9F1B58EE84}"/>
    <cellStyle name="Heading 3 2 3" xfId="1289" xr:uid="{9D1C87DF-4008-419A-A053-3A0B71535B19}"/>
    <cellStyle name="Heading 3 3" xfId="227" xr:uid="{00000000-0005-0000-0000-00002B010000}"/>
    <cellStyle name="Heading 3 4" xfId="273" xr:uid="{00000000-0005-0000-0000-00002C010000}"/>
    <cellStyle name="Heading 3 5" xfId="322" xr:uid="{00000000-0005-0000-0000-00002D010000}"/>
    <cellStyle name="Heading 3 6" xfId="386" xr:uid="{00000000-0005-0000-0000-00002E010000}"/>
    <cellStyle name="Heading 3 7" xfId="457" xr:uid="{00000000-0005-0000-0000-00002F010000}"/>
    <cellStyle name="Heading 3 8" xfId="561" xr:uid="{00000000-0005-0000-0000-000030010000}"/>
    <cellStyle name="Heading 3 9" xfId="927" xr:uid="{D7B7C194-7642-468E-BF05-DD94E5FFFD86}"/>
    <cellStyle name="Heading 4" xfId="62" builtinId="19" customBuiltin="1"/>
    <cellStyle name="Heading 4 2" xfId="182" xr:uid="{00000000-0005-0000-0000-000032010000}"/>
    <cellStyle name="Heading 4 2 2" xfId="1292" xr:uid="{F97BD222-B504-4DBF-A7EB-EE30EB52A590}"/>
    <cellStyle name="Heading 4 2 3" xfId="1291" xr:uid="{51208659-6264-4C45-82E3-CBF262B42127}"/>
    <cellStyle name="Heading 4 3" xfId="228" xr:uid="{00000000-0005-0000-0000-000033010000}"/>
    <cellStyle name="Heading 4 4" xfId="274" xr:uid="{00000000-0005-0000-0000-000034010000}"/>
    <cellStyle name="Heading 4 5" xfId="323" xr:uid="{00000000-0005-0000-0000-000035010000}"/>
    <cellStyle name="Heading 4 6" xfId="387" xr:uid="{00000000-0005-0000-0000-000036010000}"/>
    <cellStyle name="Heading 4 7" xfId="458" xr:uid="{00000000-0005-0000-0000-000037010000}"/>
    <cellStyle name="Heading 4 8" xfId="562" xr:uid="{00000000-0005-0000-0000-000038010000}"/>
    <cellStyle name="Heading 4 9" xfId="926" xr:uid="{3C9A4483-BEDF-4D26-9C6C-EAFDA0191319}"/>
    <cellStyle name="Input" xfId="63" builtinId="20" customBuiltin="1"/>
    <cellStyle name="Input 10" xfId="3315" xr:uid="{E6465447-25A1-4A2C-A61F-A73B5226D70E}"/>
    <cellStyle name="Input 2" xfId="183" xr:uid="{00000000-0005-0000-0000-00003A010000}"/>
    <cellStyle name="Input 2 2" xfId="1294" xr:uid="{8899C54C-7999-4683-9767-B5290C6E019C}"/>
    <cellStyle name="Input 2 2 2" xfId="3227" xr:uid="{BDB2C478-9B34-4C8A-ADFC-B1E5A5D55AC0}"/>
    <cellStyle name="Input 2 2 2 2" xfId="5601" xr:uid="{F48A6FFA-F040-46D5-A69C-958F3E4BCF39}"/>
    <cellStyle name="Input 2 2 3" xfId="3261" xr:uid="{258DE233-A65E-4866-95C8-4B39CE3CE6E0}"/>
    <cellStyle name="Input 2 2 3 2" xfId="5635" xr:uid="{49247DEC-81A0-4AFF-8604-25BA076DF1B1}"/>
    <cellStyle name="Input 2 2 4" xfId="3937" xr:uid="{B7CF7B30-9854-4E9E-B13D-474859DFA9BC}"/>
    <cellStyle name="Input 2 3" xfId="3116" xr:uid="{FD47FBA9-CE1D-41D2-A32C-BE8B9CA5CDEA}"/>
    <cellStyle name="Input 2 3 2" xfId="5490" xr:uid="{AFF8A07A-5A44-43E2-B55E-0EC4FFF02B1E}"/>
    <cellStyle name="Input 2 4" xfId="3247" xr:uid="{A2FF7547-0326-44DF-B804-2B22B6369143}"/>
    <cellStyle name="Input 2 4 2" xfId="5621" xr:uid="{6650B97F-2BA4-40D8-BBA7-66F1BDA05F0E}"/>
    <cellStyle name="Input 2 5" xfId="1293" xr:uid="{4A06307E-D690-4EAE-AFEF-D1040613786B}"/>
    <cellStyle name="Input 2 5 2" xfId="3936" xr:uid="{232E22A7-24CF-40E0-8FA7-31E623DB4513}"/>
    <cellStyle name="Input 2 6" xfId="3368" xr:uid="{EC716131-382A-4935-87AA-A6F25579B005}"/>
    <cellStyle name="Input 3" xfId="229" xr:uid="{00000000-0005-0000-0000-00003B010000}"/>
    <cellStyle name="Input 3 2" xfId="3374" xr:uid="{AE7F97B4-BD48-4809-8314-83793A4FC142}"/>
    <cellStyle name="Input 4" xfId="275" xr:uid="{00000000-0005-0000-0000-00003C010000}"/>
    <cellStyle name="Input 4 2" xfId="3381" xr:uid="{C871E969-AC23-499F-8C50-BC12C872095E}"/>
    <cellStyle name="Input 5" xfId="324" xr:uid="{00000000-0005-0000-0000-00003D010000}"/>
    <cellStyle name="Input 5 2" xfId="3390" xr:uid="{FD3297FA-F033-4D2B-A1B3-5F09BA893EE0}"/>
    <cellStyle name="Input 6" xfId="388" xr:uid="{00000000-0005-0000-0000-00003E010000}"/>
    <cellStyle name="Input 6 2" xfId="3413" xr:uid="{D531B6C6-E5CD-44DE-863D-34B1ED688526}"/>
    <cellStyle name="Input 7" xfId="459" xr:uid="{00000000-0005-0000-0000-00003F010000}"/>
    <cellStyle name="Input 7 2" xfId="3444" xr:uid="{76CDDAD9-3852-4AE9-A575-4C8431ED09DB}"/>
    <cellStyle name="Input 8" xfId="563" xr:uid="{00000000-0005-0000-0000-000040010000}"/>
    <cellStyle name="Input 8 2" xfId="3502" xr:uid="{86D8372E-8718-4AD1-947A-C217E48F9F2B}"/>
    <cellStyle name="Input 9" xfId="988" xr:uid="{7979286E-28E5-4DB1-ABF0-6FC70E9297BC}"/>
    <cellStyle name="Linked Cell" xfId="64" builtinId="24" customBuiltin="1"/>
    <cellStyle name="Linked Cell 2" xfId="184" xr:uid="{00000000-0005-0000-0000-000042010000}"/>
    <cellStyle name="Linked Cell 2 2" xfId="1296" xr:uid="{4BA08E7A-2977-4113-9957-DE06136457C5}"/>
    <cellStyle name="Linked Cell 2 3" xfId="1295" xr:uid="{6A6B1FDA-6976-4637-918B-7F881145FE14}"/>
    <cellStyle name="Linked Cell 3" xfId="230" xr:uid="{00000000-0005-0000-0000-000043010000}"/>
    <cellStyle name="Linked Cell 4" xfId="276" xr:uid="{00000000-0005-0000-0000-000044010000}"/>
    <cellStyle name="Linked Cell 5" xfId="325" xr:uid="{00000000-0005-0000-0000-000045010000}"/>
    <cellStyle name="Linked Cell 6" xfId="389" xr:uid="{00000000-0005-0000-0000-000046010000}"/>
    <cellStyle name="Linked Cell 7" xfId="460" xr:uid="{00000000-0005-0000-0000-000047010000}"/>
    <cellStyle name="Linked Cell 8" xfId="564" xr:uid="{00000000-0005-0000-0000-000048010000}"/>
    <cellStyle name="Linked Cell 9" xfId="943" xr:uid="{383AA543-5FEB-4173-896E-27759E55D80C}"/>
    <cellStyle name="Neutral" xfId="65" builtinId="28" customBuiltin="1"/>
    <cellStyle name="Neutral 2" xfId="185" xr:uid="{00000000-0005-0000-0000-00004A010000}"/>
    <cellStyle name="Neutral 2 2" xfId="1298" xr:uid="{041E7A13-BE7D-4252-B8C7-7D878CF6CF55}"/>
    <cellStyle name="Neutral 2 3" xfId="1297" xr:uid="{0EBF437E-E014-4157-8CF0-AED8B99A2C3E}"/>
    <cellStyle name="Neutral 3" xfId="231" xr:uid="{00000000-0005-0000-0000-00004B010000}"/>
    <cellStyle name="Neutral 3 2" xfId="1299" xr:uid="{1A1E86A7-E928-4DDC-913D-AD9FA5604064}"/>
    <cellStyle name="Neutral 4" xfId="277" xr:uid="{00000000-0005-0000-0000-00004C010000}"/>
    <cellStyle name="Neutral 4 2" xfId="1782" xr:uid="{34CD3D16-B5E8-4A29-97B3-B49F6B1F7736}"/>
    <cellStyle name="Neutral 5" xfId="326" xr:uid="{00000000-0005-0000-0000-00004D010000}"/>
    <cellStyle name="Neutral 6" xfId="390" xr:uid="{00000000-0005-0000-0000-00004E010000}"/>
    <cellStyle name="Neutral 7" xfId="461" xr:uid="{00000000-0005-0000-0000-00004F010000}"/>
    <cellStyle name="Neutral 8" xfId="565" xr:uid="{00000000-0005-0000-0000-000050010000}"/>
    <cellStyle name="Normal" xfId="0" builtinId="0"/>
    <cellStyle name="Normal 10" xfId="289" xr:uid="{00000000-0005-0000-0000-000052010000}"/>
    <cellStyle name="Normal 10 2" xfId="342" xr:uid="{00000000-0005-0000-0000-000053010000}"/>
    <cellStyle name="Normal 10 2 2" xfId="414" xr:uid="{00000000-0005-0000-0000-000054010000}"/>
    <cellStyle name="Normal 10 2 2 2" xfId="2230" xr:uid="{896B54DE-50A3-41E4-B4A9-A30A5FB376D4}"/>
    <cellStyle name="Normal 10 2 3" xfId="522" xr:uid="{00000000-0005-0000-0000-000055010000}"/>
    <cellStyle name="Normal 10 2 3 2" xfId="2206" xr:uid="{E09CD5EF-0DF6-4392-9655-B3F949A96223}"/>
    <cellStyle name="Normal 10 2 3 2 2" xfId="4696" xr:uid="{F9B49122-6B4A-49D4-B5A4-7F463CB81620}"/>
    <cellStyle name="Normal 10 3" xfId="521" xr:uid="{00000000-0005-0000-0000-000056010000}"/>
    <cellStyle name="Normal 10 3 2" xfId="2013" xr:uid="{7745E213-0E61-4785-870B-41F75C1D3115}"/>
    <cellStyle name="Normal 10 3 2 2" xfId="2851" xr:uid="{CDBC5013-947E-4494-8351-B2197DDEE8AC}"/>
    <cellStyle name="Normal 10 3 2 2 2" xfId="5286" xr:uid="{75B0DEFB-4516-4D49-BF52-10B777CDC4AD}"/>
    <cellStyle name="Normal 10 3 2 3" xfId="4530" xr:uid="{A9FF4842-AC76-487D-AEEB-3E2BB80AC6A0}"/>
    <cellStyle name="Normal 10 3 3" xfId="2374" xr:uid="{01E57F75-D9F3-4147-879B-2E2814D110F7}"/>
    <cellStyle name="Normal 10 3 3 2" xfId="4809" xr:uid="{5A2D8414-B7CE-4F9F-B3B7-804207C82906}"/>
    <cellStyle name="Normal 10 3 4" xfId="1301" xr:uid="{9A94F352-8BBC-488B-A76F-CF622501CF8A}"/>
    <cellStyle name="Normal 10 3 4 2" xfId="3939" xr:uid="{1CE9DD88-CFFF-40F0-B863-A6DE55819839}"/>
    <cellStyle name="Normal 10 4" xfId="1843" xr:uid="{29780475-1C47-48AC-A136-AFA6477CFBAE}"/>
    <cellStyle name="Normal 10 4 2" xfId="2681" xr:uid="{14409364-0323-41CD-8558-2125D0EA9CD0}"/>
    <cellStyle name="Normal 10 4 2 2" xfId="5116" xr:uid="{1A8352C3-0C3E-4287-B7A7-5F48FD6AC87F}"/>
    <cellStyle name="Normal 10 4 3" xfId="4360" xr:uid="{FB6B6C91-28C9-4C6B-88A8-14D45CFC03B8}"/>
    <cellStyle name="Normal 10 5" xfId="2229" xr:uid="{5AF3DE03-B4A8-43C7-BA7B-F058EF16009E}"/>
    <cellStyle name="Normal 10 5 2" xfId="4706" xr:uid="{D27E4892-E433-44EC-A39D-B830423510E8}"/>
    <cellStyle name="Normal 10 6" xfId="2373" xr:uid="{3A732DCF-C5B0-4F24-8E54-3873CBFF7EB4}"/>
    <cellStyle name="Normal 10 6 2" xfId="4808" xr:uid="{D4BAF86C-2A50-4EA2-B319-30EC2C3ACEA8}"/>
    <cellStyle name="Normal 10 7" xfId="1300" xr:uid="{11FFE916-F797-4BA2-8E61-AD503BC8B58D}"/>
    <cellStyle name="Normal 10 7 2" xfId="3938" xr:uid="{328D4A4B-958B-43B7-AA99-25289E3EC550}"/>
    <cellStyle name="Normal 11" xfId="288" xr:uid="{00000000-0005-0000-0000-000057010000}"/>
    <cellStyle name="Normal 11 2" xfId="404" xr:uid="{00000000-0005-0000-0000-000058010000}"/>
    <cellStyle name="Normal 11 2 2" xfId="501" xr:uid="{00000000-0005-0000-0000-000059010000}"/>
    <cellStyle name="Normal 11 2 2 2" xfId="657" xr:uid="{00000000-0005-0000-0000-00005A010000}"/>
    <cellStyle name="Normal 11 2 2 2 2" xfId="868" xr:uid="{00000000-0005-0000-0000-00005B010000}"/>
    <cellStyle name="Normal 11 2 2 2 2 2" xfId="3800" xr:uid="{75D7499F-3A75-4544-B0AF-E8B2B4940C2E}"/>
    <cellStyle name="Normal 11 2 2 2 3" xfId="3591" xr:uid="{B36C3378-A6C2-418A-B69B-D6174FF14175}"/>
    <cellStyle name="Normal 11 2 2 3" xfId="762" xr:uid="{00000000-0005-0000-0000-00005C010000}"/>
    <cellStyle name="Normal 11 2 2 3 2" xfId="3695" xr:uid="{190049E9-F49B-435F-8A56-244C9AC2F64F}"/>
    <cellStyle name="Normal 11 2 2 4" xfId="2232" xr:uid="{B1237019-C641-42A9-AED3-1445FAECAC3F}"/>
    <cellStyle name="Normal 11 2 2 5" xfId="3481" xr:uid="{62D3EC59-F6B7-45CC-A97D-615615C34763}"/>
    <cellStyle name="Normal 11 2 3" xfId="605" xr:uid="{00000000-0005-0000-0000-00005D010000}"/>
    <cellStyle name="Normal 11 2 3 2" xfId="816" xr:uid="{00000000-0005-0000-0000-00005E010000}"/>
    <cellStyle name="Normal 11 2 3 2 2" xfId="3748" xr:uid="{6D1B7CC6-B275-467A-9D82-1D127A9A71BB}"/>
    <cellStyle name="Normal 11 2 3 3" xfId="2207" xr:uid="{BB019278-5D42-465A-A2EC-B9C667EA61E1}"/>
    <cellStyle name="Normal 11 2 3 3 2" xfId="4697" xr:uid="{9DB5D335-934D-43F7-A8A8-A60728AE17AA}"/>
    <cellStyle name="Normal 11 2 3 4" xfId="3539" xr:uid="{96489F8E-EBC9-48C1-A2D8-FF0AA30D0254}"/>
    <cellStyle name="Normal 11 2 4" xfId="710" xr:uid="{00000000-0005-0000-0000-00005F010000}"/>
    <cellStyle name="Normal 11 2 4 2" xfId="3643" xr:uid="{D36F6DEA-B9C9-4EF7-B3F8-5566CB451E6F}"/>
    <cellStyle name="Normal 11 2 5" xfId="1303" xr:uid="{536546D5-378C-4DD6-BE7F-78F86762F9EB}"/>
    <cellStyle name="Normal 11 2 6" xfId="3424" xr:uid="{CC6095AA-B25C-4BA1-A3A5-51BF8CE0736C}"/>
    <cellStyle name="Normal 11 3" xfId="475" xr:uid="{00000000-0005-0000-0000-000060010000}"/>
    <cellStyle name="Normal 11 3 2" xfId="631" xr:uid="{00000000-0005-0000-0000-000061010000}"/>
    <cellStyle name="Normal 11 3 2 2" xfId="842" xr:uid="{00000000-0005-0000-0000-000062010000}"/>
    <cellStyle name="Normal 11 3 2 2 2" xfId="3774" xr:uid="{3603CFDB-733E-41BB-BDE2-715ED9CC2039}"/>
    <cellStyle name="Normal 11 3 2 3" xfId="3565" xr:uid="{39F41154-1EF5-4247-83FA-F05BD4FB1975}"/>
    <cellStyle name="Normal 11 3 3" xfId="736" xr:uid="{00000000-0005-0000-0000-000063010000}"/>
    <cellStyle name="Normal 11 3 3 2" xfId="3669" xr:uid="{1AE8DAED-F6D0-490D-936A-2F2B666330B8}"/>
    <cellStyle name="Normal 11 3 4" xfId="1304" xr:uid="{359B6297-B3DD-403F-BDFF-8288E8BDBB3B}"/>
    <cellStyle name="Normal 11 3 5" xfId="3455" xr:uid="{8429BA1A-DA79-4D6F-8AA8-2240F89C5E99}"/>
    <cellStyle name="Normal 11 4" xfId="579" xr:uid="{00000000-0005-0000-0000-000064010000}"/>
    <cellStyle name="Normal 11 4 2" xfId="790" xr:uid="{00000000-0005-0000-0000-000065010000}"/>
    <cellStyle name="Normal 11 4 2 2" xfId="3722" xr:uid="{DD81BAD9-BC81-40E7-93E0-9A172635B669}"/>
    <cellStyle name="Normal 11 4 3" xfId="2231" xr:uid="{6BC8C81C-09D2-4FAC-BF98-12A324E869A3}"/>
    <cellStyle name="Normal 11 4 4" xfId="3513" xr:uid="{0CFF853E-6BE6-4B76-9370-16FE3EAF31E2}"/>
    <cellStyle name="Normal 11 5" xfId="684" xr:uid="{00000000-0005-0000-0000-000066010000}"/>
    <cellStyle name="Normal 11 5 2" xfId="2198" xr:uid="{C253D32C-3448-4783-ACE3-D463ADA6E348}"/>
    <cellStyle name="Normal 11 5 2 2" xfId="4689" xr:uid="{FBA028B7-207B-420E-AAB0-0A4644A299EE}"/>
    <cellStyle name="Normal 11 5 3" xfId="3617" xr:uid="{4EBC33AF-30E5-4AAD-83AD-3E20A4BF56CE}"/>
    <cellStyle name="Normal 11 6" xfId="1302" xr:uid="{75FD1AD2-165D-4662-9D50-EC185D54BE1E}"/>
    <cellStyle name="Normal 11 7" xfId="3388" xr:uid="{21F32BC0-5C99-47B7-BAFA-581DFE5B4C9A}"/>
    <cellStyle name="Normal 12" xfId="340" xr:uid="{00000000-0005-0000-0000-000067010000}"/>
    <cellStyle name="Normal 12 2" xfId="412" xr:uid="{00000000-0005-0000-0000-000068010000}"/>
    <cellStyle name="Normal 12 2 2" xfId="509" xr:uid="{00000000-0005-0000-0000-000069010000}"/>
    <cellStyle name="Normal 12 2 2 2" xfId="665" xr:uid="{00000000-0005-0000-0000-00006A010000}"/>
    <cellStyle name="Normal 12 2 2 2 2" xfId="876" xr:uid="{00000000-0005-0000-0000-00006B010000}"/>
    <cellStyle name="Normal 12 2 2 2 2 2" xfId="3808" xr:uid="{F7ACE8FD-7B8F-4543-92A1-12499C4C3945}"/>
    <cellStyle name="Normal 12 2 2 2 3" xfId="3599" xr:uid="{BC2DA3EA-783D-4928-8F56-B1BBC87B71F0}"/>
    <cellStyle name="Normal 12 2 2 3" xfId="770" xr:uid="{00000000-0005-0000-0000-00006C010000}"/>
    <cellStyle name="Normal 12 2 2 3 2" xfId="3703" xr:uid="{8FE9E8AC-84B3-4801-B4E7-FCC76E21CB7B}"/>
    <cellStyle name="Normal 12 2 2 4" xfId="2234" xr:uid="{F3DA8E82-5C98-471A-B96F-B58C3C8E1248}"/>
    <cellStyle name="Normal 12 2 2 5" xfId="3489" xr:uid="{7836C0DF-32C4-4576-BBA7-DA10FD9D8725}"/>
    <cellStyle name="Normal 12 2 3" xfId="613" xr:uid="{00000000-0005-0000-0000-00006D010000}"/>
    <cellStyle name="Normal 12 2 3 2" xfId="824" xr:uid="{00000000-0005-0000-0000-00006E010000}"/>
    <cellStyle name="Normal 12 2 3 2 2" xfId="3756" xr:uid="{9360D084-DB5E-461E-A13E-B94846422529}"/>
    <cellStyle name="Normal 12 2 3 3" xfId="2208" xr:uid="{E23C1F4A-746B-4B1A-A788-66B8069A8956}"/>
    <cellStyle name="Normal 12 2 3 3 2" xfId="4698" xr:uid="{6A7EB0F5-A26F-47A8-8159-F35A1AF07441}"/>
    <cellStyle name="Normal 12 2 3 4" xfId="3547" xr:uid="{52397E20-CC62-498A-B6A0-0826383FD46D}"/>
    <cellStyle name="Normal 12 2 4" xfId="718" xr:uid="{00000000-0005-0000-0000-00006F010000}"/>
    <cellStyle name="Normal 12 2 4 2" xfId="3651" xr:uid="{4377522F-EF4E-4F7C-A2DB-C1DE3A3981D7}"/>
    <cellStyle name="Normal 12 2 5" xfId="1306" xr:uid="{1831F7C4-12E4-497E-BF82-A1659D30E57F}"/>
    <cellStyle name="Normal 12 2 6" xfId="3432" xr:uid="{5A5B4FC4-902A-42B2-BE09-986297FC41CB}"/>
    <cellStyle name="Normal 12 3" xfId="483" xr:uid="{00000000-0005-0000-0000-000070010000}"/>
    <cellStyle name="Normal 12 3 2" xfId="639" xr:uid="{00000000-0005-0000-0000-000071010000}"/>
    <cellStyle name="Normal 12 3 2 2" xfId="850" xr:uid="{00000000-0005-0000-0000-000072010000}"/>
    <cellStyle name="Normal 12 3 2 2 2" xfId="3782" xr:uid="{9AB9E4FD-B9EE-4121-97FB-A06DB2CE4D90}"/>
    <cellStyle name="Normal 12 3 2 3" xfId="3573" xr:uid="{052AC7BC-F5F0-41CF-A08F-674687894C4A}"/>
    <cellStyle name="Normal 12 3 3" xfId="744" xr:uid="{00000000-0005-0000-0000-000073010000}"/>
    <cellStyle name="Normal 12 3 3 2" xfId="3677" xr:uid="{039E7C73-ED79-4353-9FA4-D6553ECEE392}"/>
    <cellStyle name="Normal 12 3 4" xfId="2233" xr:uid="{FAB73BD6-5809-47BF-965B-F055B397A81A}"/>
    <cellStyle name="Normal 12 3 5" xfId="3463" xr:uid="{6DFEF45A-C88E-4864-A14C-1707B09394F8}"/>
    <cellStyle name="Normal 12 4" xfId="587" xr:uid="{00000000-0005-0000-0000-000074010000}"/>
    <cellStyle name="Normal 12 4 2" xfId="798" xr:uid="{00000000-0005-0000-0000-000075010000}"/>
    <cellStyle name="Normal 12 4 2 2" xfId="3730" xr:uid="{14B719D6-31CA-4AC0-BE84-98A62209700E}"/>
    <cellStyle name="Normal 12 4 3" xfId="2199" xr:uid="{D9B9E22E-5861-4F8B-BB01-B2659081A43F}"/>
    <cellStyle name="Normal 12 4 3 2" xfId="4690" xr:uid="{79EC065E-A40D-4ADF-BC32-E2A6CA5F3279}"/>
    <cellStyle name="Normal 12 4 4" xfId="3521" xr:uid="{E6DCE664-7B81-4BB0-96D8-E556F808F949}"/>
    <cellStyle name="Normal 12 5" xfId="692" xr:uid="{00000000-0005-0000-0000-000076010000}"/>
    <cellStyle name="Normal 12 5 2" xfId="3625" xr:uid="{042D9BA5-74C5-4D1B-A502-B75DD3DF655C}"/>
    <cellStyle name="Normal 12 6" xfId="1305" xr:uid="{C4A3F2F2-7C80-4D10-83C5-3EFEE42D01C3}"/>
    <cellStyle name="Normal 12 7" xfId="3401" xr:uid="{FD615071-B053-4D27-9D79-AE7C5E91031B}"/>
    <cellStyle name="Normal 13" xfId="341" xr:uid="{00000000-0005-0000-0000-000077010000}"/>
    <cellStyle name="Normal 13 2" xfId="413" xr:uid="{00000000-0005-0000-0000-000078010000}"/>
    <cellStyle name="Normal 13 2 2" xfId="510" xr:uid="{00000000-0005-0000-0000-000079010000}"/>
    <cellStyle name="Normal 13 2 2 2" xfId="666" xr:uid="{00000000-0005-0000-0000-00007A010000}"/>
    <cellStyle name="Normal 13 2 2 2 2" xfId="877" xr:uid="{00000000-0005-0000-0000-00007B010000}"/>
    <cellStyle name="Normal 13 2 2 2 2 2" xfId="3809" xr:uid="{08671A7A-2614-4FE3-815C-6DB86F62AA90}"/>
    <cellStyle name="Normal 13 2 2 2 3" xfId="3600" xr:uid="{6B027815-F29D-4528-9D00-591E6DAB225F}"/>
    <cellStyle name="Normal 13 2 2 3" xfId="771" xr:uid="{00000000-0005-0000-0000-00007C010000}"/>
    <cellStyle name="Normal 13 2 2 3 2" xfId="3704" xr:uid="{480900A6-6E11-42DA-8995-42D40AC80A6F}"/>
    <cellStyle name="Normal 13 2 2 4" xfId="2236" xr:uid="{EBBC7A27-84C2-4C2F-9425-435EFD7E8B81}"/>
    <cellStyle name="Normal 13 2 2 5" xfId="3490" xr:uid="{054363DD-9AEE-4A48-B458-EE27B1AA6F9E}"/>
    <cellStyle name="Normal 13 2 3" xfId="614" xr:uid="{00000000-0005-0000-0000-00007D010000}"/>
    <cellStyle name="Normal 13 2 3 2" xfId="825" xr:uid="{00000000-0005-0000-0000-00007E010000}"/>
    <cellStyle name="Normal 13 2 3 2 2" xfId="3757" xr:uid="{212A62C1-91BC-4C8F-8CEF-B13677232AA8}"/>
    <cellStyle name="Normal 13 2 3 3" xfId="2209" xr:uid="{665B9D62-F24E-472E-A18C-0F64BA4CB6D0}"/>
    <cellStyle name="Normal 13 2 3 3 2" xfId="4699" xr:uid="{897C62F0-1C6D-4C62-A9B3-13F24DDCC9AC}"/>
    <cellStyle name="Normal 13 2 3 4" xfId="3548" xr:uid="{08998FEF-D1F1-4EFC-B200-EC43A4750FF9}"/>
    <cellStyle name="Normal 13 2 4" xfId="719" xr:uid="{00000000-0005-0000-0000-00007F010000}"/>
    <cellStyle name="Normal 13 2 4 2" xfId="3652" xr:uid="{DB90CBEF-23AE-44A5-80FC-B1AB38EF51CC}"/>
    <cellStyle name="Normal 13 2 5" xfId="1308" xr:uid="{A58B22DC-9888-4C88-9ECA-E0DD3B68AA00}"/>
    <cellStyle name="Normal 13 2 6" xfId="3433" xr:uid="{9DAC40AC-023F-4953-B347-53BFE505A5CA}"/>
    <cellStyle name="Normal 13 3" xfId="523" xr:uid="{00000000-0005-0000-0000-000080010000}"/>
    <cellStyle name="Normal 13 3 2" xfId="675" xr:uid="{00000000-0005-0000-0000-000081010000}"/>
    <cellStyle name="Normal 13 3 2 2" xfId="886" xr:uid="{00000000-0005-0000-0000-000082010000}"/>
    <cellStyle name="Normal 13 3 2 2 2" xfId="3818" xr:uid="{B2FBDCB7-5D37-49FC-9253-030316352042}"/>
    <cellStyle name="Normal 13 3 2 3" xfId="3609" xr:uid="{32FABA79-883D-48A7-B2DB-EADDCDFFF30C}"/>
    <cellStyle name="Normal 13 3 3" xfId="780" xr:uid="{00000000-0005-0000-0000-000083010000}"/>
    <cellStyle name="Normal 13 3 3 2" xfId="3713" xr:uid="{563BAFA8-E448-4988-9D77-6A27FBB054E0}"/>
    <cellStyle name="Normal 13 3 4" xfId="2235" xr:uid="{78B253D6-BC88-4CF8-AE7F-5ED6330192B5}"/>
    <cellStyle name="Normal 13 3 5" xfId="3499" xr:uid="{7076499B-C2F0-4E92-B55D-D00981F056EA}"/>
    <cellStyle name="Normal 13 4" xfId="484" xr:uid="{00000000-0005-0000-0000-000084010000}"/>
    <cellStyle name="Normal 13 4 2" xfId="640" xr:uid="{00000000-0005-0000-0000-000085010000}"/>
    <cellStyle name="Normal 13 4 2 2" xfId="851" xr:uid="{00000000-0005-0000-0000-000086010000}"/>
    <cellStyle name="Normal 13 4 2 2 2" xfId="3783" xr:uid="{3556B275-67DF-4571-815F-960EF9202EF7}"/>
    <cellStyle name="Normal 13 4 2 3" xfId="3574" xr:uid="{FAF93325-768C-4590-98BE-0D54BD48D814}"/>
    <cellStyle name="Normal 13 4 3" xfId="745" xr:uid="{00000000-0005-0000-0000-000087010000}"/>
    <cellStyle name="Normal 13 4 3 2" xfId="3678" xr:uid="{1FA6D115-9BE7-4B6D-B70C-18C91A04F987}"/>
    <cellStyle name="Normal 13 4 4" xfId="2200" xr:uid="{7C60ACB3-08A1-406A-AB5C-075E8198CC57}"/>
    <cellStyle name="Normal 13 4 4 2" xfId="4691" xr:uid="{C4DE25F9-CC0F-48A4-A56E-F1C0F7AE58ED}"/>
    <cellStyle name="Normal 13 4 5" xfId="3464" xr:uid="{5FA35FF7-8A6A-45AA-B59F-E5D0B0072134}"/>
    <cellStyle name="Normal 13 5" xfId="588" xr:uid="{00000000-0005-0000-0000-000088010000}"/>
    <cellStyle name="Normal 13 5 2" xfId="799" xr:uid="{00000000-0005-0000-0000-000089010000}"/>
    <cellStyle name="Normal 13 5 2 2" xfId="3731" xr:uid="{8644AD11-210A-42EF-9B5B-AF7F44B73F9C}"/>
    <cellStyle name="Normal 13 5 3" xfId="3522" xr:uid="{D0CC3A7A-A3AA-4FF0-8A96-71FEFD89F890}"/>
    <cellStyle name="Normal 13 6" xfId="693" xr:uid="{00000000-0005-0000-0000-00008A010000}"/>
    <cellStyle name="Normal 13 6 2" xfId="3626" xr:uid="{E61ABA0A-B330-4BFD-9C72-4155C0CEE475}"/>
    <cellStyle name="Normal 13 7" xfId="1307" xr:uid="{0823F6CE-9006-4667-A384-5A18B24F26C4}"/>
    <cellStyle name="Normal 13 8" xfId="3402" xr:uid="{B85AEF03-6F9D-48A1-8D81-D05BD24CDA0A}"/>
    <cellStyle name="Normal 14" xfId="350" xr:uid="{00000000-0005-0000-0000-00008B010000}"/>
    <cellStyle name="Normal 14 2" xfId="525" xr:uid="{00000000-0005-0000-0000-00008C010000}"/>
    <cellStyle name="Normal 14 2 2" xfId="2210" xr:uid="{0DD9191A-8CAB-49F9-B958-B41F80B9B104}"/>
    <cellStyle name="Normal 14 2 2 2" xfId="4700" xr:uid="{4E6C1D54-262F-4CAD-AD8B-BB6BA9031262}"/>
    <cellStyle name="Normal 14 3" xfId="2237" xr:uid="{872AA135-9884-44AC-9755-B1AFEC9A8283}"/>
    <cellStyle name="Normal 14 4" xfId="2201" xr:uid="{98C646ED-8A1A-46A3-89D7-0C10946966BA}"/>
    <cellStyle name="Normal 14 4 2" xfId="4692" xr:uid="{9EEBF99A-AE95-43FF-8905-F23CA47C230E}"/>
    <cellStyle name="Normal 15" xfId="351" xr:uid="{00000000-0005-0000-0000-00008D010000}"/>
    <cellStyle name="Normal 15 2" xfId="422" xr:uid="{00000000-0005-0000-0000-00008E010000}"/>
    <cellStyle name="Normal 15 2 2" xfId="518" xr:uid="{00000000-0005-0000-0000-00008F010000}"/>
    <cellStyle name="Normal 15 2 2 2" xfId="674" xr:uid="{00000000-0005-0000-0000-000090010000}"/>
    <cellStyle name="Normal 15 2 2 2 2" xfId="885" xr:uid="{00000000-0005-0000-0000-000091010000}"/>
    <cellStyle name="Normal 15 2 2 2 2 2" xfId="3817" xr:uid="{3C9A48A3-4420-4E39-8186-CE88FEB5476A}"/>
    <cellStyle name="Normal 15 2 2 2 3" xfId="2957" xr:uid="{E0387569-ACE5-4B09-B2B5-568300CC1555}"/>
    <cellStyle name="Normal 15 2 2 2 3 2" xfId="5392" xr:uid="{1949A3F0-89EF-4187-B028-D8F47F50D96D}"/>
    <cellStyle name="Normal 15 2 2 2 4" xfId="3608" xr:uid="{DA1CA481-F66F-4C2A-A293-5822BD6695E2}"/>
    <cellStyle name="Normal 15 2 2 3" xfId="779" xr:uid="{00000000-0005-0000-0000-000092010000}"/>
    <cellStyle name="Normal 15 2 2 3 2" xfId="3712" xr:uid="{BA996C26-CE78-4074-AF13-D7BEFDFA15B7}"/>
    <cellStyle name="Normal 15 2 2 4" xfId="2119" xr:uid="{FACAD500-77C1-497F-AA6B-1548A0E50F44}"/>
    <cellStyle name="Normal 15 2 2 4 2" xfId="4636" xr:uid="{D94930F4-9598-4046-9A56-7EE2FF8ECDB5}"/>
    <cellStyle name="Normal 15 2 2 5" xfId="3498" xr:uid="{E9594448-F445-4851-8753-3707764C88E2}"/>
    <cellStyle name="Normal 15 2 3" xfId="622" xr:uid="{00000000-0005-0000-0000-000093010000}"/>
    <cellStyle name="Normal 15 2 3 2" xfId="833" xr:uid="{00000000-0005-0000-0000-000094010000}"/>
    <cellStyle name="Normal 15 2 3 2 2" xfId="3765" xr:uid="{064CF673-2985-48A7-BC34-045482DD8BF3}"/>
    <cellStyle name="Normal 15 2 3 3" xfId="2376" xr:uid="{F6B08547-CBDB-4E30-84B3-15BCB12EF944}"/>
    <cellStyle name="Normal 15 2 3 3 2" xfId="4811" xr:uid="{F19067C9-4C98-4CD2-B02E-3A6B64ACFB1E}"/>
    <cellStyle name="Normal 15 2 3 4" xfId="3556" xr:uid="{1AC56A3A-ED37-4D3B-B0F7-94AE59ED0465}"/>
    <cellStyle name="Normal 15 2 4" xfId="727" xr:uid="{00000000-0005-0000-0000-000095010000}"/>
    <cellStyle name="Normal 15 2 4 2" xfId="3660" xr:uid="{E4423D4D-DDDC-4D47-A79E-D3834F25B2A8}"/>
    <cellStyle name="Normal 15 2 5" xfId="1310" xr:uid="{B1ACDB92-0B5B-4A74-B56B-82E695355E53}"/>
    <cellStyle name="Normal 15 2 5 2" xfId="3941" xr:uid="{E1A2D4D6-0D73-4B3A-8861-422CBF339342}"/>
    <cellStyle name="Normal 15 2 6" xfId="3441" xr:uid="{8A4A1F97-8D83-4507-B2E6-3E30FE36A56C}"/>
    <cellStyle name="Normal 15 3" xfId="492" xr:uid="{00000000-0005-0000-0000-000096010000}"/>
    <cellStyle name="Normal 15 3 2" xfId="648" xr:uid="{00000000-0005-0000-0000-000097010000}"/>
    <cellStyle name="Normal 15 3 2 2" xfId="859" xr:uid="{00000000-0005-0000-0000-000098010000}"/>
    <cellStyle name="Normal 15 3 2 2 2" xfId="3791" xr:uid="{88DBD3FF-D4F3-4F11-96C9-501CEF9F2ABA}"/>
    <cellStyle name="Normal 15 3 2 3" xfId="2787" xr:uid="{61851684-E9E0-43D1-AE13-D0AAF5A67777}"/>
    <cellStyle name="Normal 15 3 2 3 2" xfId="5222" xr:uid="{904C6574-44D4-4A08-B9E9-AD20F4CCABFF}"/>
    <cellStyle name="Normal 15 3 2 4" xfId="3582" xr:uid="{1124AB39-9A31-42EA-B2DF-C48B5A1499EB}"/>
    <cellStyle name="Normal 15 3 3" xfId="753" xr:uid="{00000000-0005-0000-0000-000099010000}"/>
    <cellStyle name="Normal 15 3 3 2" xfId="3686" xr:uid="{8D6737F4-5D31-45E5-B3B7-2CE4CC66F0DD}"/>
    <cellStyle name="Normal 15 3 4" xfId="1949" xr:uid="{E3E29C29-2977-4ADE-A2BC-351F8CE28D0D}"/>
    <cellStyle name="Normal 15 3 4 2" xfId="4466" xr:uid="{C8B32E0E-ECB0-474E-8417-86F7A927ABAE}"/>
    <cellStyle name="Normal 15 3 5" xfId="3472" xr:uid="{99CBEFD2-53AD-43E8-B61B-949E4A5210BA}"/>
    <cellStyle name="Normal 15 4" xfId="596" xr:uid="{00000000-0005-0000-0000-00009A010000}"/>
    <cellStyle name="Normal 15 4 2" xfId="807" xr:uid="{00000000-0005-0000-0000-00009B010000}"/>
    <cellStyle name="Normal 15 4 2 2" xfId="3739" xr:uid="{CB339ABD-9C13-4FE9-BAD9-FBE1222F67F5}"/>
    <cellStyle name="Normal 15 4 3" xfId="2250" xr:uid="{16D423AB-C584-47A5-8EB6-A13A83539A06}"/>
    <cellStyle name="Normal 15 4 3 2" xfId="4715" xr:uid="{1B418C50-4107-4630-8475-B15F5457E3C5}"/>
    <cellStyle name="Normal 15 4 4" xfId="3530" xr:uid="{FABDA8FA-703B-49F9-8957-3B3C759C2E43}"/>
    <cellStyle name="Normal 15 5" xfId="701" xr:uid="{00000000-0005-0000-0000-00009C010000}"/>
    <cellStyle name="Normal 15 5 2" xfId="2375" xr:uid="{D210574B-B941-466F-AE6F-1D16F5B7C128}"/>
    <cellStyle name="Normal 15 5 2 2" xfId="4810" xr:uid="{548AAD45-A45A-4530-8173-4CAB4B5447E2}"/>
    <cellStyle name="Normal 15 5 3" xfId="3634" xr:uid="{66D21796-EF58-4A27-BF1D-69A85A5F5723}"/>
    <cellStyle name="Normal 15 6" xfId="1309" xr:uid="{9269CDDA-494E-4B6C-B353-2DF34A2C7E51}"/>
    <cellStyle name="Normal 15 6 2" xfId="3940" xr:uid="{16C9D86E-4BE8-40D4-BD4D-EBB0D0399BC4}"/>
    <cellStyle name="Normal 15 7" xfId="3410" xr:uid="{F4616C54-6863-4789-A84D-A09A55AF2CCB}"/>
    <cellStyle name="Normal 16" xfId="353" xr:uid="{00000000-0005-0000-0000-00009D010000}"/>
    <cellStyle name="Normal 16 2" xfId="1312" xr:uid="{DFA8D8BF-5C62-4BD2-86D1-5A3AEBCF9724}"/>
    <cellStyle name="Normal 16 2 2" xfId="2120" xr:uid="{93CCDFDA-44FF-4039-B550-F612A566DAD0}"/>
    <cellStyle name="Normal 16 2 2 2" xfId="2958" xr:uid="{E3E4DBED-988B-4569-9AC9-430BECF5C2D2}"/>
    <cellStyle name="Normal 16 2 2 2 2" xfId="5393" xr:uid="{301BA111-A1FB-4C65-842A-4B19CE0CA061}"/>
    <cellStyle name="Normal 16 2 2 3" xfId="4637" xr:uid="{B83FEF0A-B120-4FD5-8437-59D9FDF443A3}"/>
    <cellStyle name="Normal 16 2 3" xfId="2378" xr:uid="{5F37D00A-41B4-4108-A70B-72EB3368C309}"/>
    <cellStyle name="Normal 16 2 3 2" xfId="4813" xr:uid="{52012FAC-52B7-4EB1-B70A-BD48BDD1D2E8}"/>
    <cellStyle name="Normal 16 2 4" xfId="3943" xr:uid="{1325E1E3-22BC-4586-B686-D0C8E748E1F6}"/>
    <cellStyle name="Normal 16 3" xfId="1950" xr:uid="{4C03A992-2D06-4BBB-83AB-E80333C81C71}"/>
    <cellStyle name="Normal 16 3 2" xfId="2788" xr:uid="{84112764-30AB-4764-A843-B48178873FFF}"/>
    <cellStyle name="Normal 16 3 2 2" xfId="5223" xr:uid="{48914835-A031-47B6-94E2-019989BED433}"/>
    <cellStyle name="Normal 16 3 3" xfId="4467" xr:uid="{92A9540D-7EF8-4281-B719-286311C352D8}"/>
    <cellStyle name="Normal 16 4" xfId="2377" xr:uid="{D44DFBB8-C2DF-4C80-95C7-AA091B75CCA1}"/>
    <cellStyle name="Normal 16 4 2" xfId="4812" xr:uid="{C387E5CA-6381-4973-9B99-2A597AD7F875}"/>
    <cellStyle name="Normal 16 5" xfId="1311" xr:uid="{D79D8932-4180-4FAF-BF13-F3546DA2C8DC}"/>
    <cellStyle name="Normal 16 5 2" xfId="3942" xr:uid="{5F2F03AC-5737-483F-A138-F44999ABEB8B}"/>
    <cellStyle name="Normal 165" xfId="2284" xr:uid="{B8C1ABD9-4EDC-4849-8C1E-1B841AA9516A}"/>
    <cellStyle name="Normal 165 2" xfId="4719" xr:uid="{2134C2C3-4CB6-423A-BFFB-02204DC26EA3}"/>
    <cellStyle name="Normal 168" xfId="2285" xr:uid="{9DB8BC59-033A-4D3A-9793-1A40E8FD21A2}"/>
    <cellStyle name="Normal 168 2" xfId="4720" xr:uid="{534BEE7F-B2C4-4497-A789-98A9EEF4EF2D}"/>
    <cellStyle name="Normal 17" xfId="352" xr:uid="{00000000-0005-0000-0000-00009E010000}"/>
    <cellStyle name="Normal 17 2" xfId="493" xr:uid="{00000000-0005-0000-0000-00009F010000}"/>
    <cellStyle name="Normal 17 2 2" xfId="649" xr:uid="{00000000-0005-0000-0000-0000A0010000}"/>
    <cellStyle name="Normal 17 2 2 2" xfId="860" xr:uid="{00000000-0005-0000-0000-0000A1010000}"/>
    <cellStyle name="Normal 17 2 2 2 2" xfId="2959" xr:uid="{9F0A78E4-A6B7-41BC-B452-BBD502102970}"/>
    <cellStyle name="Normal 17 2 2 2 2 2" xfId="5394" xr:uid="{E89BF2BB-2BB7-4BE3-8741-B3545ABA1E75}"/>
    <cellStyle name="Normal 17 2 2 2 3" xfId="3792" xr:uid="{0B247C12-EEF4-40E2-9DA0-4E52B6C7D5D6}"/>
    <cellStyle name="Normal 17 2 2 3" xfId="2121" xr:uid="{33AA9152-B9EF-4F9C-9878-D7635051E323}"/>
    <cellStyle name="Normal 17 2 2 3 2" xfId="4638" xr:uid="{49E5FC20-3E4F-4D2C-BF07-7FBAEDC66B4B}"/>
    <cellStyle name="Normal 17 2 2 4" xfId="3583" xr:uid="{98F663D0-0EDB-4BF2-8992-4C3EE52F2D45}"/>
    <cellStyle name="Normal 17 2 3" xfId="754" xr:uid="{00000000-0005-0000-0000-0000A2010000}"/>
    <cellStyle name="Normal 17 2 3 2" xfId="2380" xr:uid="{69B432DD-A864-45EC-A6B7-D1DFA71D9ADF}"/>
    <cellStyle name="Normal 17 2 3 2 2" xfId="4815" xr:uid="{E92DFAAD-6FB1-4B25-BBD0-E565F09F740B}"/>
    <cellStyle name="Normal 17 2 3 3" xfId="3687" xr:uid="{65E19AF4-7EAD-4AFF-BD09-BCB5F2A84B7D}"/>
    <cellStyle name="Normal 17 2 4" xfId="1314" xr:uid="{D6A1770A-5520-4769-A95B-CF920564037F}"/>
    <cellStyle name="Normal 17 2 4 2" xfId="3945" xr:uid="{B30DF4DD-E61F-4F46-AD4A-701CF3197806}"/>
    <cellStyle name="Normal 17 2 5" xfId="3473" xr:uid="{E689616D-EB36-4967-9328-8C3D5BF58832}"/>
    <cellStyle name="Normal 17 3" xfId="597" xr:uid="{00000000-0005-0000-0000-0000A3010000}"/>
    <cellStyle name="Normal 17 3 2" xfId="808" xr:uid="{00000000-0005-0000-0000-0000A4010000}"/>
    <cellStyle name="Normal 17 3 2 2" xfId="2789" xr:uid="{9C97885F-EC3A-460F-B574-D10D4676B590}"/>
    <cellStyle name="Normal 17 3 2 2 2" xfId="5224" xr:uid="{9213338B-E9D8-402C-8394-91539927DAF2}"/>
    <cellStyle name="Normal 17 3 2 3" xfId="3740" xr:uid="{843409E5-BD94-43AB-94FD-FD70A9CB58BA}"/>
    <cellStyle name="Normal 17 3 3" xfId="1951" xr:uid="{0C529913-0AD0-4082-85CE-C6EC05C7D33D}"/>
    <cellStyle name="Normal 17 3 3 2" xfId="4468" xr:uid="{E5F50EF6-576F-490C-9E52-FCA892E80892}"/>
    <cellStyle name="Normal 17 3 4" xfId="3531" xr:uid="{A2561A19-115F-4A09-A21B-F409147989A5}"/>
    <cellStyle name="Normal 17 4" xfId="702" xr:uid="{00000000-0005-0000-0000-0000A5010000}"/>
    <cellStyle name="Normal 17 4 2" xfId="2379" xr:uid="{9C27CD71-70FB-4874-BE7D-383D249388BC}"/>
    <cellStyle name="Normal 17 4 2 2" xfId="4814" xr:uid="{E2C23106-CB8B-47DE-9F42-BBE8EF6A81CF}"/>
    <cellStyle name="Normal 17 4 3" xfId="3635" xr:uid="{F6BB82E0-06CD-4AF4-B85F-24ABEC3DD4E4}"/>
    <cellStyle name="Normal 17 5" xfId="1313" xr:uid="{2A8E8EB0-E351-41B4-B3ED-A9DE8ED5AFA5}"/>
    <cellStyle name="Normal 17 5 2" xfId="3944" xr:uid="{4492F707-6149-495F-8FC5-1CC1B98899F0}"/>
    <cellStyle name="Normal 17 6" xfId="3411" xr:uid="{AE8665FB-3ECC-452F-99C0-925F19291047}"/>
    <cellStyle name="Normal 18" xfId="424" xr:uid="{00000000-0005-0000-0000-0000A6010000}"/>
    <cellStyle name="Normal 18 2" xfId="1316" xr:uid="{4E4E855A-839A-40B7-83B5-F79856333CF8}"/>
    <cellStyle name="Normal 18 2 2" xfId="2122" xr:uid="{2AB32E39-A36A-4158-BD78-8BEC7CC3BB52}"/>
    <cellStyle name="Normal 18 2 2 2" xfId="2960" xr:uid="{15FF26EA-A3EA-4A5E-A814-55B796E72485}"/>
    <cellStyle name="Normal 18 2 2 2 2" xfId="5395" xr:uid="{62EB448F-7669-43C7-B848-B14FF15C6D83}"/>
    <cellStyle name="Normal 18 2 2 3" xfId="4639" xr:uid="{DB8D48F2-F732-4A51-94C2-E4257405C49B}"/>
    <cellStyle name="Normal 18 2 3" xfId="2382" xr:uid="{D74C2703-BCB4-424E-BFD4-4FFEED7732C1}"/>
    <cellStyle name="Normal 18 2 3 2" xfId="4817" xr:uid="{8CDE6BB5-FAAA-4826-917C-A9FB6F2F484B}"/>
    <cellStyle name="Normal 18 2 4" xfId="3947" xr:uid="{3865105E-4B9F-442A-BFEA-CC768221EC36}"/>
    <cellStyle name="Normal 18 3" xfId="1952" xr:uid="{6DDD70DF-9106-4F18-A395-3CDB68AAFC87}"/>
    <cellStyle name="Normal 18 3 2" xfId="2790" xr:uid="{1E990523-948E-4826-A0B1-8C611AB2E1FA}"/>
    <cellStyle name="Normal 18 3 2 2" xfId="5225" xr:uid="{19F911FF-7B1E-4206-9923-501D2DC3D2BD}"/>
    <cellStyle name="Normal 18 3 3" xfId="4469" xr:uid="{71EE2AB4-D8B7-4AA9-8303-3C951411F098}"/>
    <cellStyle name="Normal 18 4" xfId="2381" xr:uid="{2968BD70-1B29-40B6-8420-4CEDE7353D2B}"/>
    <cellStyle name="Normal 18 4 2" xfId="4816" xr:uid="{90B915B3-376C-481E-9934-822AE79BB255}"/>
    <cellStyle name="Normal 18 5" xfId="1315" xr:uid="{D3D87B67-D586-4984-96D1-48DD869CFCA4}"/>
    <cellStyle name="Normal 18 5 2" xfId="3946" xr:uid="{60E91AA6-D683-499E-A395-9A733B36681F}"/>
    <cellStyle name="Normal 19" xfId="519" xr:uid="{00000000-0005-0000-0000-0000A7010000}"/>
    <cellStyle name="Normal 19 2" xfId="1318" xr:uid="{381D507A-19EF-4A23-B78E-9433E68C2593}"/>
    <cellStyle name="Normal 19 2 2" xfId="2123" xr:uid="{FFECB7BB-8345-4B40-A374-AB42B8027EC4}"/>
    <cellStyle name="Normal 19 2 2 2" xfId="2961" xr:uid="{9A23A2E2-EA8C-47F8-A588-BE9DA63B851B}"/>
    <cellStyle name="Normal 19 2 2 2 2" xfId="5396" xr:uid="{B91DC0D4-B0F5-4A71-8EE2-7375C2FE2063}"/>
    <cellStyle name="Normal 19 2 2 3" xfId="4640" xr:uid="{2EF54178-05F6-42D5-B318-B46E8CD9966C}"/>
    <cellStyle name="Normal 19 2 3" xfId="2384" xr:uid="{CD542455-9614-4416-9C89-CC59F53D741A}"/>
    <cellStyle name="Normal 19 2 3 2" xfId="4819" xr:uid="{6B4E1648-CC67-40FE-A7F6-6A0126F1B637}"/>
    <cellStyle name="Normal 19 2 4" xfId="3949" xr:uid="{54E37618-FFC8-4D3D-A672-C9ADA5244711}"/>
    <cellStyle name="Normal 19 3" xfId="1953" xr:uid="{BA1D3E27-1356-44FA-AC9F-02773BD89958}"/>
    <cellStyle name="Normal 19 3 2" xfId="2791" xr:uid="{31CC1185-EAB4-4382-BD43-BC7F204D14B4}"/>
    <cellStyle name="Normal 19 3 2 2" xfId="5226" xr:uid="{83F6BB47-C23D-4A89-9AE1-53AB9DAF5D41}"/>
    <cellStyle name="Normal 19 3 3" xfId="4470" xr:uid="{1D98A2D9-011B-4A14-968E-8C4BB40F2797}"/>
    <cellStyle name="Normal 19 4" xfId="2383" xr:uid="{6A27CE8B-B996-4E34-AFCC-FB006C92EFC9}"/>
    <cellStyle name="Normal 19 4 2" xfId="4818" xr:uid="{5963CBD8-A5E6-4F0A-9CF2-88D23B3A16BC}"/>
    <cellStyle name="Normal 19 5" xfId="1317" xr:uid="{227A798D-C2BB-45E1-A183-962A3DAA4356}"/>
    <cellStyle name="Normal 19 5 2" xfId="3948" xr:uid="{DFA1CC99-7CAF-48D8-A55A-9A33064157AF}"/>
    <cellStyle name="Normal 2" xfId="66" xr:uid="{00000000-0005-0000-0000-0000A8010000}"/>
    <cellStyle name="Normal 2 10" xfId="1319" xr:uid="{D7D68F55-FC51-430F-A580-C3BB851B020A}"/>
    <cellStyle name="Normal 2 10 10 2" xfId="1320" xr:uid="{CAA4247B-2796-4BC2-BEBD-71D4D484C625}"/>
    <cellStyle name="Normal 2 11" xfId="1321" xr:uid="{9B9B63FE-993B-46FD-A281-450E73FF9B22}"/>
    <cellStyle name="Normal 2 11 2" xfId="1322" xr:uid="{21A96976-0428-4133-BA8F-127400EC8AEB}"/>
    <cellStyle name="Normal 2 11 2 2" xfId="2014" xr:uid="{7DD836DA-F140-4191-8FD1-9187B091B746}"/>
    <cellStyle name="Normal 2 11 2 2 2" xfId="2852" xr:uid="{1914154A-C586-4879-AEC8-05438BD915D8}"/>
    <cellStyle name="Normal 2 11 2 2 2 2" xfId="5287" xr:uid="{43ED6F18-F275-4B46-BEC5-76715AB7894B}"/>
    <cellStyle name="Normal 2 11 2 2 3" xfId="4531" xr:uid="{40B6A095-6515-4E5F-8AED-5AD04080B85E}"/>
    <cellStyle name="Normal 2 11 2 3" xfId="2386" xr:uid="{66ACB7DF-CF30-4668-88BF-408516A9A742}"/>
    <cellStyle name="Normal 2 11 2 3 2" xfId="4821" xr:uid="{A99BD8FD-E760-416E-9CD7-A66F6E8F7FAA}"/>
    <cellStyle name="Normal 2 11 2 4" xfId="3951" xr:uid="{0E567452-956A-4904-AFF8-550956D8BA52}"/>
    <cellStyle name="Normal 2 11 3" xfId="1844" xr:uid="{783999FE-24AD-42C4-9760-46E8091D4CD2}"/>
    <cellStyle name="Normal 2 11 3 2" xfId="2682" xr:uid="{9E8F8C7D-DE58-4371-AB40-92ABC3D5F7E4}"/>
    <cellStyle name="Normal 2 11 3 2 2" xfId="5117" xr:uid="{C52970B8-6F52-4CD1-86F4-F0DC5B0A2ACA}"/>
    <cellStyle name="Normal 2 11 3 3" xfId="4361" xr:uid="{106F619A-3B1B-4CD8-A917-CEBA823ACC97}"/>
    <cellStyle name="Normal 2 11 4" xfId="2385" xr:uid="{A7EAE794-DD64-4738-BA0D-3AEA1FAA70F9}"/>
    <cellStyle name="Normal 2 11 4 2" xfId="4820" xr:uid="{EFC0544F-EA8E-45E9-B391-74BEBDD6948A}"/>
    <cellStyle name="Normal 2 11 5" xfId="3950" xr:uid="{8992F2A1-5AF2-4A44-AC30-A41621146585}"/>
    <cellStyle name="Normal 2 2" xfId="520" xr:uid="{00000000-0005-0000-0000-0000A9010000}"/>
    <cellStyle name="Normal 2 2 2" xfId="1324" xr:uid="{440E61A6-D114-4498-8A62-FE4743CBC8CC}"/>
    <cellStyle name="Normal 2 2 2 2" xfId="1325" xr:uid="{8E056E6E-D4E3-4CBC-9272-2E3638B23D98}"/>
    <cellStyle name="Normal 2 2 2 2 2" xfId="1326" xr:uid="{69770E35-0877-49B9-81D8-2A032C2E79F8}"/>
    <cellStyle name="Normal 2 2 2 3" xfId="1327" xr:uid="{E51CD154-6EA8-4068-BA14-9F71DF347268}"/>
    <cellStyle name="Normal 2 2 2 4" xfId="1328" xr:uid="{DD1D02F3-CE0E-4B20-B3AE-563F45FFE7BF}"/>
    <cellStyle name="Normal 2 2 3" xfId="1329" xr:uid="{FC0B84B6-4649-46FC-85E3-C5F88C587510}"/>
    <cellStyle name="Normal 2 2 3 2" xfId="1330" xr:uid="{82ADC68B-C7AC-41C0-B429-D13DD9B8F563}"/>
    <cellStyle name="Normal 2 2 4" xfId="1331" xr:uid="{328300A0-5858-4DC5-B96F-958B287F1411}"/>
    <cellStyle name="Normal 2 2 5" xfId="1332" xr:uid="{42817161-C1BC-4B90-8F30-FAE9A81E16B9}"/>
    <cellStyle name="Normal 2 2 6" xfId="1323" xr:uid="{854D27E5-8DF0-418E-A52C-84028AF27982}"/>
    <cellStyle name="Normal 2 2_Incentive Updates" xfId="1333" xr:uid="{D7F518FA-12C8-44A8-A0E3-95BDAB53B643}"/>
    <cellStyle name="Normal 2 3" xfId="1334" xr:uid="{7571AE75-88E3-45DC-9CB3-5D72C835B3FF}"/>
    <cellStyle name="Normal 2 3 2" xfId="1335" xr:uid="{460C43DB-14EB-4636-9CF7-B7CDD97613A2}"/>
    <cellStyle name="Normal 2 4" xfId="1336" xr:uid="{3FBC9465-6E81-437F-907C-C44600243516}"/>
    <cellStyle name="Normal 2 4 2" xfId="1337" xr:uid="{FC69AB2D-2BFC-426B-9C87-BE5D4C8EDE56}"/>
    <cellStyle name="Normal 2 4 2 2" xfId="1338" xr:uid="{0072D93B-8B64-401C-9042-1127612E5758}"/>
    <cellStyle name="Normal 2 4 2 3" xfId="1339" xr:uid="{6DA3253F-651A-4AEF-9F3A-B004103C0ADD}"/>
    <cellStyle name="Normal 2 4 3" xfId="1340" xr:uid="{AC6B05D2-7196-404C-B643-1D3842063C9F}"/>
    <cellStyle name="Normal 2 5" xfId="1341" xr:uid="{54483A6D-6E48-422A-82BA-DD43A805E484}"/>
    <cellStyle name="Normal 2 6" xfId="1342" xr:uid="{B75F88DA-7D73-40CB-931B-3F82F4A295C8}"/>
    <cellStyle name="Normal 2 6 2" xfId="1343" xr:uid="{F22FFACB-72AA-476A-A68C-1FBFCFA15FCE}"/>
    <cellStyle name="Normal 2 7" xfId="1344" xr:uid="{F601867D-D49F-4AF5-BBED-2FBFC122E281}"/>
    <cellStyle name="Normal 2 7 2" xfId="1345" xr:uid="{CDF51051-7ED9-4527-A22E-0218C78A7C2E}"/>
    <cellStyle name="Normal 2 8" xfId="1346" xr:uid="{44212F5D-36BF-4DBC-AC3D-6F9196A9064F}"/>
    <cellStyle name="Normal 2 8 2" xfId="1347" xr:uid="{73CE16AF-8A7E-48D9-96C7-8C8DDE94F756}"/>
    <cellStyle name="Normal 2 9" xfId="1348" xr:uid="{6187A4AB-9843-4B4D-9CF4-041BFEC6CC28}"/>
    <cellStyle name="Normal 2_Incentive Updates" xfId="1349" xr:uid="{DF0D565E-D57C-412A-9FC4-D85F77571D78}"/>
    <cellStyle name="Normal 20" xfId="423" xr:uid="{00000000-0005-0000-0000-0000AA010000}"/>
    <cellStyle name="Normal 20 2" xfId="623" xr:uid="{00000000-0005-0000-0000-0000AB010000}"/>
    <cellStyle name="Normal 20 2 2" xfId="834" xr:uid="{00000000-0005-0000-0000-0000AC010000}"/>
    <cellStyle name="Normal 20 2 2 2" xfId="2962" xr:uid="{028CA2B7-A0E8-470B-BCEC-462FEE0979BB}"/>
    <cellStyle name="Normal 20 2 2 2 2" xfId="5397" xr:uid="{3DC3652D-B002-4353-BA6D-A2399D8FDE87}"/>
    <cellStyle name="Normal 20 2 2 3" xfId="2124" xr:uid="{169EB7EC-60EA-4449-8AAA-2BBA501DFD3C}"/>
    <cellStyle name="Normal 20 2 2 3 2" xfId="4641" xr:uid="{24AD87CB-CA1C-4127-BF94-7EEE0EB31DB0}"/>
    <cellStyle name="Normal 20 2 2 4" xfId="3766" xr:uid="{66E25F9E-5BEE-4F15-9528-5C77E952B8CE}"/>
    <cellStyle name="Normal 20 2 3" xfId="2388" xr:uid="{BB414916-797E-4DA0-B6E5-C48AF6F117D0}"/>
    <cellStyle name="Normal 20 2 3 2" xfId="4823" xr:uid="{2C04255B-0D5D-468A-8E96-064841BBB988}"/>
    <cellStyle name="Normal 20 2 4" xfId="1351" xr:uid="{38BAB4FA-DBFB-4A24-AC7F-71CFFD4EB269}"/>
    <cellStyle name="Normal 20 2 4 2" xfId="3953" xr:uid="{A59EE2CE-B76B-4452-BF23-7BD22CDAE0DC}"/>
    <cellStyle name="Normal 20 2 5" xfId="3557" xr:uid="{C10EAF16-4439-4F1E-A07D-176A43248214}"/>
    <cellStyle name="Normal 20 3" xfId="728" xr:uid="{00000000-0005-0000-0000-0000AD010000}"/>
    <cellStyle name="Normal 20 3 2" xfId="2792" xr:uid="{2289E143-5F1A-4D0E-9750-2160A421F150}"/>
    <cellStyle name="Normal 20 3 2 2" xfId="5227" xr:uid="{622881A6-6084-47E5-ADAF-8E2A8A089ED7}"/>
    <cellStyle name="Normal 20 3 3" xfId="1954" xr:uid="{72E24B07-FEC6-44DF-B30C-C6B1BF7B9765}"/>
    <cellStyle name="Normal 20 3 3 2" xfId="4471" xr:uid="{AA833831-B161-4D11-9B3C-E4953D11C5C2}"/>
    <cellStyle name="Normal 20 3 4" xfId="3661" xr:uid="{57286AE5-4C27-4B56-AF7C-94FA56B78C12}"/>
    <cellStyle name="Normal 20 4" xfId="2387" xr:uid="{D696C344-F064-451F-854E-ADBEC68ED8D4}"/>
    <cellStyle name="Normal 20 4 2" xfId="4822" xr:uid="{6B67119D-22CA-456B-B4B0-00FE7F75F049}"/>
    <cellStyle name="Normal 20 5" xfId="1350" xr:uid="{80F78A6F-7B63-4875-ABA9-ABF5ABAFA689}"/>
    <cellStyle name="Normal 20 5 2" xfId="3952" xr:uid="{065DBBD5-52F9-47E2-9CF3-956D7D0B107A}"/>
    <cellStyle name="Normal 20 6" xfId="3442" xr:uid="{4D0618BF-5EFA-4225-89B1-BD0372D48FDF}"/>
    <cellStyle name="Normal 206" xfId="3042" xr:uid="{53B73A54-29E0-42DD-9F71-0FA14AE14D91}"/>
    <cellStyle name="Normal 21" xfId="528" xr:uid="{00000000-0005-0000-0000-0000AE010000}"/>
    <cellStyle name="Normal 21 2" xfId="782" xr:uid="{00000000-0005-0000-0000-0000AF010000}"/>
    <cellStyle name="Normal 21 2 2" xfId="2125" xr:uid="{9DEEC1D2-5936-4006-AF1F-686B5651DD4F}"/>
    <cellStyle name="Normal 21 2 2 2" xfId="2963" xr:uid="{358C2762-F0D1-45DF-B49E-717DCEEFAEEC}"/>
    <cellStyle name="Normal 21 2 2 2 2" xfId="5398" xr:uid="{C2D4B118-C01F-4CEC-B9D7-26C04167F36D}"/>
    <cellStyle name="Normal 21 2 2 3" xfId="4642" xr:uid="{432C66DD-4C07-4DA9-8622-B122701246FE}"/>
    <cellStyle name="Normal 21 2 3" xfId="2390" xr:uid="{91CE1401-BE1F-45BF-A152-56FA5AFA48C7}"/>
    <cellStyle name="Normal 21 2 3 2" xfId="4825" xr:uid="{D413519D-DFA1-49B1-889C-8524820492A3}"/>
    <cellStyle name="Normal 21 2 4" xfId="1353" xr:uid="{7DD5D63B-E42A-45A2-8B1F-BFD010A2AFCD}"/>
    <cellStyle name="Normal 21 2 4 2" xfId="3955" xr:uid="{85AA1B57-890C-45CA-9278-CFA9236E8CED}"/>
    <cellStyle name="Normal 21 3" xfId="1955" xr:uid="{600D905C-D79A-48BF-97C0-7952719E8ECF}"/>
    <cellStyle name="Normal 21 3 2" xfId="2793" xr:uid="{64CB2E86-D41C-4B35-93AE-3ABD982EEEFE}"/>
    <cellStyle name="Normal 21 3 2 2" xfId="5228" xr:uid="{F2845472-DEAD-4F30-9D7D-5BD71B1A8D65}"/>
    <cellStyle name="Normal 21 3 3" xfId="4472" xr:uid="{9DBFDA4B-667A-4D05-9B5A-7850B69D7BC7}"/>
    <cellStyle name="Normal 21 4" xfId="2389" xr:uid="{1A457300-7421-4804-8D1C-D2C75AD26C19}"/>
    <cellStyle name="Normal 21 4 2" xfId="4824" xr:uid="{DF6C1792-2487-4802-AC84-020612F0C991}"/>
    <cellStyle name="Normal 21 5" xfId="1352" xr:uid="{C4E9EFBD-D3E7-4156-986A-830FD7DEB25D}"/>
    <cellStyle name="Normal 21 5 2" xfId="3954" xr:uid="{929CDAFB-7288-4D86-8E48-C31D084C434A}"/>
    <cellStyle name="Normal 22" xfId="676" xr:uid="{00000000-0005-0000-0000-0000B0010000}"/>
    <cellStyle name="Normal 22 2" xfId="887" xr:uid="{00000000-0005-0000-0000-0000B1010000}"/>
    <cellStyle name="Normal 22 2 2" xfId="2126" xr:uid="{94C050F5-A7B2-4C5E-86F8-E082A86A7FF2}"/>
    <cellStyle name="Normal 22 2 2 2" xfId="2964" xr:uid="{366B61FB-10FC-4B99-A0A9-E268DEB3DFD9}"/>
    <cellStyle name="Normal 22 2 2 2 2" xfId="5399" xr:uid="{E7A329D6-691C-4343-A9B2-286D6787B43C}"/>
    <cellStyle name="Normal 22 2 2 3" xfId="4643" xr:uid="{251CA35B-8CF2-4023-A071-601F50829A79}"/>
    <cellStyle name="Normal 22 2 3" xfId="2392" xr:uid="{E83A219D-4400-493C-8A05-E344A27580D9}"/>
    <cellStyle name="Normal 22 2 3 2" xfId="4827" xr:uid="{9D8743E9-12F0-4087-9382-923E72E329F8}"/>
    <cellStyle name="Normal 22 2 4" xfId="1355" xr:uid="{CAE9DF9A-0F53-4FD4-87E4-9FEBF4FCC933}"/>
    <cellStyle name="Normal 22 2 4 2" xfId="3957" xr:uid="{015B48EE-0DD1-4E4E-9D2F-B54BB0C62D82}"/>
    <cellStyle name="Normal 22 3" xfId="1956" xr:uid="{0A17F3A3-886B-42F6-A667-28C933F3176F}"/>
    <cellStyle name="Normal 22 3 2" xfId="2794" xr:uid="{A042C05D-6080-40D8-8BDB-AA3C083E144C}"/>
    <cellStyle name="Normal 22 3 2 2" xfId="5229" xr:uid="{9A48BDCC-470D-4B03-8493-3E58673D38BC}"/>
    <cellStyle name="Normal 22 3 3" xfId="4473" xr:uid="{B54FC859-A40E-47E7-BBED-5379690DB0DF}"/>
    <cellStyle name="Normal 22 4" xfId="2391" xr:uid="{8172BACF-4EBF-49DD-96A1-E3EF1FCD0A27}"/>
    <cellStyle name="Normal 22 4 2" xfId="4826" xr:uid="{298D82FD-E34C-4399-875C-086DB8786173}"/>
    <cellStyle name="Normal 22 5" xfId="1354" xr:uid="{7A2D3203-3B34-4E82-B9B3-C79CBECC613C}"/>
    <cellStyle name="Normal 22 5 2" xfId="3956" xr:uid="{524D7972-82A3-4DA5-96A6-5376C9C58D5C}"/>
    <cellStyle name="Normal 23" xfId="527" xr:uid="{00000000-0005-0000-0000-0000B2010000}"/>
    <cellStyle name="Normal 23 2" xfId="781" xr:uid="{00000000-0005-0000-0000-0000B3010000}"/>
    <cellStyle name="Normal 23 2 2" xfId="2127" xr:uid="{CE90156C-2C95-473B-A346-CEA87CF8F849}"/>
    <cellStyle name="Normal 23 2 2 2" xfId="2965" xr:uid="{BD159E88-6725-4195-B34A-8689FF04DB23}"/>
    <cellStyle name="Normal 23 2 2 2 2" xfId="5400" xr:uid="{AB5EF205-8DA9-45E1-8163-7F04988F3972}"/>
    <cellStyle name="Normal 23 2 2 3" xfId="4644" xr:uid="{43EFF616-7460-4FB4-9DD9-D5325474BE3E}"/>
    <cellStyle name="Normal 23 2 3" xfId="2394" xr:uid="{05B91AC1-61A5-4480-8FF3-DA4F87F269A4}"/>
    <cellStyle name="Normal 23 2 3 2" xfId="4829" xr:uid="{126CD790-CCA4-4B31-9D5C-CFBE05800D10}"/>
    <cellStyle name="Normal 23 2 4" xfId="1357" xr:uid="{9C686519-B3CD-43C4-9470-B4BE992CA98E}"/>
    <cellStyle name="Normal 23 2 4 2" xfId="3959" xr:uid="{E6647A56-A34A-4376-8141-73DBCA9B1101}"/>
    <cellStyle name="Normal 23 2 5" xfId="3714" xr:uid="{F3F96F2E-758B-4C79-B5F0-3081F1A8115E}"/>
    <cellStyle name="Normal 23 3" xfId="1957" xr:uid="{3EAB5E34-AC6D-4489-9CC0-584BBC157D23}"/>
    <cellStyle name="Normal 23 3 2" xfId="2795" xr:uid="{25292699-2F30-4E41-9A4B-AF7181E133EF}"/>
    <cellStyle name="Normal 23 3 2 2" xfId="5230" xr:uid="{ADE08D11-4937-4733-92A3-2A7760221EB7}"/>
    <cellStyle name="Normal 23 3 3" xfId="4474" xr:uid="{93A61AAC-24B5-4832-9F53-A9ED99038B0D}"/>
    <cellStyle name="Normal 23 4" xfId="2393" xr:uid="{CE0FBA6F-460C-4DA9-8588-806D4FDDF239}"/>
    <cellStyle name="Normal 23 4 2" xfId="4828" xr:uid="{FC892AF1-CB9F-43E2-A1A6-CC475625E231}"/>
    <cellStyle name="Normal 23 5" xfId="1356" xr:uid="{F9F1A23E-B674-4C89-A948-C50929D25E12}"/>
    <cellStyle name="Normal 23 5 2" xfId="3958" xr:uid="{839AD1A7-AE2F-42AD-9309-CAD1D673DF00}"/>
    <cellStyle name="Normal 23 6" xfId="3500" xr:uid="{8BBC8004-E123-43CA-BC29-BA8E9666221C}"/>
    <cellStyle name="Normal 24" xfId="888" xr:uid="{9C89C772-0D88-4EE7-B0FE-2578499CD212}"/>
    <cellStyle name="Normal 24 2" xfId="1359" xr:uid="{B0B9420A-D2BC-45A7-B9BB-5B3C47B1B2EC}"/>
    <cellStyle name="Normal 24 2 2" xfId="2128" xr:uid="{8786A9EC-945B-497F-9077-096EC9C8B23F}"/>
    <cellStyle name="Normal 24 2 2 2" xfId="2966" xr:uid="{18AD1764-F88B-4C64-BBFA-68DF585504C4}"/>
    <cellStyle name="Normal 24 2 2 2 2" xfId="5401" xr:uid="{C1EF9FE8-AF48-4956-9962-0B6F066F1BBC}"/>
    <cellStyle name="Normal 24 2 2 3" xfId="4645" xr:uid="{7B0F988D-EFBF-43F7-94CA-CD8A9BBDF8B8}"/>
    <cellStyle name="Normal 24 2 3" xfId="2396" xr:uid="{06B09A4F-BE22-49C8-9E00-950EAD5A6EB3}"/>
    <cellStyle name="Normal 24 2 3 2" xfId="4831" xr:uid="{FD97315B-DEB8-41FF-A8A9-9BAC74C7B44D}"/>
    <cellStyle name="Normal 24 2 4" xfId="3961" xr:uid="{83E4D351-34FD-4B93-BBB9-65D051438488}"/>
    <cellStyle name="Normal 24 3" xfId="1958" xr:uid="{5A078C6E-8CBC-420B-A4D5-B1BC2731A8C7}"/>
    <cellStyle name="Normal 24 3 2" xfId="2796" xr:uid="{29B42199-9B35-475C-826C-37C07583E2ED}"/>
    <cellStyle name="Normal 24 3 2 2" xfId="5231" xr:uid="{B205D298-8ACD-4CC1-BB6D-8EBFC9264B82}"/>
    <cellStyle name="Normal 24 3 3" xfId="4475" xr:uid="{86670CF5-BDF9-470A-9821-2D14E08F0CFE}"/>
    <cellStyle name="Normal 24 4" xfId="2395" xr:uid="{C1F5721B-0063-4118-8D42-FFDE4016C75E}"/>
    <cellStyle name="Normal 24 4 2" xfId="4830" xr:uid="{339AC804-8004-40B0-8D61-1671570175BF}"/>
    <cellStyle name="Normal 24 5" xfId="1358" xr:uid="{6610B6C5-9C18-4469-8A25-748B600F0E4A}"/>
    <cellStyle name="Normal 24 5 2" xfId="3960" xr:uid="{5E7D1F7C-9D4C-464B-B980-B4D4AA8142D3}"/>
    <cellStyle name="Normal 24 6" xfId="3819" xr:uid="{5964A967-47C5-4B65-B6F4-C23999056BC9}"/>
    <cellStyle name="Normal 25" xfId="892" xr:uid="{68006706-7F3A-4028-8E01-529886742ED7}"/>
    <cellStyle name="Normal 25 2" xfId="2967" xr:uid="{F82BFECA-AD3A-472B-925A-977DFB79C09B}"/>
    <cellStyle name="Normal 25 2 2" xfId="5402" xr:uid="{C9F53040-DB38-496B-BC14-DBDF5E0F4967}"/>
    <cellStyle name="Normal 25 3" xfId="3823" xr:uid="{2AB35E4E-E4B9-48A6-8AE7-B47E144414BB}"/>
    <cellStyle name="Normal 26" xfId="2129" xr:uid="{1C43A721-B051-4254-9E3D-D6AF18C32F81}"/>
    <cellStyle name="Normal 26 2" xfId="4646" xr:uid="{433911DF-0B34-46F9-8F71-7D92F0D55C3A}"/>
    <cellStyle name="Normal 27" xfId="2172" xr:uid="{36520028-2908-4756-BB66-0C08F2B9715E}"/>
    <cellStyle name="Normal 27 2" xfId="4673" xr:uid="{75A589F4-23B6-4A97-AAB9-BC542D03198B}"/>
    <cellStyle name="Normal 28" xfId="2143" xr:uid="{0966DCF3-83EC-4692-9616-FECEED1FC19D}"/>
    <cellStyle name="Normal 28 2" xfId="2269" xr:uid="{85436D53-DF83-4D9D-9232-9F47D4D8C51E}"/>
    <cellStyle name="Normal 28 2 2" xfId="4717" xr:uid="{968DF470-00E3-4225-A6BD-F3DCF717A1D6}"/>
    <cellStyle name="Normal 28 3" xfId="2981" xr:uid="{EB3B4E19-3EDC-4A54-9C43-3A726FCD7092}"/>
    <cellStyle name="Normal 29" xfId="2152" xr:uid="{A012791C-C781-4D42-9A1D-7431DF51D819}"/>
    <cellStyle name="Normal 29 2" xfId="2990" xr:uid="{5BF2F6E7-272B-4FBB-A748-5A7414CCE214}"/>
    <cellStyle name="Normal 3" xfId="146" xr:uid="{00000000-0005-0000-0000-0000B4010000}"/>
    <cellStyle name="Normal 3 2" xfId="192" xr:uid="{00000000-0005-0000-0000-0000B5010000}"/>
    <cellStyle name="Normal 3 2 2" xfId="1362" xr:uid="{E95BF138-EC8B-4126-BAA7-BAE315DE79F1}"/>
    <cellStyle name="Normal 3 2 3" xfId="1361" xr:uid="{E450A9F4-BF8A-471E-9C0C-2A21DA9EB966}"/>
    <cellStyle name="Normal 3 3" xfId="1363" xr:uid="{DE21BD80-D77D-4A5D-9E1B-FF501AD6D10D}"/>
    <cellStyle name="Normal 3 3 10" xfId="2398" xr:uid="{EE8A4F57-DAFC-4A5B-B2AB-B8BFA324BC1D}"/>
    <cellStyle name="Normal 3 3 10 2" xfId="4833" xr:uid="{E9E743AF-101E-4BD4-BC77-185743C15636}"/>
    <cellStyle name="Normal 3 3 11" xfId="3963" xr:uid="{A2A470E7-028B-4F73-9E65-BE53B6C355FC}"/>
    <cellStyle name="Normal 3 3 2" xfId="1364" xr:uid="{0F83188D-59F6-4F7A-AE49-7DC3F10550E6}"/>
    <cellStyle name="Normal 3 3 2 2" xfId="1365" xr:uid="{759834E5-12CC-47CE-A1C3-132783DEFB71}"/>
    <cellStyle name="Normal 3 3 2 2 2" xfId="1366" xr:uid="{F99A84C1-C501-4189-A6A3-A81994771517}"/>
    <cellStyle name="Normal 3 3 2 2 2 2" xfId="1367" xr:uid="{371D3141-20FA-4006-A815-1E1D435254BB}"/>
    <cellStyle name="Normal 3 3 2 2 2 2 2" xfId="1368" xr:uid="{A716884D-5D18-41E8-BD3B-948CE8769A36}"/>
    <cellStyle name="Normal 3 3 2 2 2 2 2 2" xfId="2019" xr:uid="{CC681084-04D9-4625-B9D0-6D28BA7DD76C}"/>
    <cellStyle name="Normal 3 3 2 2 2 2 2 2 2" xfId="2857" xr:uid="{F33313BF-A1C2-45DE-968A-10C828A47155}"/>
    <cellStyle name="Normal 3 3 2 2 2 2 2 2 2 2" xfId="5292" xr:uid="{CFA9E721-B1E2-457B-A137-430861CA0A2E}"/>
    <cellStyle name="Normal 3 3 2 2 2 2 2 2 3" xfId="4536" xr:uid="{12D5B55F-26D8-421E-B12D-48CF3F0F9BA0}"/>
    <cellStyle name="Normal 3 3 2 2 2 2 2 3" xfId="2403" xr:uid="{40FB1E3D-79C0-4741-90A1-776097BFC2BF}"/>
    <cellStyle name="Normal 3 3 2 2 2 2 2 3 2" xfId="4838" xr:uid="{954D6A02-AB05-41EA-940E-B5B22FFF3D97}"/>
    <cellStyle name="Normal 3 3 2 2 2 2 2 4" xfId="3968" xr:uid="{0FF2E7DB-0AE7-44C5-B21A-E3E4A33A8708}"/>
    <cellStyle name="Normal 3 3 2 2 2 2 3" xfId="1849" xr:uid="{D30F4E70-3860-463F-8105-71D29D781F0C}"/>
    <cellStyle name="Normal 3 3 2 2 2 2 3 2" xfId="2687" xr:uid="{C7CCC6EA-161F-4F25-AC1F-F1F82C3FB49D}"/>
    <cellStyle name="Normal 3 3 2 2 2 2 3 2 2" xfId="5122" xr:uid="{02450BBA-59F1-4FA5-ADC6-6BF4E67FDD45}"/>
    <cellStyle name="Normal 3 3 2 2 2 2 3 3" xfId="4366" xr:uid="{B0AB3D4B-F8E4-4784-8889-A7D3315AC492}"/>
    <cellStyle name="Normal 3 3 2 2 2 2 4" xfId="2402" xr:uid="{F74A138B-AB39-4613-8474-46BAEE1290CA}"/>
    <cellStyle name="Normal 3 3 2 2 2 2 4 2" xfId="4837" xr:uid="{D5B1A4DE-B468-4D85-B40E-7AABAF31CB2A}"/>
    <cellStyle name="Normal 3 3 2 2 2 2 5" xfId="3967" xr:uid="{DAF40205-9F53-4285-BD1E-5BCFF5DB6B1A}"/>
    <cellStyle name="Normal 3 3 2 2 2 3" xfId="1369" xr:uid="{D91A1FA0-A59F-4F1B-8CFD-9832E7F4E2FB}"/>
    <cellStyle name="Normal 3 3 2 2 2 3 2" xfId="1370" xr:uid="{804BBE95-326C-4AF0-A23E-F7A73099862D}"/>
    <cellStyle name="Normal 3 3 2 2 2 3 2 2" xfId="2020" xr:uid="{0439F8B8-494F-4333-83E6-2220EECF78ED}"/>
    <cellStyle name="Normal 3 3 2 2 2 3 2 2 2" xfId="2858" xr:uid="{17BD0197-01C1-4BC5-A33F-2E4CEF9DFF5D}"/>
    <cellStyle name="Normal 3 3 2 2 2 3 2 2 2 2" xfId="5293" xr:uid="{18BC12D3-3BA7-42C9-8040-D59DF97B2B9F}"/>
    <cellStyle name="Normal 3 3 2 2 2 3 2 2 3" xfId="4537" xr:uid="{40A24C32-DD81-44CC-A4B2-89555DBAFF27}"/>
    <cellStyle name="Normal 3 3 2 2 2 3 2 3" xfId="2405" xr:uid="{4559754D-F333-4590-A20D-56169282588D}"/>
    <cellStyle name="Normal 3 3 2 2 2 3 2 3 2" xfId="4840" xr:uid="{82E385C4-CB86-402C-93DD-18527BFB15FD}"/>
    <cellStyle name="Normal 3 3 2 2 2 3 2 4" xfId="3970" xr:uid="{608CFF42-4626-4B59-B2FA-6308A1A90D4B}"/>
    <cellStyle name="Normal 3 3 2 2 2 3 3" xfId="1850" xr:uid="{292991B7-DAE1-4619-8C3C-D5656DA5BD4D}"/>
    <cellStyle name="Normal 3 3 2 2 2 3 3 2" xfId="2688" xr:uid="{1A2507BD-0F97-4C8D-A19B-20D0D1BC7FE1}"/>
    <cellStyle name="Normal 3 3 2 2 2 3 3 2 2" xfId="5123" xr:uid="{1ED7135E-7376-485D-B265-E2A337F25770}"/>
    <cellStyle name="Normal 3 3 2 2 2 3 3 3" xfId="4367" xr:uid="{DF06B914-10D3-400A-AAFD-77140C8EF5F6}"/>
    <cellStyle name="Normal 3 3 2 2 2 3 4" xfId="2404" xr:uid="{B959B3A4-0E50-46BC-820E-F2B82706E62B}"/>
    <cellStyle name="Normal 3 3 2 2 2 3 4 2" xfId="4839" xr:uid="{305CF1F4-FC55-44E3-B57E-E250EC135791}"/>
    <cellStyle name="Normal 3 3 2 2 2 3 5" xfId="3969" xr:uid="{FA1B0713-2FE0-46F7-97F6-E7C8F6A38E74}"/>
    <cellStyle name="Normal 3 3 2 2 2 4" xfId="1371" xr:uid="{9798BBFF-3C80-40DE-B5A4-0C235F7E6AB3}"/>
    <cellStyle name="Normal 3 3 2 2 2 4 2" xfId="2018" xr:uid="{6B9627F1-F829-4665-A0A1-0020F9FF01FA}"/>
    <cellStyle name="Normal 3 3 2 2 2 4 2 2" xfId="2856" xr:uid="{EC658A6D-EE36-44D2-A719-293B0A8C7578}"/>
    <cellStyle name="Normal 3 3 2 2 2 4 2 2 2" xfId="5291" xr:uid="{82455E6E-E87E-467A-AFE5-1EA81F5654BD}"/>
    <cellStyle name="Normal 3 3 2 2 2 4 2 3" xfId="4535" xr:uid="{554B9AD2-11FF-4681-AE1B-C2FC957597C5}"/>
    <cellStyle name="Normal 3 3 2 2 2 4 3" xfId="2406" xr:uid="{9E5AC42B-93D4-476F-8ACC-76D522E6E32A}"/>
    <cellStyle name="Normal 3 3 2 2 2 4 3 2" xfId="4841" xr:uid="{B74B76D0-C944-4DFE-9815-958AFA602C7A}"/>
    <cellStyle name="Normal 3 3 2 2 2 4 4" xfId="3971" xr:uid="{668BF051-2D4C-4261-AFF0-32F5F80913E4}"/>
    <cellStyle name="Normal 3 3 2 2 2 5" xfId="1848" xr:uid="{74098714-4C35-41FA-93B3-AE0A5BB7F900}"/>
    <cellStyle name="Normal 3 3 2 2 2 5 2" xfId="2686" xr:uid="{1A0F5E51-98B6-4D35-AC28-8F667A72F635}"/>
    <cellStyle name="Normal 3 3 2 2 2 5 2 2" xfId="5121" xr:uid="{ADF72E62-6813-45FB-92CE-EF827B9E906D}"/>
    <cellStyle name="Normal 3 3 2 2 2 5 3" xfId="4365" xr:uid="{C9DECD88-B81C-446E-8232-50A83F5CDAF5}"/>
    <cellStyle name="Normal 3 3 2 2 2 6" xfId="2401" xr:uid="{9D6052A4-D843-4ECC-9177-706255903C7F}"/>
    <cellStyle name="Normal 3 3 2 2 2 6 2" xfId="4836" xr:uid="{6FB5D8F9-67FD-4C06-B17C-D6070F46D88F}"/>
    <cellStyle name="Normal 3 3 2 2 2 7" xfId="3966" xr:uid="{A53C0133-AC39-44C5-B2B3-ED2D28E2C105}"/>
    <cellStyle name="Normal 3 3 2 2 3" xfId="1372" xr:uid="{A234CFF2-1C2D-455C-B337-B8C750DFE4F6}"/>
    <cellStyle name="Normal 3 3 2 2 3 2" xfId="1373" xr:uid="{460CD82E-016B-4F11-9D12-547AC6328CB0}"/>
    <cellStyle name="Normal 3 3 2 2 3 2 2" xfId="2021" xr:uid="{F890D85A-D80D-459B-AC59-6DAA10193A57}"/>
    <cellStyle name="Normal 3 3 2 2 3 2 2 2" xfId="2859" xr:uid="{6131104A-87B9-4FF1-90C7-3B44282CE61F}"/>
    <cellStyle name="Normal 3 3 2 2 3 2 2 2 2" xfId="5294" xr:uid="{3F8B6A50-7956-4C01-9E22-1CB4857E688A}"/>
    <cellStyle name="Normal 3 3 2 2 3 2 2 3" xfId="4538" xr:uid="{C45F519F-553E-4229-8AAA-57D5BEB9372A}"/>
    <cellStyle name="Normal 3 3 2 2 3 2 3" xfId="2408" xr:uid="{6C1DC172-272F-49CE-ADFA-7E95F2EC58A4}"/>
    <cellStyle name="Normal 3 3 2 2 3 2 3 2" xfId="4843" xr:uid="{C2621FB6-C352-4DAD-893B-ABD309A979F6}"/>
    <cellStyle name="Normal 3 3 2 2 3 2 4" xfId="3973" xr:uid="{9506EA24-00CD-409B-8CD5-8AADA57E74A0}"/>
    <cellStyle name="Normal 3 3 2 2 3 3" xfId="1851" xr:uid="{B3750FF9-4B38-471A-B9D4-CA5F2D1DD922}"/>
    <cellStyle name="Normal 3 3 2 2 3 3 2" xfId="2689" xr:uid="{B82228E5-520A-4196-85D9-FC4EECF36A2C}"/>
    <cellStyle name="Normal 3 3 2 2 3 3 2 2" xfId="5124" xr:uid="{02CB4759-1A1F-447E-817E-A363013528A1}"/>
    <cellStyle name="Normal 3 3 2 2 3 3 3" xfId="4368" xr:uid="{6C80C46B-6C32-41A3-8964-001618F3A09F}"/>
    <cellStyle name="Normal 3 3 2 2 3 4" xfId="2407" xr:uid="{2AEE3396-13CD-4EE5-9772-8235453B8FBA}"/>
    <cellStyle name="Normal 3 3 2 2 3 4 2" xfId="4842" xr:uid="{42FA7CD7-297A-402A-B9D9-3E3821B25607}"/>
    <cellStyle name="Normal 3 3 2 2 3 5" xfId="3972" xr:uid="{26E5F368-C3AF-4A88-9ABA-F4E3F58BB82B}"/>
    <cellStyle name="Normal 3 3 2 2 4" xfId="1374" xr:uid="{558838AD-B891-49C0-A44B-54549CF34381}"/>
    <cellStyle name="Normal 3 3 2 2 4 2" xfId="1375" xr:uid="{5254FD7B-D465-46CE-B9A6-41ED4C2DA124}"/>
    <cellStyle name="Normal 3 3 2 2 4 2 2" xfId="2022" xr:uid="{78AF0C9B-DE1B-438A-8C88-36B13A71A532}"/>
    <cellStyle name="Normal 3 3 2 2 4 2 2 2" xfId="2860" xr:uid="{0992A183-4699-4881-AAB2-9F190CA9920F}"/>
    <cellStyle name="Normal 3 3 2 2 4 2 2 2 2" xfId="5295" xr:uid="{0A5726D0-E966-475E-B34D-715D01ED8405}"/>
    <cellStyle name="Normal 3 3 2 2 4 2 2 3" xfId="4539" xr:uid="{45C6BA72-DD46-4E64-A49F-DB90E8AE3492}"/>
    <cellStyle name="Normal 3 3 2 2 4 2 3" xfId="2410" xr:uid="{34A32F75-92FE-44F2-8106-8BDD3FF5E011}"/>
    <cellStyle name="Normal 3 3 2 2 4 2 3 2" xfId="4845" xr:uid="{B4823CA4-8841-4D81-80B9-4809FDDB6A11}"/>
    <cellStyle name="Normal 3 3 2 2 4 2 4" xfId="3975" xr:uid="{8FE0A741-16E9-4806-BCC4-08F6C4F00B60}"/>
    <cellStyle name="Normal 3 3 2 2 4 3" xfId="1852" xr:uid="{030906E1-6E0C-4E19-ACFF-939F40039A85}"/>
    <cellStyle name="Normal 3 3 2 2 4 3 2" xfId="2690" xr:uid="{6D7C394A-5C3F-49D1-8F47-53DD08AABC81}"/>
    <cellStyle name="Normal 3 3 2 2 4 3 2 2" xfId="5125" xr:uid="{5762E750-55A9-428B-BD8E-8C9F76AAB245}"/>
    <cellStyle name="Normal 3 3 2 2 4 3 3" xfId="4369" xr:uid="{78446DD8-0480-45AF-B5AF-6F2E573A5F12}"/>
    <cellStyle name="Normal 3 3 2 2 4 4" xfId="2409" xr:uid="{84FE2ADC-35B4-43CD-8801-3C1D49226BAD}"/>
    <cellStyle name="Normal 3 3 2 2 4 4 2" xfId="4844" xr:uid="{84CB5046-A96F-42A3-B303-752E9D276EDE}"/>
    <cellStyle name="Normal 3 3 2 2 4 5" xfId="3974" xr:uid="{04BCA264-9A83-477D-A22A-82238AB8A0AC}"/>
    <cellStyle name="Normal 3 3 2 2 5" xfId="1376" xr:uid="{694FFB08-A071-4D2C-B896-E6BFB2D9FDF2}"/>
    <cellStyle name="Normal 3 3 2 2 5 2" xfId="2017" xr:uid="{4B3319FF-960C-4C40-84D1-97CD0224EF26}"/>
    <cellStyle name="Normal 3 3 2 2 5 2 2" xfId="2855" xr:uid="{EDDECF2E-9D1B-442F-BA2A-E7CB97B041A6}"/>
    <cellStyle name="Normal 3 3 2 2 5 2 2 2" xfId="5290" xr:uid="{D88130DF-A6A0-4DE0-8881-735460D0E180}"/>
    <cellStyle name="Normal 3 3 2 2 5 2 3" xfId="4534" xr:uid="{C57FE845-C66D-4CF8-B183-DE31D31642AD}"/>
    <cellStyle name="Normal 3 3 2 2 5 3" xfId="2411" xr:uid="{F650DBB1-F924-47EC-8D81-C8A3D306BEA9}"/>
    <cellStyle name="Normal 3 3 2 2 5 3 2" xfId="4846" xr:uid="{6B4DAFEC-0F62-4CC5-8E16-815DF639F8EA}"/>
    <cellStyle name="Normal 3 3 2 2 5 4" xfId="3976" xr:uid="{941AB9E0-EF01-4B38-9CA9-91BEED1DD542}"/>
    <cellStyle name="Normal 3 3 2 2 6" xfId="1847" xr:uid="{22F26185-5F0B-4C2E-8B2A-8B3E209E212B}"/>
    <cellStyle name="Normal 3 3 2 2 6 2" xfId="2685" xr:uid="{6778674C-94B4-4062-9B1E-D8114BECF793}"/>
    <cellStyle name="Normal 3 3 2 2 6 2 2" xfId="5120" xr:uid="{5E63F638-1FB6-4CA7-858F-03B7F029F2D5}"/>
    <cellStyle name="Normal 3 3 2 2 6 3" xfId="4364" xr:uid="{3FB38D1E-DF73-4E22-AD76-311250C77A5C}"/>
    <cellStyle name="Normal 3 3 2 2 7" xfId="2400" xr:uid="{B8874235-9249-4B55-B278-615063BFD6A3}"/>
    <cellStyle name="Normal 3 3 2 2 7 2" xfId="4835" xr:uid="{7C26CE80-7CF3-4937-86F2-522C6C79800A}"/>
    <cellStyle name="Normal 3 3 2 2 8" xfId="3965" xr:uid="{4C837BF1-CB45-41C8-8883-8FEB38888E04}"/>
    <cellStyle name="Normal 3 3 2 3" xfId="1377" xr:uid="{9E646299-9071-47CE-875C-CB9F718A87E3}"/>
    <cellStyle name="Normal 3 3 2 3 2" xfId="1378" xr:uid="{5971A4E9-CE60-4BAF-848E-A2C0C974ABC8}"/>
    <cellStyle name="Normal 3 3 2 3 2 2" xfId="1379" xr:uid="{0C4EF543-A86D-49F0-9D60-37D86F9AC571}"/>
    <cellStyle name="Normal 3 3 2 3 2 2 2" xfId="2024" xr:uid="{622EBD24-C6BF-40A3-919C-C345CD80652F}"/>
    <cellStyle name="Normal 3 3 2 3 2 2 2 2" xfId="2862" xr:uid="{4DE4427F-4AD1-40D0-85BE-B1B7B66F1823}"/>
    <cellStyle name="Normal 3 3 2 3 2 2 2 2 2" xfId="5297" xr:uid="{BD07D6F2-3268-4BDA-AECB-A2E82C7FE5C6}"/>
    <cellStyle name="Normal 3 3 2 3 2 2 2 3" xfId="4541" xr:uid="{95522FD4-E085-4567-95D7-1C67AD99E6CD}"/>
    <cellStyle name="Normal 3 3 2 3 2 2 3" xfId="2414" xr:uid="{40D807B2-00B1-4DD6-9298-7633C57B9C3F}"/>
    <cellStyle name="Normal 3 3 2 3 2 2 3 2" xfId="4849" xr:uid="{ED3A7770-F8D8-4E8B-AB1C-0109A02A247A}"/>
    <cellStyle name="Normal 3 3 2 3 2 2 4" xfId="3979" xr:uid="{91E182AE-3ADA-4F89-8723-41125B523EF2}"/>
    <cellStyle name="Normal 3 3 2 3 2 3" xfId="1854" xr:uid="{CB6F9962-FE52-46B5-AC4B-0BF8780077E3}"/>
    <cellStyle name="Normal 3 3 2 3 2 3 2" xfId="2692" xr:uid="{30A03748-AF51-4C46-9815-FDB5E1BF8369}"/>
    <cellStyle name="Normal 3 3 2 3 2 3 2 2" xfId="5127" xr:uid="{FE573459-FFA6-456F-977E-1BE10A34A450}"/>
    <cellStyle name="Normal 3 3 2 3 2 3 3" xfId="4371" xr:uid="{90F8BBDC-4913-42AD-8954-D0D42B3BD625}"/>
    <cellStyle name="Normal 3 3 2 3 2 4" xfId="2413" xr:uid="{7A6D1666-9648-42A7-AC88-77972A58FBF3}"/>
    <cellStyle name="Normal 3 3 2 3 2 4 2" xfId="4848" xr:uid="{AC157069-8C19-4E77-A127-839C6252BD02}"/>
    <cellStyle name="Normal 3 3 2 3 2 5" xfId="3978" xr:uid="{6C583C14-8B6D-4159-BD95-E143BEA2F79A}"/>
    <cellStyle name="Normal 3 3 2 3 3" xfId="1380" xr:uid="{F6C2FBA6-EAF3-4873-AB26-5A40827081E1}"/>
    <cellStyle name="Normal 3 3 2 3 3 2" xfId="1381" xr:uid="{81E4CBD5-D859-45ED-92E5-0D4C865BEE2C}"/>
    <cellStyle name="Normal 3 3 2 3 3 2 2" xfId="2025" xr:uid="{05D37E65-D135-4D09-B980-81C8158AFF78}"/>
    <cellStyle name="Normal 3 3 2 3 3 2 2 2" xfId="2863" xr:uid="{7CED1F02-CB70-436E-B661-E06EDB06714E}"/>
    <cellStyle name="Normal 3 3 2 3 3 2 2 2 2" xfId="5298" xr:uid="{0BF82CD9-3991-4A34-828D-DC8F230ACB00}"/>
    <cellStyle name="Normal 3 3 2 3 3 2 2 3" xfId="4542" xr:uid="{EE5FFFED-74C5-4D69-842C-5E9FACE0DD85}"/>
    <cellStyle name="Normal 3 3 2 3 3 2 3" xfId="2416" xr:uid="{FCC0642B-1893-450F-B0D0-12F23CD024E9}"/>
    <cellStyle name="Normal 3 3 2 3 3 2 3 2" xfId="4851" xr:uid="{746E3F40-D99D-4BE1-8C2F-CA1CCC1E1FBF}"/>
    <cellStyle name="Normal 3 3 2 3 3 2 4" xfId="3981" xr:uid="{C222E611-3BD3-47CD-9503-1830EAF9FBE8}"/>
    <cellStyle name="Normal 3 3 2 3 3 3" xfId="1855" xr:uid="{FC30AD62-46E4-4415-9080-14FA74A8FD3B}"/>
    <cellStyle name="Normal 3 3 2 3 3 3 2" xfId="2693" xr:uid="{AD6C90D9-AC05-4EF0-AFF1-0640321E6AA6}"/>
    <cellStyle name="Normal 3 3 2 3 3 3 2 2" xfId="5128" xr:uid="{26CA5FB4-0B2F-4F99-A331-6408EC92D6CE}"/>
    <cellStyle name="Normal 3 3 2 3 3 3 3" xfId="4372" xr:uid="{A40F1059-4810-455E-8254-9575C5D9145C}"/>
    <cellStyle name="Normal 3 3 2 3 3 4" xfId="2415" xr:uid="{C64228C9-551A-4644-80FF-CFB09AA9E5AD}"/>
    <cellStyle name="Normal 3 3 2 3 3 4 2" xfId="4850" xr:uid="{639C9D9F-90CA-4320-AA94-2D36B6B2C69A}"/>
    <cellStyle name="Normal 3 3 2 3 3 5" xfId="3980" xr:uid="{4DDCCD19-BDF2-4397-A60C-6A316C892286}"/>
    <cellStyle name="Normal 3 3 2 3 4" xfId="1382" xr:uid="{9A8FAC42-F61A-4F8A-B54C-5F576BC2168C}"/>
    <cellStyle name="Normal 3 3 2 3 4 2" xfId="2023" xr:uid="{9FBB4BC7-0355-43DC-9F93-0171F73DB762}"/>
    <cellStyle name="Normal 3 3 2 3 4 2 2" xfId="2861" xr:uid="{9BA7ABA5-3356-4BB9-940C-39D82CAC4D5E}"/>
    <cellStyle name="Normal 3 3 2 3 4 2 2 2" xfId="5296" xr:uid="{BB7D5683-C5E9-436F-8674-CF94D727990F}"/>
    <cellStyle name="Normal 3 3 2 3 4 2 3" xfId="4540" xr:uid="{06C2B971-72A2-4AC5-9677-6E8C4DBDF261}"/>
    <cellStyle name="Normal 3 3 2 3 4 3" xfId="2417" xr:uid="{1B08934E-3BC1-4031-B3F4-1475FC4A1A33}"/>
    <cellStyle name="Normal 3 3 2 3 4 3 2" xfId="4852" xr:uid="{67DD652C-0998-4BE8-8514-9DB40450567D}"/>
    <cellStyle name="Normal 3 3 2 3 4 4" xfId="3982" xr:uid="{152B70FB-BF31-427F-B33B-0BF7371CA649}"/>
    <cellStyle name="Normal 3 3 2 3 5" xfId="1853" xr:uid="{9C65F635-5E9D-499D-9153-18F3A47E9B6E}"/>
    <cellStyle name="Normal 3 3 2 3 5 2" xfId="2691" xr:uid="{7727E666-B809-476D-B1C8-FABF24DFADB1}"/>
    <cellStyle name="Normal 3 3 2 3 5 2 2" xfId="5126" xr:uid="{90DDC1CC-7FBE-403B-9959-DB451923D97D}"/>
    <cellStyle name="Normal 3 3 2 3 5 3" xfId="4370" xr:uid="{BF331C17-CD4B-4A6C-8021-05C21D9FE6D4}"/>
    <cellStyle name="Normal 3 3 2 3 6" xfId="2412" xr:uid="{B9C594A7-0C53-4361-9AD9-65C2E7B033BB}"/>
    <cellStyle name="Normal 3 3 2 3 6 2" xfId="4847" xr:uid="{187750B3-692C-42E1-A49A-B4BDF222E179}"/>
    <cellStyle name="Normal 3 3 2 3 7" xfId="3977" xr:uid="{444555AC-528B-4049-895A-0E439ED8B1A9}"/>
    <cellStyle name="Normal 3 3 2 4" xfId="1383" xr:uid="{0F19C2C0-6E4D-4772-8918-8CA18A7B3711}"/>
    <cellStyle name="Normal 3 3 2 4 2" xfId="1384" xr:uid="{19D776C1-8855-4909-868A-0F9451498F46}"/>
    <cellStyle name="Normal 3 3 2 4 2 2" xfId="2026" xr:uid="{76412578-90D6-4D5E-8697-53219052C296}"/>
    <cellStyle name="Normal 3 3 2 4 2 2 2" xfId="2864" xr:uid="{5B52B92D-31BB-44EA-8328-7F035AF28FE1}"/>
    <cellStyle name="Normal 3 3 2 4 2 2 2 2" xfId="5299" xr:uid="{A33683F7-DA3F-414B-B231-97014C1DE06B}"/>
    <cellStyle name="Normal 3 3 2 4 2 2 3" xfId="4543" xr:uid="{CB0C3EAF-E883-4CEA-99FE-B34B65A7201F}"/>
    <cellStyle name="Normal 3 3 2 4 2 3" xfId="2419" xr:uid="{E1A1F1D1-F1F2-4C72-932B-4C6E7AE35F3F}"/>
    <cellStyle name="Normal 3 3 2 4 2 3 2" xfId="4854" xr:uid="{D2C03B6D-3EFD-4350-9497-C2C8329DF70A}"/>
    <cellStyle name="Normal 3 3 2 4 2 4" xfId="3984" xr:uid="{527D145A-A673-458C-87B1-0EE393FE69F8}"/>
    <cellStyle name="Normal 3 3 2 4 3" xfId="1856" xr:uid="{D1FEC553-A1B0-4DC3-A991-D91157B3F9DA}"/>
    <cellStyle name="Normal 3 3 2 4 3 2" xfId="2694" xr:uid="{7E416316-F6F2-495C-B81D-C65859CC9E40}"/>
    <cellStyle name="Normal 3 3 2 4 3 2 2" xfId="5129" xr:uid="{3D9EFB13-80E3-46A9-9C38-AF06AE376D21}"/>
    <cellStyle name="Normal 3 3 2 4 3 3" xfId="4373" xr:uid="{702ACB96-24C4-4B31-A47B-36F12C43A89A}"/>
    <cellStyle name="Normal 3 3 2 4 4" xfId="2418" xr:uid="{D5ECD61F-6467-4E80-95C9-5D4CB13401A4}"/>
    <cellStyle name="Normal 3 3 2 4 4 2" xfId="4853" xr:uid="{773EDEB5-FB7F-46D9-A806-090FB40BE244}"/>
    <cellStyle name="Normal 3 3 2 4 5" xfId="3983" xr:uid="{3DD5E243-70CF-46B5-9A75-87BBE6AF5F86}"/>
    <cellStyle name="Normal 3 3 2 5" xfId="1385" xr:uid="{12532105-58D3-49AF-9BC8-CDDDDDF81BC6}"/>
    <cellStyle name="Normal 3 3 2 5 2" xfId="1386" xr:uid="{49AB1983-DBDF-4870-ADA5-6D8EDF254443}"/>
    <cellStyle name="Normal 3 3 2 5 2 2" xfId="2027" xr:uid="{0BD12298-816D-4957-B9AB-7EB556C17262}"/>
    <cellStyle name="Normal 3 3 2 5 2 2 2" xfId="2865" xr:uid="{A430D704-F896-497A-88F4-A7A46619E113}"/>
    <cellStyle name="Normal 3 3 2 5 2 2 2 2" xfId="5300" xr:uid="{461B4B0F-7818-4C73-865A-D4F6AE0AA993}"/>
    <cellStyle name="Normal 3 3 2 5 2 2 3" xfId="4544" xr:uid="{1A2E0D5C-76CD-4E3D-BC1F-0B5D4E5D6AB4}"/>
    <cellStyle name="Normal 3 3 2 5 2 3" xfId="2421" xr:uid="{A238F1B8-F5A1-4B61-BE01-130FAB7EB180}"/>
    <cellStyle name="Normal 3 3 2 5 2 3 2" xfId="4856" xr:uid="{A5F1524A-77A2-40E2-93F4-6397AE469D64}"/>
    <cellStyle name="Normal 3 3 2 5 2 4" xfId="3986" xr:uid="{AAF868EB-BFC6-406E-BC83-CD0BB8017834}"/>
    <cellStyle name="Normal 3 3 2 5 3" xfId="1857" xr:uid="{E922040E-B319-4E1D-AB1A-3385045323B1}"/>
    <cellStyle name="Normal 3 3 2 5 3 2" xfId="2695" xr:uid="{4A7AA488-8438-4AB7-ACD2-7FFF3E3E804D}"/>
    <cellStyle name="Normal 3 3 2 5 3 2 2" xfId="5130" xr:uid="{D35B69BC-E0AA-464F-8220-C89AF0071AAD}"/>
    <cellStyle name="Normal 3 3 2 5 3 3" xfId="4374" xr:uid="{0F590E2F-0B8F-4BBD-BE32-3D157832F4C4}"/>
    <cellStyle name="Normal 3 3 2 5 4" xfId="2420" xr:uid="{BF628853-D550-4E12-A984-3F6B70FB361B}"/>
    <cellStyle name="Normal 3 3 2 5 4 2" xfId="4855" xr:uid="{9E117595-B52B-4FE7-8188-766E0F464C09}"/>
    <cellStyle name="Normal 3 3 2 5 5" xfId="3985" xr:uid="{E806296A-FA13-4174-A934-FAC45E240AD8}"/>
    <cellStyle name="Normal 3 3 2 6" xfId="1387" xr:uid="{5BB219D4-D48F-4498-B91C-A7F16D48247B}"/>
    <cellStyle name="Normal 3 3 2 6 2" xfId="2016" xr:uid="{9905FAB7-2B27-4EA8-AD42-55ED7182DC33}"/>
    <cellStyle name="Normal 3 3 2 6 2 2" xfId="2854" xr:uid="{7CEA0144-721C-45AB-9D0C-85E0D6F55EAA}"/>
    <cellStyle name="Normal 3 3 2 6 2 2 2" xfId="5289" xr:uid="{2C5FE015-E818-40B1-AA79-34CF34F52633}"/>
    <cellStyle name="Normal 3 3 2 6 2 3" xfId="4533" xr:uid="{E5CF073B-BA18-45A4-97A4-AB272141F422}"/>
    <cellStyle name="Normal 3 3 2 6 3" xfId="2422" xr:uid="{DF796354-4C57-412C-B9F4-627198409566}"/>
    <cellStyle name="Normal 3 3 2 6 3 2" xfId="4857" xr:uid="{A542B101-D715-436B-BE9F-DEDDC4581CB4}"/>
    <cellStyle name="Normal 3 3 2 6 4" xfId="3987" xr:uid="{DBFF707F-2829-4743-B7EC-716B2DAE501A}"/>
    <cellStyle name="Normal 3 3 2 7" xfId="1846" xr:uid="{6BDD0BF2-E45F-4E0A-BD10-A1E9C3B40713}"/>
    <cellStyle name="Normal 3 3 2 7 2" xfId="2684" xr:uid="{7B7DBCF5-5107-4509-8D53-EE9EA18B6B10}"/>
    <cellStyle name="Normal 3 3 2 7 2 2" xfId="5119" xr:uid="{FF0FB19D-FDF5-4BEC-92C8-B4447A380F25}"/>
    <cellStyle name="Normal 3 3 2 7 3" xfId="4363" xr:uid="{188DD831-92FC-4DAB-BB77-46DD82D11423}"/>
    <cellStyle name="Normal 3 3 2 8" xfId="2399" xr:uid="{E5E68E8B-5AB2-480E-8AA3-9EBFF56075C8}"/>
    <cellStyle name="Normal 3 3 2 8 2" xfId="4834" xr:uid="{03A5807C-CA3B-4371-A8D0-A71BE955F933}"/>
    <cellStyle name="Normal 3 3 2 9" xfId="3964" xr:uid="{EE98FE74-D3E2-4BEE-BA29-98104272FA1D}"/>
    <cellStyle name="Normal 3 3 3" xfId="1388" xr:uid="{0CC65822-6018-4AD3-BEED-50B108768825}"/>
    <cellStyle name="Normal 3 3 3 2" xfId="1389" xr:uid="{B345805B-BE29-4320-B23D-2CF59B80C1D1}"/>
    <cellStyle name="Normal 3 3 3 2 2" xfId="1390" xr:uid="{2E1CECD1-05D0-4658-AC67-93CF9F2E7544}"/>
    <cellStyle name="Normal 3 3 3 2 2 2" xfId="1391" xr:uid="{EF5E57FD-207F-4D76-9618-4DB94125D63F}"/>
    <cellStyle name="Normal 3 3 3 2 2 2 2" xfId="2030" xr:uid="{550C94AB-C523-4C67-9316-705C9A62EBEA}"/>
    <cellStyle name="Normal 3 3 3 2 2 2 2 2" xfId="2868" xr:uid="{E6A62025-7119-4CE5-B580-C5195A05AAF3}"/>
    <cellStyle name="Normal 3 3 3 2 2 2 2 2 2" xfId="5303" xr:uid="{C6A2EE3B-9F8C-491A-99E0-EDC66D68CF64}"/>
    <cellStyle name="Normal 3 3 3 2 2 2 2 3" xfId="4547" xr:uid="{389BC446-A80B-4FDA-B624-DFE5237BF46C}"/>
    <cellStyle name="Normal 3 3 3 2 2 2 3" xfId="2426" xr:uid="{395D0B2B-CC10-44EF-87F1-B6016282C20A}"/>
    <cellStyle name="Normal 3 3 3 2 2 2 3 2" xfId="4861" xr:uid="{9440481D-FF4F-4FEC-B6BD-931ACC6130E9}"/>
    <cellStyle name="Normal 3 3 3 2 2 2 4" xfId="3991" xr:uid="{31E09830-7B40-4E49-8601-ACC6AEF03538}"/>
    <cellStyle name="Normal 3 3 3 2 2 3" xfId="1860" xr:uid="{66A1C5AF-BE81-4661-ACEF-FA20ED04C7B2}"/>
    <cellStyle name="Normal 3 3 3 2 2 3 2" xfId="2698" xr:uid="{F798B1E1-E16A-41C9-9006-D8FA9D43D97E}"/>
    <cellStyle name="Normal 3 3 3 2 2 3 2 2" xfId="5133" xr:uid="{6A3E46B3-B3F8-4026-BBC1-A9AFD67D6351}"/>
    <cellStyle name="Normal 3 3 3 2 2 3 3" xfId="4377" xr:uid="{8F31EAF1-6906-45F9-B7B9-DA948DAE433B}"/>
    <cellStyle name="Normal 3 3 3 2 2 4" xfId="2425" xr:uid="{454470E2-1D82-43E9-876C-A18D007F2B3B}"/>
    <cellStyle name="Normal 3 3 3 2 2 4 2" xfId="4860" xr:uid="{A697C5EA-E1AA-4E1C-8195-6331829C6DAA}"/>
    <cellStyle name="Normal 3 3 3 2 2 5" xfId="3990" xr:uid="{9411DCE0-B1C2-41C6-BBF8-3CBF7B05EE26}"/>
    <cellStyle name="Normal 3 3 3 2 3" xfId="1392" xr:uid="{C0AEAA8D-ACF9-42AD-9D74-60113D77D974}"/>
    <cellStyle name="Normal 3 3 3 2 3 2" xfId="1393" xr:uid="{86B77B54-7DA7-4C48-ADF5-E9627230FD7C}"/>
    <cellStyle name="Normal 3 3 3 2 3 2 2" xfId="2031" xr:uid="{3BC38A8C-B6D4-49B4-850A-8D0277C90846}"/>
    <cellStyle name="Normal 3 3 3 2 3 2 2 2" xfId="2869" xr:uid="{4A4CF0BD-3E23-45FE-ACCA-8A46082EFB2F}"/>
    <cellStyle name="Normal 3 3 3 2 3 2 2 2 2" xfId="5304" xr:uid="{AE6AE019-4EB6-49EF-B952-BC3CBB9D3B4A}"/>
    <cellStyle name="Normal 3 3 3 2 3 2 2 3" xfId="4548" xr:uid="{8E2F33A5-68F4-4052-8353-0C32862DB887}"/>
    <cellStyle name="Normal 3 3 3 2 3 2 3" xfId="2428" xr:uid="{AD9E1390-C0F9-439D-942B-6C0CC94BAD72}"/>
    <cellStyle name="Normal 3 3 3 2 3 2 3 2" xfId="4863" xr:uid="{758CB285-FC5D-4C1B-B125-5B18D329966F}"/>
    <cellStyle name="Normal 3 3 3 2 3 2 4" xfId="3993" xr:uid="{A9830622-29F3-4DB5-A7A8-7985C50B9EED}"/>
    <cellStyle name="Normal 3 3 3 2 3 3" xfId="1861" xr:uid="{20541832-2B18-4F4B-A48D-B402CC58A4C1}"/>
    <cellStyle name="Normal 3 3 3 2 3 3 2" xfId="2699" xr:uid="{A8D329B8-30CE-4E9A-B2DA-179CAF57AFE0}"/>
    <cellStyle name="Normal 3 3 3 2 3 3 2 2" xfId="5134" xr:uid="{5AA61746-7643-44FD-B299-32233CFBB64D}"/>
    <cellStyle name="Normal 3 3 3 2 3 3 3" xfId="4378" xr:uid="{F334818A-E174-43A8-B1F0-5187E80F2A16}"/>
    <cellStyle name="Normal 3 3 3 2 3 4" xfId="2427" xr:uid="{ECA72615-EB3A-47CF-A092-0D2D656471F0}"/>
    <cellStyle name="Normal 3 3 3 2 3 4 2" xfId="4862" xr:uid="{F25C970F-8AF2-4BF9-A2BB-0A10116F2BF3}"/>
    <cellStyle name="Normal 3 3 3 2 3 5" xfId="3992" xr:uid="{E26E5103-39B2-4121-AB66-B669225264FD}"/>
    <cellStyle name="Normal 3 3 3 2 4" xfId="1394" xr:uid="{C2B78745-F30F-4956-B81F-AC5714F8853A}"/>
    <cellStyle name="Normal 3 3 3 2 4 2" xfId="2029" xr:uid="{6B1AA520-7702-4AE5-BD72-5CC570389C94}"/>
    <cellStyle name="Normal 3 3 3 2 4 2 2" xfId="2867" xr:uid="{943266A9-52E9-431F-B60B-257E8A8E28E7}"/>
    <cellStyle name="Normal 3 3 3 2 4 2 2 2" xfId="5302" xr:uid="{B5ECC629-A1B5-4359-93DE-AB7D11E95826}"/>
    <cellStyle name="Normal 3 3 3 2 4 2 3" xfId="4546" xr:uid="{F149AA8B-887F-45DB-84CC-06FD7CCBD622}"/>
    <cellStyle name="Normal 3 3 3 2 4 3" xfId="2429" xr:uid="{C935C4C2-0808-4228-B207-F70C348BF360}"/>
    <cellStyle name="Normal 3 3 3 2 4 3 2" xfId="4864" xr:uid="{812521F2-50B5-4EC0-AF06-3DB30EA31028}"/>
    <cellStyle name="Normal 3 3 3 2 4 4" xfId="3994" xr:uid="{F5C8DF2C-E506-4110-BA77-DC00197F2F2E}"/>
    <cellStyle name="Normal 3 3 3 2 5" xfId="1859" xr:uid="{FAA60FC3-FCDB-44F1-A024-494A1A71947A}"/>
    <cellStyle name="Normal 3 3 3 2 5 2" xfId="2697" xr:uid="{B2E6B3E8-4FFB-4B58-8340-BE41D06C4338}"/>
    <cellStyle name="Normal 3 3 3 2 5 2 2" xfId="5132" xr:uid="{F490E469-4BCF-4FCF-A470-13AD3FB14597}"/>
    <cellStyle name="Normal 3 3 3 2 5 3" xfId="4376" xr:uid="{9455BE75-D352-452B-936A-1C25D32E5FD2}"/>
    <cellStyle name="Normal 3 3 3 2 6" xfId="2424" xr:uid="{BD724376-33AB-46C7-8556-2ACBACC54D87}"/>
    <cellStyle name="Normal 3 3 3 2 6 2" xfId="4859" xr:uid="{57D990F2-9B13-44B1-971F-84A3B1FB7509}"/>
    <cellStyle name="Normal 3 3 3 2 7" xfId="3989" xr:uid="{BEB287E9-63E6-40B5-BD04-BB3775E59C72}"/>
    <cellStyle name="Normal 3 3 3 3" xfId="1395" xr:uid="{ABF5A777-E298-4F3F-81BF-6D81D22425DB}"/>
    <cellStyle name="Normal 3 3 3 3 2" xfId="1396" xr:uid="{023CBD84-C0DC-48AB-81D7-5DACAF5EA25A}"/>
    <cellStyle name="Normal 3 3 3 3 2 2" xfId="2032" xr:uid="{9C113D9A-1ADB-4654-B1D4-309365077908}"/>
    <cellStyle name="Normal 3 3 3 3 2 2 2" xfId="2870" xr:uid="{9FDB09DE-C31E-4202-B469-DF10A5E3A6A6}"/>
    <cellStyle name="Normal 3 3 3 3 2 2 2 2" xfId="5305" xr:uid="{991D45FB-314F-4AA5-9CB2-D4B871C2099E}"/>
    <cellStyle name="Normal 3 3 3 3 2 2 3" xfId="4549" xr:uid="{6AED4C29-00EF-4DAE-B391-D84A8633F9D6}"/>
    <cellStyle name="Normal 3 3 3 3 2 3" xfId="2431" xr:uid="{6736E1B7-5F31-40AE-B49A-6CE381573624}"/>
    <cellStyle name="Normal 3 3 3 3 2 3 2" xfId="4866" xr:uid="{356B823C-B1D9-4791-A219-5EA9D60B7650}"/>
    <cellStyle name="Normal 3 3 3 3 2 4" xfId="3996" xr:uid="{0FA178D6-BA45-4F8D-8010-A4D65657EC70}"/>
    <cellStyle name="Normal 3 3 3 3 3" xfId="1862" xr:uid="{BD96C497-2099-4EED-AB7E-A7F04C07BC08}"/>
    <cellStyle name="Normal 3 3 3 3 3 2" xfId="2700" xr:uid="{451C3D7B-96D5-4131-8F7E-A85808D0292A}"/>
    <cellStyle name="Normal 3 3 3 3 3 2 2" xfId="5135" xr:uid="{10DB7200-3D1A-49DF-AB27-566013AA5770}"/>
    <cellStyle name="Normal 3 3 3 3 3 3" xfId="4379" xr:uid="{E29B75B2-393B-452E-A9A2-16962696D0F7}"/>
    <cellStyle name="Normal 3 3 3 3 4" xfId="2430" xr:uid="{A5BCB04E-D70E-4BB0-B10A-BB65972E7B29}"/>
    <cellStyle name="Normal 3 3 3 3 4 2" xfId="4865" xr:uid="{819E1D14-1074-44DC-A92F-B776C73C8F2C}"/>
    <cellStyle name="Normal 3 3 3 3 5" xfId="3995" xr:uid="{52DB22B3-B095-49EC-B9EB-03C5FA58C378}"/>
    <cellStyle name="Normal 3 3 3 4" xfId="1397" xr:uid="{40BD5AE2-3EBE-4349-BF30-979A77A63EE8}"/>
    <cellStyle name="Normal 3 3 3 4 2" xfId="1398" xr:uid="{10EEEA97-B10D-4341-BCEB-067984293A34}"/>
    <cellStyle name="Normal 3 3 3 4 2 2" xfId="2033" xr:uid="{9CA62220-2C57-44C3-B214-04D21803E4E0}"/>
    <cellStyle name="Normal 3 3 3 4 2 2 2" xfId="2871" xr:uid="{01F7842F-B05F-4314-BC6B-1652097BA9A1}"/>
    <cellStyle name="Normal 3 3 3 4 2 2 2 2" xfId="5306" xr:uid="{1E9F2FA6-6BD3-4E18-948E-1761DCAA92CB}"/>
    <cellStyle name="Normal 3 3 3 4 2 2 3" xfId="4550" xr:uid="{D28CBA88-1C0B-425D-94B3-9195BD68AB92}"/>
    <cellStyle name="Normal 3 3 3 4 2 3" xfId="2433" xr:uid="{1BE9D149-0876-4D3B-9302-153A8DE0EE07}"/>
    <cellStyle name="Normal 3 3 3 4 2 3 2" xfId="4868" xr:uid="{2E7BFFD2-BFD8-40A9-9255-3C0DB530CBE9}"/>
    <cellStyle name="Normal 3 3 3 4 2 4" xfId="3998" xr:uid="{3D3EBB32-7C9C-4C1D-8C7E-14725521C0FE}"/>
    <cellStyle name="Normal 3 3 3 4 3" xfId="1863" xr:uid="{C570D1D8-2225-457A-96CB-A21D9BEE642B}"/>
    <cellStyle name="Normal 3 3 3 4 3 2" xfId="2701" xr:uid="{8014204A-1F6B-4B38-AC9F-BE6AD705BFF2}"/>
    <cellStyle name="Normal 3 3 3 4 3 2 2" xfId="5136" xr:uid="{38D29A9B-8BFC-4DA7-ADC8-8F4261F5CFF2}"/>
    <cellStyle name="Normal 3 3 3 4 3 3" xfId="4380" xr:uid="{AA2C09F5-9844-48CE-96F5-2822CEE9D204}"/>
    <cellStyle name="Normal 3 3 3 4 4" xfId="2432" xr:uid="{56DA3CAC-4A9A-4776-9A77-0D1CA609C84F}"/>
    <cellStyle name="Normal 3 3 3 4 4 2" xfId="4867" xr:uid="{AA037899-3F5C-4712-AB18-94844E8F98FC}"/>
    <cellStyle name="Normal 3 3 3 4 5" xfId="3997" xr:uid="{0886BDAB-C692-4970-BA48-A05E027F1F96}"/>
    <cellStyle name="Normal 3 3 3 5" xfId="1399" xr:uid="{2FD49DC2-8403-458F-9495-3E73A964CD30}"/>
    <cellStyle name="Normal 3 3 3 5 2" xfId="2028" xr:uid="{9D20D726-B842-45A3-B257-0F3C38CD7791}"/>
    <cellStyle name="Normal 3 3 3 5 2 2" xfId="2866" xr:uid="{6BE51D6A-5597-4B91-8E1A-C55BA69BC2B9}"/>
    <cellStyle name="Normal 3 3 3 5 2 2 2" xfId="5301" xr:uid="{BE8354C1-27F7-4B10-8577-30F4AA6EF530}"/>
    <cellStyle name="Normal 3 3 3 5 2 3" xfId="4545" xr:uid="{0E3F18AA-BD8A-49EA-8BAD-748C40E2B485}"/>
    <cellStyle name="Normal 3 3 3 5 3" xfId="2434" xr:uid="{CD7AC8E3-BFE9-4917-8755-91CA8F57B55C}"/>
    <cellStyle name="Normal 3 3 3 5 3 2" xfId="4869" xr:uid="{CD6941E3-08C3-4FAC-AC36-4F103519694A}"/>
    <cellStyle name="Normal 3 3 3 5 4" xfId="3999" xr:uid="{05415FA5-A476-470D-800A-49C8E2BBB891}"/>
    <cellStyle name="Normal 3 3 3 6" xfId="1858" xr:uid="{1F3B2A2B-BEE2-41A8-9892-7ADF7D2AC059}"/>
    <cellStyle name="Normal 3 3 3 6 2" xfId="2696" xr:uid="{EF5F2BC7-5C81-494B-A88A-8DFFC1203ACE}"/>
    <cellStyle name="Normal 3 3 3 6 2 2" xfId="5131" xr:uid="{2652E7DD-6D9C-43B2-8435-BA2F4A7D0934}"/>
    <cellStyle name="Normal 3 3 3 6 3" xfId="4375" xr:uid="{A03ADE6C-ECEB-4C9D-8597-F77A02A1796C}"/>
    <cellStyle name="Normal 3 3 3 7" xfId="2423" xr:uid="{56A04BB6-FB35-4914-91C2-D54F894C9F87}"/>
    <cellStyle name="Normal 3 3 3 7 2" xfId="4858" xr:uid="{BE0109C5-8080-498A-A191-4EDB1F10C686}"/>
    <cellStyle name="Normal 3 3 3 8" xfId="3988" xr:uid="{6025AE90-5BD1-4BF2-B1EA-3C9E9783F915}"/>
    <cellStyle name="Normal 3 3 4" xfId="1400" xr:uid="{29872488-CEAF-4C2C-93A6-44F222264F6A}"/>
    <cellStyle name="Normal 3 3 4 2" xfId="1401" xr:uid="{841D2281-2D89-4917-A61E-78EEE297ACD8}"/>
    <cellStyle name="Normal 3 3 4 2 2" xfId="1402" xr:uid="{78ABC845-D82D-4A48-AA17-B76E92CBFD5D}"/>
    <cellStyle name="Normal 3 3 4 2 2 2" xfId="2035" xr:uid="{FF942B22-9338-42F5-A179-4E56B1628873}"/>
    <cellStyle name="Normal 3 3 4 2 2 2 2" xfId="2873" xr:uid="{075A1E6F-0CC4-4401-9044-B22B7C274A5E}"/>
    <cellStyle name="Normal 3 3 4 2 2 2 2 2" xfId="5308" xr:uid="{CDA9CACB-A5A7-4BD9-BB5E-C3A3E3752C40}"/>
    <cellStyle name="Normal 3 3 4 2 2 2 3" xfId="4552" xr:uid="{1CE1B4F0-B1E5-4C6D-8368-291DE7ADF0ED}"/>
    <cellStyle name="Normal 3 3 4 2 2 3" xfId="2437" xr:uid="{0742E5C0-69C4-424A-8120-54366EAF181D}"/>
    <cellStyle name="Normal 3 3 4 2 2 3 2" xfId="4872" xr:uid="{2E8D8213-75AC-4C63-B6FF-87DD058CFDBB}"/>
    <cellStyle name="Normal 3 3 4 2 2 4" xfId="4002" xr:uid="{96695B27-E661-4EAE-A0BC-E7057E8662FD}"/>
    <cellStyle name="Normal 3 3 4 2 3" xfId="1865" xr:uid="{0E495B2C-90D0-4009-94EF-EC301167B00F}"/>
    <cellStyle name="Normal 3 3 4 2 3 2" xfId="2703" xr:uid="{7D48FB6B-431E-42FD-BAED-E41DA294F96D}"/>
    <cellStyle name="Normal 3 3 4 2 3 2 2" xfId="5138" xr:uid="{7EA30154-FAE9-43D5-8BBB-DCE6516F8D16}"/>
    <cellStyle name="Normal 3 3 4 2 3 3" xfId="4382" xr:uid="{106F64E7-0999-4E64-B966-133B967B2000}"/>
    <cellStyle name="Normal 3 3 4 2 4" xfId="2436" xr:uid="{B3C652F5-1485-4E28-B60E-A7C42A3E1AA0}"/>
    <cellStyle name="Normal 3 3 4 2 4 2" xfId="4871" xr:uid="{BBA05002-8547-45E6-92A3-7DA3C3E1BD91}"/>
    <cellStyle name="Normal 3 3 4 2 5" xfId="4001" xr:uid="{E6DBAC2A-CBD9-4C38-B5BA-B53E15E4804A}"/>
    <cellStyle name="Normal 3 3 4 3" xfId="1403" xr:uid="{A5592C36-CB1F-44FB-8C6A-FC65247DA472}"/>
    <cellStyle name="Normal 3 3 4 3 2" xfId="1404" xr:uid="{A0772FB0-1E0D-4BF8-B349-9B855F668DAA}"/>
    <cellStyle name="Normal 3 3 4 3 2 2" xfId="2036" xr:uid="{3062394D-17C7-4FF2-8E7E-D375DBF096C4}"/>
    <cellStyle name="Normal 3 3 4 3 2 2 2" xfId="2874" xr:uid="{ED0D24A5-8DA6-4355-A708-27020363E5F3}"/>
    <cellStyle name="Normal 3 3 4 3 2 2 2 2" xfId="5309" xr:uid="{64A8DD5D-61CD-4134-B53F-9D66EC9E8265}"/>
    <cellStyle name="Normal 3 3 4 3 2 2 3" xfId="4553" xr:uid="{1F80C74C-EEF9-4B28-991E-4A011753EF6E}"/>
    <cellStyle name="Normal 3 3 4 3 2 3" xfId="2439" xr:uid="{C1F648FC-3491-4D78-9A89-0ECCADFA62E1}"/>
    <cellStyle name="Normal 3 3 4 3 2 3 2" xfId="4874" xr:uid="{2D46E281-0A7B-4277-B615-D769A0AABBBB}"/>
    <cellStyle name="Normal 3 3 4 3 2 4" xfId="4004" xr:uid="{FA78B8FD-0E93-4D2F-AD29-C9AFB555B93D}"/>
    <cellStyle name="Normal 3 3 4 3 3" xfId="1866" xr:uid="{9F15135D-A294-49DC-8E42-0AE9EA58360F}"/>
    <cellStyle name="Normal 3 3 4 3 3 2" xfId="2704" xr:uid="{5027414D-5065-4A3F-8B0C-84A7DA1A1E80}"/>
    <cellStyle name="Normal 3 3 4 3 3 2 2" xfId="5139" xr:uid="{4B3A4620-B19C-4500-91BC-D4D78AC89A5F}"/>
    <cellStyle name="Normal 3 3 4 3 3 3" xfId="4383" xr:uid="{42EA3D69-2AF8-4984-8445-FE7682362371}"/>
    <cellStyle name="Normal 3 3 4 3 4" xfId="2438" xr:uid="{E9C082EB-1113-4281-A477-9A8EB0A9C642}"/>
    <cellStyle name="Normal 3 3 4 3 4 2" xfId="4873" xr:uid="{D1B224F0-C220-408E-A9CC-951D8A0F9039}"/>
    <cellStyle name="Normal 3 3 4 3 5" xfId="4003" xr:uid="{BAEAE8A4-92CA-4D39-917C-0712B538FEE1}"/>
    <cellStyle name="Normal 3 3 4 4" xfId="1405" xr:uid="{665917CD-2E1F-4E26-B8FF-F7C883159E4C}"/>
    <cellStyle name="Normal 3 3 4 4 2" xfId="2034" xr:uid="{79D50425-2DD0-4864-A2E2-1C7AB1809674}"/>
    <cellStyle name="Normal 3 3 4 4 2 2" xfId="2872" xr:uid="{094525CE-C14F-488B-A871-9C3B16D6254A}"/>
    <cellStyle name="Normal 3 3 4 4 2 2 2" xfId="5307" xr:uid="{67E188FD-A467-41F9-A404-8708BC9BD2C8}"/>
    <cellStyle name="Normal 3 3 4 4 2 3" xfId="4551" xr:uid="{5FD7498E-45C3-469C-B481-3800972CD594}"/>
    <cellStyle name="Normal 3 3 4 4 3" xfId="2440" xr:uid="{62050D8D-BE12-41D5-828E-0359566B4F78}"/>
    <cellStyle name="Normal 3 3 4 4 3 2" xfId="4875" xr:uid="{FE8020A5-E1CB-42DB-B143-987C1FA799F5}"/>
    <cellStyle name="Normal 3 3 4 4 4" xfId="4005" xr:uid="{9EE4D275-7ACF-4027-9F44-6EC4030A2CFE}"/>
    <cellStyle name="Normal 3 3 4 5" xfId="1864" xr:uid="{2BA38CFC-E470-433E-89DB-19B166968F03}"/>
    <cellStyle name="Normal 3 3 4 5 2" xfId="2702" xr:uid="{D2EC385D-B0D6-4FC8-8141-96DAF805DFCE}"/>
    <cellStyle name="Normal 3 3 4 5 2 2" xfId="5137" xr:uid="{7F725ECD-6F11-48ED-8F44-0A568D00CD6F}"/>
    <cellStyle name="Normal 3 3 4 5 3" xfId="4381" xr:uid="{0F80D9B4-F7FC-4A2B-9C6B-2EE56E1D1917}"/>
    <cellStyle name="Normal 3 3 4 6" xfId="2435" xr:uid="{A8FFF776-9E46-423C-9D14-26A7E5F83A0D}"/>
    <cellStyle name="Normal 3 3 4 6 2" xfId="4870" xr:uid="{61A98453-D359-4660-90F8-D8AAC76A79A1}"/>
    <cellStyle name="Normal 3 3 4 7" xfId="4000" xr:uid="{9778C4BF-EAED-40DA-93A1-3BFA90CBCD5F}"/>
    <cellStyle name="Normal 3 3 5" xfId="1406" xr:uid="{64513D89-4C41-427E-80C6-2EFE86A03ECA}"/>
    <cellStyle name="Normal 3 3 5 2" xfId="1407" xr:uid="{A31384D3-45D7-4925-8E49-5F2347F08324}"/>
    <cellStyle name="Normal 3 3 5 2 2" xfId="2037" xr:uid="{C3B00606-65B8-407F-9E6C-CCB43FB6F67F}"/>
    <cellStyle name="Normal 3 3 5 2 2 2" xfId="2875" xr:uid="{4167371A-27A7-4570-A701-9D0A70377591}"/>
    <cellStyle name="Normal 3 3 5 2 2 2 2" xfId="5310" xr:uid="{5D001594-6455-46D7-AC75-0E1D7DBCC1EE}"/>
    <cellStyle name="Normal 3 3 5 2 2 3" xfId="4554" xr:uid="{A4A71CCD-357D-418E-9843-234203213E44}"/>
    <cellStyle name="Normal 3 3 5 2 3" xfId="2442" xr:uid="{E66ADC8B-3B10-4BB5-8FD0-A017042AFC0E}"/>
    <cellStyle name="Normal 3 3 5 2 3 2" xfId="4877" xr:uid="{263465DB-33FD-4B57-8E1A-0F003ACF9737}"/>
    <cellStyle name="Normal 3 3 5 2 4" xfId="4007" xr:uid="{82618909-4CE7-466C-ABDE-081D7DF8A914}"/>
    <cellStyle name="Normal 3 3 5 3" xfId="1867" xr:uid="{81E0B588-9032-4944-91A5-3CA4A913426A}"/>
    <cellStyle name="Normal 3 3 5 3 2" xfId="2705" xr:uid="{E8FCBC92-FD4E-4BFF-9C7E-B3D16879693F}"/>
    <cellStyle name="Normal 3 3 5 3 2 2" xfId="5140" xr:uid="{E6EA6B0E-F7FE-4F6E-AF32-F33C59B72194}"/>
    <cellStyle name="Normal 3 3 5 3 3" xfId="4384" xr:uid="{8A5FA0B7-37E6-4F1F-A6B9-3EF7DABAA0F3}"/>
    <cellStyle name="Normal 3 3 5 4" xfId="2441" xr:uid="{B52838F8-FAEC-4C00-9B0E-CE2CB7FE4336}"/>
    <cellStyle name="Normal 3 3 5 4 2" xfId="4876" xr:uid="{BF11BA40-B360-4951-8CB0-83E7F7D06BAF}"/>
    <cellStyle name="Normal 3 3 5 5" xfId="4006" xr:uid="{09C50C48-2449-40E1-880E-6AA976330DDF}"/>
    <cellStyle name="Normal 3 3 6" xfId="1408" xr:uid="{FD3D6FCF-34A8-411A-8BE3-AFE7EC5716BB}"/>
    <cellStyle name="Normal 3 3 6 2" xfId="1409" xr:uid="{33737B73-3DE7-4A4C-BF5E-DCBA06100E7C}"/>
    <cellStyle name="Normal 3 3 6 2 2" xfId="2038" xr:uid="{9B8E0CC8-EC71-4EC1-87CB-A41937DC0C15}"/>
    <cellStyle name="Normal 3 3 6 2 2 2" xfId="2876" xr:uid="{38ACBA66-E1B2-4311-B31C-A6D19EFCEBAA}"/>
    <cellStyle name="Normal 3 3 6 2 2 2 2" xfId="5311" xr:uid="{AACC7517-FC02-47F9-BE82-2079831E27FD}"/>
    <cellStyle name="Normal 3 3 6 2 2 3" xfId="4555" xr:uid="{E268A843-69D5-415B-BC80-1992184E3619}"/>
    <cellStyle name="Normal 3 3 6 2 3" xfId="2444" xr:uid="{0B02FB7B-0676-4846-917E-9A93708FC029}"/>
    <cellStyle name="Normal 3 3 6 2 3 2" xfId="4879" xr:uid="{F909157F-98B5-41A7-AEF1-24D10C3A2915}"/>
    <cellStyle name="Normal 3 3 6 2 4" xfId="4009" xr:uid="{89DBD383-7F8F-4681-A986-AC3098BE95FB}"/>
    <cellStyle name="Normal 3 3 6 3" xfId="1868" xr:uid="{C5F39B25-5D2C-413F-8414-B90A7BC79881}"/>
    <cellStyle name="Normal 3 3 6 3 2" xfId="2706" xr:uid="{9771CDAC-AFD3-44AE-8B19-809F349A09BF}"/>
    <cellStyle name="Normal 3 3 6 3 2 2" xfId="5141" xr:uid="{A0939E39-24EC-4CD7-AF14-7442033417A6}"/>
    <cellStyle name="Normal 3 3 6 3 3" xfId="4385" xr:uid="{E16CEC21-4528-4F45-AAC5-EEC6E0AA0EB2}"/>
    <cellStyle name="Normal 3 3 6 4" xfId="2443" xr:uid="{4F9DFD65-C4EE-4042-A278-F91E2C27438C}"/>
    <cellStyle name="Normal 3 3 6 4 2" xfId="4878" xr:uid="{AF717E19-4357-417E-BC06-7133B057DBEF}"/>
    <cellStyle name="Normal 3 3 6 5" xfId="4008" xr:uid="{1BF2D357-7D01-49B5-A21A-B46E4A3FB8DB}"/>
    <cellStyle name="Normal 3 3 7" xfId="1410" xr:uid="{177FE0B9-15D3-4FD6-914A-15C5437B15A0}"/>
    <cellStyle name="Normal 3 3 7 2" xfId="2015" xr:uid="{F656B6F6-85C5-42B1-ADE5-D49436BB353F}"/>
    <cellStyle name="Normal 3 3 7 2 2" xfId="2853" xr:uid="{6DEEBB2A-9D42-4E8B-8833-01F69C7B1044}"/>
    <cellStyle name="Normal 3 3 7 2 2 2" xfId="5288" xr:uid="{284E1A21-61D9-4317-A2D4-CC9B946B549B}"/>
    <cellStyle name="Normal 3 3 7 2 3" xfId="4532" xr:uid="{EF9CDBA5-1E6D-417D-AB8B-D40CE9EB2CD7}"/>
    <cellStyle name="Normal 3 3 7 3" xfId="2445" xr:uid="{156F23E1-9503-4B67-88E7-A811E1B5605D}"/>
    <cellStyle name="Normal 3 3 7 3 2" xfId="4880" xr:uid="{F9AFEA38-455E-43B7-B076-2528CA9DCBB8}"/>
    <cellStyle name="Normal 3 3 7 4" xfId="4010" xr:uid="{AB765D11-6BEE-4E2C-B2C4-5D287FE75B99}"/>
    <cellStyle name="Normal 3 3 8" xfId="1845" xr:uid="{DA1D3347-50FA-4D55-ABF4-28F5780F8EA0}"/>
    <cellStyle name="Normal 3 3 8 2" xfId="2683" xr:uid="{5E2BB102-164E-41E0-88EC-8331CAEA81A9}"/>
    <cellStyle name="Normal 3 3 8 2 2" xfId="5118" xr:uid="{4C62DD1D-F18A-44A6-A0E1-16C25C044664}"/>
    <cellStyle name="Normal 3 3 8 3" xfId="4362" xr:uid="{D1D6D89F-1C97-455D-8E52-A8FD8AE11F22}"/>
    <cellStyle name="Normal 3 3 9" xfId="2238" xr:uid="{67223093-6D55-4D10-866E-FB3A7E3C7A67}"/>
    <cellStyle name="Normal 3 3 9 2" xfId="4707" xr:uid="{8338E768-8237-4084-804A-EC5363B9F671}"/>
    <cellStyle name="Normal 3 4" xfId="1411" xr:uid="{E07EF025-6392-49B2-9524-0A7ADE9084F0}"/>
    <cellStyle name="Normal 3 5" xfId="1412" xr:uid="{8026D960-26CA-4BC8-A610-A5D73AB6F664}"/>
    <cellStyle name="Normal 3 5 2" xfId="1971" xr:uid="{3154FD98-1B66-4C88-98CB-F4B1522EAB50}"/>
    <cellStyle name="Normal 3 5 2 2" xfId="2809" xr:uid="{2E0D4192-9ACF-48EF-9FD3-862E0A94A21D}"/>
    <cellStyle name="Normal 3 5 2 2 2" xfId="5244" xr:uid="{AED631CC-97DF-4FC6-9B56-7F9FB3B2EC55}"/>
    <cellStyle name="Normal 3 5 2 3" xfId="4488" xr:uid="{535FBF8D-F77F-45ED-8136-F7DE7C828532}"/>
    <cellStyle name="Normal 3 5 3" xfId="2446" xr:uid="{D38533AA-7E60-4E2D-AE8F-5A21B02C7634}"/>
    <cellStyle name="Normal 3 5 3 2" xfId="4881" xr:uid="{FC9D4409-FFFD-45D3-AF45-89AB52CD2AF7}"/>
    <cellStyle name="Normal 3 5 4" xfId="4011" xr:uid="{4737EB5C-F06E-426A-808C-83B347CDE900}"/>
    <cellStyle name="Normal 3 6" xfId="1801" xr:uid="{AE5E5130-66D7-4456-96BB-04C887517A71}"/>
    <cellStyle name="Normal 3 6 2" xfId="2639" xr:uid="{9213465F-866C-46DC-9C94-DB086527884F}"/>
    <cellStyle name="Normal 3 6 2 2" xfId="5074" xr:uid="{F39775D5-5720-4F7B-9220-21181BECE1AD}"/>
    <cellStyle name="Normal 3 6 3" xfId="4318" xr:uid="{7638B34C-35F9-4624-A7D3-72AE3FCA2DBE}"/>
    <cellStyle name="Normal 3 7" xfId="2211" xr:uid="{01937FA9-C02D-43C7-B759-5DDCE3B77C71}"/>
    <cellStyle name="Normal 3 7 2" xfId="4701" xr:uid="{475CDF7F-1A87-423E-A876-DBABB37692DF}"/>
    <cellStyle name="Normal 3 8" xfId="2397" xr:uid="{4338B9C6-E7A0-455D-ADC3-4BFC1BC16ACF}"/>
    <cellStyle name="Normal 3 8 2" xfId="4832" xr:uid="{B0FC8700-B769-4F37-973C-18327EA4414A}"/>
    <cellStyle name="Normal 3 9" xfId="1360" xr:uid="{5339F9A2-E26C-4C7D-90CA-10A5E8068A28}"/>
    <cellStyle name="Normal 3 9 2" xfId="3962" xr:uid="{E47513EC-51EE-43F5-BFED-1706AF1ADD5E}"/>
    <cellStyle name="Normal 3_Incentive Updates" xfId="1413" xr:uid="{D3969A28-EB85-48D9-A55B-CC6D1D915F03}"/>
    <cellStyle name="Normal 30" xfId="2147" xr:uid="{EB1984AC-E7FA-4B85-9234-FEE0C0E6AA76}"/>
    <cellStyle name="Normal 30 2" xfId="2985" xr:uid="{A4A65E60-3D86-4347-B063-CB420775C93C}"/>
    <cellStyle name="Normal 31" xfId="2145" xr:uid="{9E1FD06A-92B1-4BC3-AE96-68F7FDAD8592}"/>
    <cellStyle name="Normal 31 2" xfId="2983" xr:uid="{3D273932-F43B-47FA-8F1D-7F9613B06AD4}"/>
    <cellStyle name="Normal 32" xfId="2150" xr:uid="{03C2B7E3-C312-434F-8F76-F1FFC81F706A}"/>
    <cellStyle name="Normal 32 2" xfId="2988" xr:uid="{B1DFB432-A4CC-489B-B342-98994B5D2767}"/>
    <cellStyle name="Normal 33" xfId="2154" xr:uid="{042BD4E1-9248-479D-8C5D-89ED33091B80}"/>
    <cellStyle name="Normal 33 2" xfId="2992" xr:uid="{B19EE2B7-0C89-419B-995F-01171C156584}"/>
    <cellStyle name="Normal 34" xfId="2153" xr:uid="{CF125725-C3AF-4B34-8F89-0C467B16FB7D}"/>
    <cellStyle name="Normal 34 2" xfId="2991" xr:uid="{0B467CEE-6FD7-45CD-A12E-650A0734F8F4}"/>
    <cellStyle name="Normal 35" xfId="2146" xr:uid="{F5D06E54-BA2A-400B-A84A-5CD98C31B4F9}"/>
    <cellStyle name="Normal 35 2" xfId="2984" xr:uid="{388D8C0C-E63F-4709-A903-47F6ABD4CDB7}"/>
    <cellStyle name="Normal 36" xfId="2151" xr:uid="{03659B4D-6997-4EFB-9244-36F68ABC88B3}"/>
    <cellStyle name="Normal 36 2" xfId="2989" xr:uid="{0E83AC94-A1A9-4F48-AAB2-87BA2B73223D}"/>
    <cellStyle name="Normal 37" xfId="2148" xr:uid="{6A183786-AA4E-45EC-BAD5-CFB09C0F7207}"/>
    <cellStyle name="Normal 37 2" xfId="2986" xr:uid="{32482FB2-AA1D-497B-AF4F-DE1EADC35E2B}"/>
    <cellStyle name="Normal 38" xfId="2158" xr:uid="{A433DD2E-9D42-4B32-8AAC-F4B99489AF18}"/>
    <cellStyle name="Normal 38 2" xfId="2996" xr:uid="{2452C8FB-CE97-480B-A0DF-2F0F7BFE5BDA}"/>
    <cellStyle name="Normal 39" xfId="2157" xr:uid="{2AC46E4D-5C15-4AA9-B9B6-262370DE1DC3}"/>
    <cellStyle name="Normal 39 2" xfId="2995" xr:uid="{80B78F04-9D59-4146-A533-50BE7AC792A5}"/>
    <cellStyle name="Normal 4" xfId="148" xr:uid="{00000000-0005-0000-0000-0000B6010000}"/>
    <cellStyle name="Normal 4 10" xfId="1415" xr:uid="{1BE2DF3A-E8D6-4A04-BB77-CA534FA64D29}"/>
    <cellStyle name="Normal 4 10 2" xfId="1416" xr:uid="{D87BE5EF-8098-4794-8A61-9C6EFFE50B0F}"/>
    <cellStyle name="Normal 4 10 2 2" xfId="2040" xr:uid="{474797E6-3EC6-4C7B-9A42-765732C8F2D7}"/>
    <cellStyle name="Normal 4 10 2 2 2" xfId="2878" xr:uid="{25C34643-D2EF-4B7B-811D-D68C0902B9FF}"/>
    <cellStyle name="Normal 4 10 2 2 2 2" xfId="5313" xr:uid="{719114A0-9D91-44B3-AD74-E2C285DE08EE}"/>
    <cellStyle name="Normal 4 10 2 2 3" xfId="4557" xr:uid="{12851DEE-FADA-40DE-8B79-808EB7352A45}"/>
    <cellStyle name="Normal 4 10 2 3" xfId="2449" xr:uid="{4B095C41-63D4-4635-BDCD-4D41C3409B55}"/>
    <cellStyle name="Normal 4 10 2 3 2" xfId="4884" xr:uid="{E14372BF-44DF-4C73-AF99-7C09E42D0EEF}"/>
    <cellStyle name="Normal 4 10 2 4" xfId="4014" xr:uid="{6068F74A-2D0E-475A-BCB3-560F97E6D2D0}"/>
    <cellStyle name="Normal 4 10 3" xfId="1870" xr:uid="{3503F00A-77CF-4E5D-A299-366FE81EB8FB}"/>
    <cellStyle name="Normal 4 10 3 2" xfId="2708" xr:uid="{EFE79BC0-E857-4949-A78F-ACA9D043128F}"/>
    <cellStyle name="Normal 4 10 3 2 2" xfId="5143" xr:uid="{269A4F99-D996-4F43-88F5-9FB8676534C0}"/>
    <cellStyle name="Normal 4 10 3 3" xfId="4387" xr:uid="{5E7753AC-7974-4960-8764-F3525C36CEFF}"/>
    <cellStyle name="Normal 4 10 4" xfId="2448" xr:uid="{801B24CB-8456-444F-90B3-2A48340AB901}"/>
    <cellStyle name="Normal 4 10 4 2" xfId="4883" xr:uid="{0547582D-CA10-403F-9653-1FE316E9C24E}"/>
    <cellStyle name="Normal 4 10 5" xfId="4013" xr:uid="{47B423A3-6C87-4724-AE3E-3C2A03A72B30}"/>
    <cellStyle name="Normal 4 11" xfId="1417" xr:uid="{E31DF5AA-71E0-403C-AB87-D036CC23DCCA}"/>
    <cellStyle name="Normal 4 11 2" xfId="1418" xr:uid="{BE232B32-7EE7-4C04-9611-CF485921CEEE}"/>
    <cellStyle name="Normal 4 11 2 2" xfId="2039" xr:uid="{8B88AE50-0BB1-4921-A78D-9059D8DC5341}"/>
    <cellStyle name="Normal 4 11 2 2 2" xfId="2877" xr:uid="{CDB89B80-33AF-4B7E-BF50-E20696542D13}"/>
    <cellStyle name="Normal 4 11 2 2 2 2" xfId="5312" xr:uid="{B19CD8B0-6D81-4757-9F9E-E2CEB4A0A8AE}"/>
    <cellStyle name="Normal 4 11 2 2 3" xfId="4556" xr:uid="{BAC5408D-A7D0-49EA-959E-55955D4FAA83}"/>
    <cellStyle name="Normal 4 11 2 3" xfId="2451" xr:uid="{F991B8BE-CBF8-4CD0-918B-1071E4D70F19}"/>
    <cellStyle name="Normal 4 11 2 3 2" xfId="4886" xr:uid="{A4BCA45A-EB0B-4052-AEBC-BA2BC685EFCC}"/>
    <cellStyle name="Normal 4 11 2 4" xfId="4016" xr:uid="{1D66AEBF-BA8D-4A5C-A041-FC1B861FA249}"/>
    <cellStyle name="Normal 4 11 3" xfId="1869" xr:uid="{9D21628D-F37E-4D0D-891C-BFFFEB29BE14}"/>
    <cellStyle name="Normal 4 11 3 2" xfId="2707" xr:uid="{981A7E47-6ACB-4EE8-8461-AA96CF9A6637}"/>
    <cellStyle name="Normal 4 11 3 2 2" xfId="5142" xr:uid="{696D8BC5-2493-4591-80EA-6D5909F79210}"/>
    <cellStyle name="Normal 4 11 3 3" xfId="4386" xr:uid="{993F8755-F726-4AD6-A33F-4FFBBEDD9189}"/>
    <cellStyle name="Normal 4 11 4" xfId="2450" xr:uid="{4E7992CB-C4B0-4510-8EA8-EA0FDCAD0976}"/>
    <cellStyle name="Normal 4 11 4 2" xfId="4885" xr:uid="{942B3467-EA58-4755-AD80-7E3B3AB1E734}"/>
    <cellStyle name="Normal 4 11 5" xfId="4015" xr:uid="{3E83B5D5-700B-45AF-AE2E-6A98ADC66D48}"/>
    <cellStyle name="Normal 4 12" xfId="1419" xr:uid="{C2675D15-315A-4588-A442-F1834919F03C}"/>
    <cellStyle name="Normal 4 12 2" xfId="1972" xr:uid="{458578E6-801C-4E86-805E-3BDF025052D2}"/>
    <cellStyle name="Normal 4 12 2 2" xfId="2810" xr:uid="{915344BF-27CF-4D64-909E-A52F371A4AB0}"/>
    <cellStyle name="Normal 4 12 2 2 2" xfId="5245" xr:uid="{018E0805-E0F1-4BA3-BFA2-7FA2F2366DC6}"/>
    <cellStyle name="Normal 4 12 2 3" xfId="4489" xr:uid="{841F1D21-B2B1-413D-A7E2-EE2CB24A3E02}"/>
    <cellStyle name="Normal 4 12 3" xfId="2452" xr:uid="{1F5BB8FA-3E8D-4099-8305-C1C385E1F88C}"/>
    <cellStyle name="Normal 4 12 3 2" xfId="4887" xr:uid="{56B84EFB-A44B-44B7-A25D-CF15D4DC0416}"/>
    <cellStyle name="Normal 4 12 4" xfId="4017" xr:uid="{EA11F2E1-539D-4391-AF74-3309F43F2F3D}"/>
    <cellStyle name="Normal 4 13" xfId="1802" xr:uid="{57F4B076-F719-4377-A171-ED751CA88326}"/>
    <cellStyle name="Normal 4 13 2" xfId="2640" xr:uid="{212FB2C4-E530-4B5D-AB8C-984984C0182B}"/>
    <cellStyle name="Normal 4 13 2 2" xfId="5075" xr:uid="{1CE43B8A-0EF4-44B0-883D-F0232764FB97}"/>
    <cellStyle name="Normal 4 13 3" xfId="4319" xr:uid="{40790331-AE13-462F-BC88-BCDB1B9F1B87}"/>
    <cellStyle name="Normal 4 14" xfId="2212" xr:uid="{C6763DA5-5318-4333-A471-9CCB44A4CC81}"/>
    <cellStyle name="Normal 4 14 2" xfId="4702" xr:uid="{6E104FC1-3AC7-4501-8C2C-346CAB50C0B7}"/>
    <cellStyle name="Normal 4 15" xfId="2447" xr:uid="{C0BECD78-7F86-4D73-9846-7A445EFEAD39}"/>
    <cellStyle name="Normal 4 15 2" xfId="4882" xr:uid="{7C18B373-1066-4032-8D72-C879597BBB08}"/>
    <cellStyle name="Normal 4 16" xfId="1414" xr:uid="{B496AEFD-17AA-4AEA-9CBA-0888E904FC39}"/>
    <cellStyle name="Normal 4 16 2" xfId="4012" xr:uid="{896D612F-9991-46A7-9400-F5434A3278D1}"/>
    <cellStyle name="Normal 4 2" xfId="526" xr:uid="{00000000-0005-0000-0000-0000B7010000}"/>
    <cellStyle name="Normal 4 2 2" xfId="1421" xr:uid="{3E8B6682-E608-4994-9D5F-DA6519C99EC7}"/>
    <cellStyle name="Normal 4 2 3" xfId="1422" xr:uid="{F2F23754-5CA1-4989-ACC3-228BFED9D049}"/>
    <cellStyle name="Normal 4 2 3 2" xfId="2041" xr:uid="{5FC90356-4814-4BCE-ABA7-C126D29F3832}"/>
    <cellStyle name="Normal 4 2 3 2 2" xfId="2879" xr:uid="{5337AD9B-8649-4117-BCF7-0C0FBB4F1DED}"/>
    <cellStyle name="Normal 4 2 3 2 2 2" xfId="5314" xr:uid="{F5B3A855-4774-43CB-9A7C-5BE3826906BF}"/>
    <cellStyle name="Normal 4 2 3 2 3" xfId="4558" xr:uid="{144A87C3-9719-4754-A902-C2F8B72A9FF5}"/>
    <cellStyle name="Normal 4 2 3 3" xfId="2454" xr:uid="{86B853D3-0648-425E-9A2D-D413211D119B}"/>
    <cellStyle name="Normal 4 2 3 3 2" xfId="4889" xr:uid="{B0F713C0-B098-4BD7-91A2-B576D63D1231}"/>
    <cellStyle name="Normal 4 2 3 4" xfId="4019" xr:uid="{469A8274-1778-44DC-AC1A-B3F5D027D04D}"/>
    <cellStyle name="Normal 4 2 4" xfId="1871" xr:uid="{D5863288-E899-4115-9C51-94A6218A7911}"/>
    <cellStyle name="Normal 4 2 4 2" xfId="2709" xr:uid="{9B31484D-2940-4239-BF0A-50C171192BDD}"/>
    <cellStyle name="Normal 4 2 4 2 2" xfId="5144" xr:uid="{2FCF1EAE-DFE2-40C3-B1DC-4D5412BBAE5E}"/>
    <cellStyle name="Normal 4 2 4 3" xfId="4388" xr:uid="{E9718130-ADD9-4B9E-9381-F97D99741792}"/>
    <cellStyle name="Normal 4 2 5" xfId="2239" xr:uid="{8BFA4B12-02EB-4D46-A543-A51021E5129A}"/>
    <cellStyle name="Normal 4 2 5 2" xfId="4708" xr:uid="{0E69F372-B876-4F2D-86B6-FC24C7CDD8E6}"/>
    <cellStyle name="Normal 4 2 6" xfId="2453" xr:uid="{C333BE56-60BC-4572-80D4-B630E3BD9236}"/>
    <cellStyle name="Normal 4 2 6 2" xfId="4888" xr:uid="{39A7FF67-6B2E-47B2-ACF5-6072066B76C0}"/>
    <cellStyle name="Normal 4 2 7" xfId="1420" xr:uid="{E22DB21D-3CCA-4A75-A6DB-1CEA16C08A21}"/>
    <cellStyle name="Normal 4 2 7 2" xfId="4018" xr:uid="{62A93309-6712-461C-B190-68DCD848436B}"/>
    <cellStyle name="Normal 4 3" xfId="1423" xr:uid="{90783ECF-349C-42B6-AAA5-43F8608AB97B}"/>
    <cellStyle name="Normal 4 3 2" xfId="1424" xr:uid="{C27E44D1-6BE5-48B5-A78E-0D78C4CF7F7D}"/>
    <cellStyle name="Normal 4 3 2 2" xfId="1425" xr:uid="{0895EE86-050C-4FFF-9535-C26B32CD2FD1}"/>
    <cellStyle name="Normal 4 3 2 2 2" xfId="2042" xr:uid="{FDB59BB0-6168-4614-A64F-7A3CCA0F015C}"/>
    <cellStyle name="Normal 4 3 2 2 2 2" xfId="2880" xr:uid="{D63EE033-C852-42C7-AEAB-DC476DD0DB4D}"/>
    <cellStyle name="Normal 4 3 2 2 2 2 2" xfId="5315" xr:uid="{BE7CFFCD-B926-4BE2-ACF4-B2676A970AA9}"/>
    <cellStyle name="Normal 4 3 2 2 2 3" xfId="4559" xr:uid="{A8DCB4D2-BCE3-488F-8ADD-B3333623B1D3}"/>
    <cellStyle name="Normal 4 3 2 2 3" xfId="2456" xr:uid="{5742E25E-E816-49DC-9F0C-ACEAFBB57BAB}"/>
    <cellStyle name="Normal 4 3 2 2 3 2" xfId="4891" xr:uid="{1710859E-04CB-41FB-8B95-67189F57FF30}"/>
    <cellStyle name="Normal 4 3 2 2 4" xfId="4021" xr:uid="{B58CD651-67D6-4202-9812-7005862BF350}"/>
    <cellStyle name="Normal 4 3 2 3" xfId="1872" xr:uid="{B4856B71-0879-4DFB-889D-D0845C997D55}"/>
    <cellStyle name="Normal 4 3 2 3 2" xfId="2710" xr:uid="{0CB65072-B25B-46A3-AF23-36DCA7580F4E}"/>
    <cellStyle name="Normal 4 3 2 3 2 2" xfId="5145" xr:uid="{D5C3B2A6-AA33-4DCC-BCCC-C3667356F220}"/>
    <cellStyle name="Normal 4 3 2 3 3" xfId="4389" xr:uid="{0A6F1E10-624E-4C5B-A27C-08CD3D23923B}"/>
    <cellStyle name="Normal 4 3 2 4" xfId="2455" xr:uid="{0362333F-8C70-45AF-AA44-FD0EA3CAB068}"/>
    <cellStyle name="Normal 4 3 2 4 2" xfId="4890" xr:uid="{DB2D5FDF-BD53-48A6-956F-9ECE89CCF3E0}"/>
    <cellStyle name="Normal 4 3 2 5" xfId="4020" xr:uid="{54E6F5FD-EADB-4157-A16F-2675B686B8A7}"/>
    <cellStyle name="Normal 4 4" xfId="1426" xr:uid="{10F48314-4B1F-4599-910F-536433DC0892}"/>
    <cellStyle name="Normal 4 4 2" xfId="1427" xr:uid="{26EC271B-8E79-4315-B147-A60AC4AAC0A4}"/>
    <cellStyle name="Normal 4 5" xfId="1428" xr:uid="{B575BC4C-51F0-477C-A197-6F2E726F71F5}"/>
    <cellStyle name="Normal 4 6" xfId="1429" xr:uid="{466E2276-04EB-494A-AE89-748BACB6583D}"/>
    <cellStyle name="Normal 4 6 2" xfId="1430" xr:uid="{50D3746E-3BD7-432E-8FC2-D9AC50EC4458}"/>
    <cellStyle name="Normal 4 6 2 2" xfId="1431" xr:uid="{62E76B8F-C830-4A60-B406-940C85D31F3D}"/>
    <cellStyle name="Normal 4 6 2 2 2" xfId="1432" xr:uid="{9813F9E8-7FF1-417C-9A54-9BC5858777AA}"/>
    <cellStyle name="Normal 4 6 2 2 2 2" xfId="2045" xr:uid="{56EBC6B3-0CB4-4206-AE23-2656F6850B15}"/>
    <cellStyle name="Normal 4 6 2 2 2 2 2" xfId="2883" xr:uid="{20B62EEB-78F3-4681-8434-1906138694AD}"/>
    <cellStyle name="Normal 4 6 2 2 2 2 2 2" xfId="5318" xr:uid="{CD74940A-1210-4902-830F-1FDF8EAD5CCE}"/>
    <cellStyle name="Normal 4 6 2 2 2 2 3" xfId="4562" xr:uid="{93927BC9-A06E-4636-B70B-127807266E1D}"/>
    <cellStyle name="Normal 4 6 2 2 2 3" xfId="2460" xr:uid="{4131F70C-5FD2-4D6C-BDA2-041357C18EFF}"/>
    <cellStyle name="Normal 4 6 2 2 2 3 2" xfId="4895" xr:uid="{8BB2F9B5-B27D-4ED7-9B43-CD71B629FB50}"/>
    <cellStyle name="Normal 4 6 2 2 2 4" xfId="4025" xr:uid="{5BD34746-D110-46C0-A3B3-8224C6607C53}"/>
    <cellStyle name="Normal 4 6 2 2 3" xfId="1875" xr:uid="{54234563-2460-401B-9890-2B1A84C8A454}"/>
    <cellStyle name="Normal 4 6 2 2 3 2" xfId="2713" xr:uid="{1D6EC568-6CE7-4772-A4CC-8DEA4D51AADC}"/>
    <cellStyle name="Normal 4 6 2 2 3 2 2" xfId="5148" xr:uid="{BCE00C4E-FB55-4966-BE5D-16F505410B5D}"/>
    <cellStyle name="Normal 4 6 2 2 3 3" xfId="4392" xr:uid="{FAB2241A-8873-4766-ABB8-30ABF093999A}"/>
    <cellStyle name="Normal 4 6 2 2 4" xfId="2459" xr:uid="{973FEA00-9FB0-4775-AAC5-C2E643486BBB}"/>
    <cellStyle name="Normal 4 6 2 2 4 2" xfId="4894" xr:uid="{04240FB5-C27A-42B4-83C9-2298CA7EF1D5}"/>
    <cellStyle name="Normal 4 6 2 2 5" xfId="4024" xr:uid="{F096323C-5FF2-4AC9-BDEF-E95E14FF6A5C}"/>
    <cellStyle name="Normal 4 6 2 3" xfId="1433" xr:uid="{3083BE82-C028-4BEA-A637-B71F770E252F}"/>
    <cellStyle name="Normal 4 6 2 3 2" xfId="1434" xr:uid="{C7D544F5-8882-4C01-8F25-0DBFEFD4C1F8}"/>
    <cellStyle name="Normal 4 6 2 3 2 2" xfId="2046" xr:uid="{C0735A62-52FF-4678-A2A6-EBB18CE58F08}"/>
    <cellStyle name="Normal 4 6 2 3 2 2 2" xfId="2884" xr:uid="{4FE45C9F-FEBA-4DAF-9DDC-F192B407A60A}"/>
    <cellStyle name="Normal 4 6 2 3 2 2 2 2" xfId="5319" xr:uid="{C208CA13-3114-4D8E-B28F-4CF04462D9B5}"/>
    <cellStyle name="Normal 4 6 2 3 2 2 3" xfId="4563" xr:uid="{3D15BEB3-7053-4817-93F8-121707D4CA10}"/>
    <cellStyle name="Normal 4 6 2 3 2 3" xfId="2462" xr:uid="{1E3B1081-89B0-4822-AAE3-103D4D835651}"/>
    <cellStyle name="Normal 4 6 2 3 2 3 2" xfId="4897" xr:uid="{122146DC-964E-4CA6-8AB5-0E637BBCAB78}"/>
    <cellStyle name="Normal 4 6 2 3 2 4" xfId="4027" xr:uid="{21E68CBC-D217-43A4-B700-56094F58849A}"/>
    <cellStyle name="Normal 4 6 2 3 3" xfId="1876" xr:uid="{DE07F520-FA4C-4D4B-96F4-795A6B558887}"/>
    <cellStyle name="Normal 4 6 2 3 3 2" xfId="2714" xr:uid="{70C31B90-BBB6-4817-949C-DA2E3A0ED760}"/>
    <cellStyle name="Normal 4 6 2 3 3 2 2" xfId="5149" xr:uid="{B51F2859-ED5D-4806-841E-F8E485598FBD}"/>
    <cellStyle name="Normal 4 6 2 3 3 3" xfId="4393" xr:uid="{8D6825B3-0965-47DD-8C90-D8A6EFA5F9B5}"/>
    <cellStyle name="Normal 4 6 2 3 4" xfId="2461" xr:uid="{BE2315A9-A79D-4D58-AF9E-B002EF2EDB3E}"/>
    <cellStyle name="Normal 4 6 2 3 4 2" xfId="4896" xr:uid="{C63BCD25-DBDC-49AC-BA11-D9820809E420}"/>
    <cellStyle name="Normal 4 6 2 3 5" xfId="4026" xr:uid="{1A9362D9-7AA9-43DE-941F-F8E5E149EBE9}"/>
    <cellStyle name="Normal 4 6 2 4" xfId="1435" xr:uid="{7685870A-C047-4C99-A0BF-1701062D3354}"/>
    <cellStyle name="Normal 4 6 2 4 2" xfId="2044" xr:uid="{798DA74D-08DF-4DED-8B9C-1C1506BC42ED}"/>
    <cellStyle name="Normal 4 6 2 4 2 2" xfId="2882" xr:uid="{9BC80D4D-FA01-4E59-B917-70D765CA0989}"/>
    <cellStyle name="Normal 4 6 2 4 2 2 2" xfId="5317" xr:uid="{C47E416D-7055-4168-AC8F-75A3BF239000}"/>
    <cellStyle name="Normal 4 6 2 4 2 3" xfId="4561" xr:uid="{B7C2E245-5453-418B-9BF5-185A7EAF3D10}"/>
    <cellStyle name="Normal 4 6 2 4 3" xfId="2463" xr:uid="{63FE4BDB-C9BD-4503-9D20-D208D220B406}"/>
    <cellStyle name="Normal 4 6 2 4 3 2" xfId="4898" xr:uid="{A5077B30-1F46-4E2F-B166-7FAC0844CF60}"/>
    <cellStyle name="Normal 4 6 2 4 4" xfId="4028" xr:uid="{0CFCDC1E-5BE4-461A-86D0-07D4964EF215}"/>
    <cellStyle name="Normal 4 6 2 5" xfId="1874" xr:uid="{973D753B-4B02-424F-B827-B46D26EA69ED}"/>
    <cellStyle name="Normal 4 6 2 5 2" xfId="2712" xr:uid="{CB97BAA2-3859-4EA1-9439-8586C8258A66}"/>
    <cellStyle name="Normal 4 6 2 5 2 2" xfId="5147" xr:uid="{EF09B441-62DE-41AD-9513-FD62418A4BBD}"/>
    <cellStyle name="Normal 4 6 2 5 3" xfId="4391" xr:uid="{61D018AD-7B81-465A-8629-0C7FF7BED436}"/>
    <cellStyle name="Normal 4 6 2 6" xfId="2458" xr:uid="{AA81057F-D192-404A-A8E8-9071E5A4ADE6}"/>
    <cellStyle name="Normal 4 6 2 6 2" xfId="4893" xr:uid="{10558653-832F-420D-9D5B-B9EC151A291A}"/>
    <cellStyle name="Normal 4 6 2 7" xfId="4023" xr:uid="{BF1FD5BF-6D48-44AE-A296-D0215D5C3682}"/>
    <cellStyle name="Normal 4 6 3" xfId="1436" xr:uid="{A88E3927-5C89-483F-843D-84143B845777}"/>
    <cellStyle name="Normal 4 6 3 2" xfId="1437" xr:uid="{C587A701-EC3B-4F1D-ADED-CB54A56D5151}"/>
    <cellStyle name="Normal 4 6 3 2 2" xfId="2047" xr:uid="{BDC8E6A6-F802-440A-93AB-FE2AC2FAF50B}"/>
    <cellStyle name="Normal 4 6 3 2 2 2" xfId="2885" xr:uid="{75ABF46E-A8C1-4135-B512-D0117323D769}"/>
    <cellStyle name="Normal 4 6 3 2 2 2 2" xfId="5320" xr:uid="{C32D534B-5787-484A-817C-F3F2A6A40055}"/>
    <cellStyle name="Normal 4 6 3 2 2 3" xfId="4564" xr:uid="{F706264E-E4C1-4F91-95EA-BFA6D65A96C1}"/>
    <cellStyle name="Normal 4 6 3 2 3" xfId="2465" xr:uid="{5A2DBE64-45DA-4212-A44A-54DB40C37055}"/>
    <cellStyle name="Normal 4 6 3 2 3 2" xfId="4900" xr:uid="{61F742CB-04DB-4464-9F85-AFAB39FC0BBA}"/>
    <cellStyle name="Normal 4 6 3 2 4" xfId="4030" xr:uid="{8256C4AD-F679-4712-84B0-670DD9908C17}"/>
    <cellStyle name="Normal 4 6 3 3" xfId="1877" xr:uid="{5BBE7A73-9613-4479-9A5B-E8417AD7049E}"/>
    <cellStyle name="Normal 4 6 3 3 2" xfId="2715" xr:uid="{AD255259-EF28-4D48-98CF-3BC0804EAC48}"/>
    <cellStyle name="Normal 4 6 3 3 2 2" xfId="5150" xr:uid="{1D99E74D-766E-40E5-A771-3A52F40F7134}"/>
    <cellStyle name="Normal 4 6 3 3 3" xfId="4394" xr:uid="{D3F18292-5A86-4AB1-A5A6-3F9E481A7C3B}"/>
    <cellStyle name="Normal 4 6 3 4" xfId="2464" xr:uid="{03FBC877-9BFA-4D45-BAA9-8CE6AC874AA9}"/>
    <cellStyle name="Normal 4 6 3 4 2" xfId="4899" xr:uid="{53409D70-B45A-4775-8E73-0E2922E18E91}"/>
    <cellStyle name="Normal 4 6 3 5" xfId="4029" xr:uid="{8C1E8B8B-7492-41E0-8F16-63AB36D2E01A}"/>
    <cellStyle name="Normal 4 6 4" xfId="1438" xr:uid="{3ADE5F29-6162-4CC6-9939-5A7759483DF6}"/>
    <cellStyle name="Normal 4 6 4 2" xfId="1439" xr:uid="{9C956B0A-D923-4F46-A4EE-8CF25CA52E25}"/>
    <cellStyle name="Normal 4 6 4 2 2" xfId="2048" xr:uid="{FCDD54C5-DBD0-4047-B921-955540F9F95A}"/>
    <cellStyle name="Normal 4 6 4 2 2 2" xfId="2886" xr:uid="{00422412-2BBA-470E-83E7-05F8FBF0AEEF}"/>
    <cellStyle name="Normal 4 6 4 2 2 2 2" xfId="5321" xr:uid="{439FC446-7D45-44ED-82C8-A5FB559245BE}"/>
    <cellStyle name="Normal 4 6 4 2 2 3" xfId="4565" xr:uid="{824FA100-1D34-4969-801F-47E22C067E5B}"/>
    <cellStyle name="Normal 4 6 4 2 3" xfId="2467" xr:uid="{A55FA090-2633-4C7E-8203-1CA3C44A89A3}"/>
    <cellStyle name="Normal 4 6 4 2 3 2" xfId="4902" xr:uid="{71E46671-27D0-4B74-BBF4-AF96CA15768F}"/>
    <cellStyle name="Normal 4 6 4 2 4" xfId="4032" xr:uid="{B6073619-C6AA-4E33-8A91-826F68341C65}"/>
    <cellStyle name="Normal 4 6 4 3" xfId="1878" xr:uid="{B10AD301-133D-48CF-938B-C8FD426F1AD5}"/>
    <cellStyle name="Normal 4 6 4 3 2" xfId="2716" xr:uid="{4EA15C64-6731-4FE6-BC33-93FE40CCD1A8}"/>
    <cellStyle name="Normal 4 6 4 3 2 2" xfId="5151" xr:uid="{C2561033-5E89-494D-B6BB-622822F57F7D}"/>
    <cellStyle name="Normal 4 6 4 3 3" xfId="4395" xr:uid="{13B87717-E6D9-4596-A098-65F59874B98D}"/>
    <cellStyle name="Normal 4 6 4 4" xfId="2466" xr:uid="{B4F27700-57BA-437C-8C0B-C5D0300DDAA7}"/>
    <cellStyle name="Normal 4 6 4 4 2" xfId="4901" xr:uid="{E6B6E6E8-E0B3-4DF0-84AD-FA16A6856107}"/>
    <cellStyle name="Normal 4 6 4 5" xfId="4031" xr:uid="{5757C5BE-6F3D-4FE1-9F3B-364BD56BEA42}"/>
    <cellStyle name="Normal 4 6 5" xfId="1440" xr:uid="{5529D59E-F711-47D2-9E2F-294B7FD0334F}"/>
    <cellStyle name="Normal 4 6 5 2" xfId="2043" xr:uid="{681AB269-9F92-4940-9D75-996C5C906CD5}"/>
    <cellStyle name="Normal 4 6 5 2 2" xfId="2881" xr:uid="{0EFB0F9E-DEF2-45D7-BA4F-62EAD558C49A}"/>
    <cellStyle name="Normal 4 6 5 2 2 2" xfId="5316" xr:uid="{5FABCF2F-9763-475D-BA93-03D031AA71C1}"/>
    <cellStyle name="Normal 4 6 5 2 3" xfId="4560" xr:uid="{036422C0-13C9-4323-B554-2F32109732F3}"/>
    <cellStyle name="Normal 4 6 5 3" xfId="2468" xr:uid="{B9DD7042-CEBF-4012-AE3D-17A97F0A0875}"/>
    <cellStyle name="Normal 4 6 5 3 2" xfId="4903" xr:uid="{04669035-AA24-471E-A8EA-5B35B9ECE7AF}"/>
    <cellStyle name="Normal 4 6 5 4" xfId="4033" xr:uid="{3268616B-37C1-41E1-8A8A-25A9CA7F45AF}"/>
    <cellStyle name="Normal 4 6 6" xfId="1873" xr:uid="{838CBE68-CE96-46A0-A151-4D4BDB6F83D1}"/>
    <cellStyle name="Normal 4 6 6 2" xfId="2711" xr:uid="{93232B3B-1A78-44A2-B8C2-634FCE164D55}"/>
    <cellStyle name="Normal 4 6 6 2 2" xfId="5146" xr:uid="{0E288EB3-0F0E-448E-A2DE-E67DE7427D0E}"/>
    <cellStyle name="Normal 4 6 6 3" xfId="4390" xr:uid="{1C2D5689-F1A9-4788-B8B0-5798895A6DC9}"/>
    <cellStyle name="Normal 4 6 7" xfId="2457" xr:uid="{334A6610-4525-4AC8-9493-8278EF16AB75}"/>
    <cellStyle name="Normal 4 6 7 2" xfId="4892" xr:uid="{3213FACD-F68B-4182-B01C-1E25F711EEFD}"/>
    <cellStyle name="Normal 4 6 8" xfId="4022" xr:uid="{3F0EE19F-820F-49E8-B779-A9EE03DFFBB4}"/>
    <cellStyle name="Normal 4 7" xfId="1441" xr:uid="{6D19813C-0D74-4697-A469-8F01DF008D81}"/>
    <cellStyle name="Normal 4 7 2" xfId="1442" xr:uid="{274E7570-A075-4788-8F6A-8FB84F3AB1D0}"/>
    <cellStyle name="Normal 4 7 2 2" xfId="1443" xr:uid="{49075640-5CC0-4858-A839-DAD3AE47394C}"/>
    <cellStyle name="Normal 4 7 2 2 2" xfId="2050" xr:uid="{F67F6F0A-C25E-444C-9183-61A059FA4560}"/>
    <cellStyle name="Normal 4 7 2 2 2 2" xfId="2888" xr:uid="{F88DE09E-C882-44D1-A310-2879C3E48B40}"/>
    <cellStyle name="Normal 4 7 2 2 2 2 2" xfId="5323" xr:uid="{22115814-EC69-4094-8338-EB18F43B0C25}"/>
    <cellStyle name="Normal 4 7 2 2 2 3" xfId="4567" xr:uid="{484C0353-77B2-4652-B691-6231BCE8845F}"/>
    <cellStyle name="Normal 4 7 2 2 3" xfId="2471" xr:uid="{2D85F0FD-ADEF-4301-9452-92D8FE5FA373}"/>
    <cellStyle name="Normal 4 7 2 2 3 2" xfId="4906" xr:uid="{E0E1DBE1-132B-4375-9B6C-FE13D9F3BCE1}"/>
    <cellStyle name="Normal 4 7 2 2 4" xfId="4036" xr:uid="{2944148E-CAAB-44CF-8F88-295C8FCC4386}"/>
    <cellStyle name="Normal 4 7 2 3" xfId="1880" xr:uid="{6FEFBFD5-CC97-466A-B966-7B4E1850B3D1}"/>
    <cellStyle name="Normal 4 7 2 3 2" xfId="2718" xr:uid="{F6B2717C-439A-4755-A364-40BF2D0B1407}"/>
    <cellStyle name="Normal 4 7 2 3 2 2" xfId="5153" xr:uid="{64793ACA-938C-416B-B491-FA0636FB035E}"/>
    <cellStyle name="Normal 4 7 2 3 3" xfId="4397" xr:uid="{E95CF95F-F2E3-400C-823B-D19673E5F257}"/>
    <cellStyle name="Normal 4 7 2 4" xfId="2470" xr:uid="{50920F58-4314-4D57-9B6B-CB597468B788}"/>
    <cellStyle name="Normal 4 7 2 4 2" xfId="4905" xr:uid="{E76C06AA-8864-4268-AE42-98DE847F0C23}"/>
    <cellStyle name="Normal 4 7 2 5" xfId="4035" xr:uid="{73884499-37A9-49B7-AFCB-2301AAEEE436}"/>
    <cellStyle name="Normal 4 7 3" xfId="1444" xr:uid="{2AE194A7-D00B-488E-B731-0FE33B4FD571}"/>
    <cellStyle name="Normal 4 7 3 2" xfId="1445" xr:uid="{618288DF-54D5-4610-B0CF-C29A5805B2F9}"/>
    <cellStyle name="Normal 4 7 3 2 2" xfId="2051" xr:uid="{8165C4DD-70B1-4FAB-AE0C-B582DC57CAE4}"/>
    <cellStyle name="Normal 4 7 3 2 2 2" xfId="2889" xr:uid="{2DD9CC5E-DB69-4339-A930-53B05FE5308C}"/>
    <cellStyle name="Normal 4 7 3 2 2 2 2" xfId="5324" xr:uid="{7AAFE9E8-80EE-4FB9-A5F5-189E97A86C3F}"/>
    <cellStyle name="Normal 4 7 3 2 2 3" xfId="4568" xr:uid="{A7A4E4F7-9323-4283-8B32-315CEFED7FD9}"/>
    <cellStyle name="Normal 4 7 3 2 3" xfId="2473" xr:uid="{56CB45A4-C19F-4A14-B173-32A3FE35A135}"/>
    <cellStyle name="Normal 4 7 3 2 3 2" xfId="4908" xr:uid="{DB6AE911-78F0-4524-B149-A2465A84B277}"/>
    <cellStyle name="Normal 4 7 3 2 4" xfId="4038" xr:uid="{77E27D78-D974-4D30-8F21-9DE45E76A12A}"/>
    <cellStyle name="Normal 4 7 3 3" xfId="1881" xr:uid="{887B1CAF-DD4A-4EFF-A2FE-74C301FD3862}"/>
    <cellStyle name="Normal 4 7 3 3 2" xfId="2719" xr:uid="{B9855D14-C8A6-4D54-BF05-6E25B47E7C26}"/>
    <cellStyle name="Normal 4 7 3 3 2 2" xfId="5154" xr:uid="{B134FB12-1BF8-41C2-82CC-CAEFEE7AB882}"/>
    <cellStyle name="Normal 4 7 3 3 3" xfId="4398" xr:uid="{D9506790-4B3D-49A8-A91B-4CFD436DF499}"/>
    <cellStyle name="Normal 4 7 3 4" xfId="2472" xr:uid="{B3822C67-3739-47E2-85A7-B8AABAD7E22B}"/>
    <cellStyle name="Normal 4 7 3 4 2" xfId="4907" xr:uid="{56086B24-366F-4BF1-B7B5-968AEFF8DE53}"/>
    <cellStyle name="Normal 4 7 3 5" xfId="4037" xr:uid="{9C0A4BC8-090B-4E23-A2E6-200122297B5C}"/>
    <cellStyle name="Normal 4 7 4" xfId="1446" xr:uid="{7DFE28CB-EE08-478B-911A-69CF0808316E}"/>
    <cellStyle name="Normal 4 7 4 2" xfId="2049" xr:uid="{80DB77B7-EE3A-4E07-83BB-841CEBC0F2AA}"/>
    <cellStyle name="Normal 4 7 4 2 2" xfId="2887" xr:uid="{75A459BA-04D7-4A05-91BF-AC7A86F972AB}"/>
    <cellStyle name="Normal 4 7 4 2 2 2" xfId="5322" xr:uid="{3F06D13A-C637-4DE1-A4B7-D7CD0E9B7E61}"/>
    <cellStyle name="Normal 4 7 4 2 3" xfId="4566" xr:uid="{C85C73B2-2BF8-4775-864C-E828EEC068D7}"/>
    <cellStyle name="Normal 4 7 4 3" xfId="2474" xr:uid="{ADB7D63D-4593-483F-B1DF-7A81208DE749}"/>
    <cellStyle name="Normal 4 7 4 3 2" xfId="4909" xr:uid="{D36E8B7C-B32C-4EED-B83F-8BD46143B92D}"/>
    <cellStyle name="Normal 4 7 4 4" xfId="4039" xr:uid="{09CED49F-6017-4FCE-BA6A-347D10F711E5}"/>
    <cellStyle name="Normal 4 7 5" xfId="1879" xr:uid="{09DACF4E-CEC4-4F23-BD12-C72385493460}"/>
    <cellStyle name="Normal 4 7 5 2" xfId="2717" xr:uid="{AE198D66-DCE2-4C5F-A8C7-6DFC4CC274CE}"/>
    <cellStyle name="Normal 4 7 5 2 2" xfId="5152" xr:uid="{78DFE5B4-8B4E-43FA-9A8F-DD59DE241DD8}"/>
    <cellStyle name="Normal 4 7 5 3" xfId="4396" xr:uid="{0E971057-20BE-4C20-9505-51D690ECD0F1}"/>
    <cellStyle name="Normal 4 7 6" xfId="2469" xr:uid="{0DA17CEE-83E9-4663-A93D-B87A3F0DE97A}"/>
    <cellStyle name="Normal 4 7 6 2" xfId="4904" xr:uid="{9E977966-1D76-40A8-9B53-16023BB46549}"/>
    <cellStyle name="Normal 4 7 7" xfId="4034" xr:uid="{E0955BE2-1421-4414-A10E-F0D2828501DC}"/>
    <cellStyle name="Normal 4 8" xfId="1447" xr:uid="{2ED07110-A5A3-4EB3-B373-0E0DDC685D3D}"/>
    <cellStyle name="Normal 4 8 2" xfId="1448" xr:uid="{67B9D659-7A5E-41E7-9A39-1098728ACBE9}"/>
    <cellStyle name="Normal 4 8 2 2" xfId="2052" xr:uid="{2C003BAB-7666-432E-B707-7E461A18D46B}"/>
    <cellStyle name="Normal 4 8 2 2 2" xfId="2890" xr:uid="{D7A26C00-C765-4CFE-B6CF-9FB452E4CE61}"/>
    <cellStyle name="Normal 4 8 2 2 2 2" xfId="5325" xr:uid="{D07A1274-CD1D-4A74-A2DC-0C7F017BCC23}"/>
    <cellStyle name="Normal 4 8 2 2 3" xfId="4569" xr:uid="{36500285-0CB5-4F34-AE22-C7741BA56B8C}"/>
    <cellStyle name="Normal 4 8 2 3" xfId="2476" xr:uid="{F0D04844-AD76-43F4-A23E-5F6D3DFE9EFC}"/>
    <cellStyle name="Normal 4 8 2 3 2" xfId="4911" xr:uid="{073F8336-0CFB-46C3-8AB1-EBC1E64C2063}"/>
    <cellStyle name="Normal 4 8 2 4" xfId="4041" xr:uid="{18ADB92A-2848-4131-A249-3FE0087D6A5A}"/>
    <cellStyle name="Normal 4 8 3" xfId="1882" xr:uid="{B704E103-0C78-4F51-A269-B219C8C5EACD}"/>
    <cellStyle name="Normal 4 8 3 2" xfId="2720" xr:uid="{358CE768-6715-4304-9F6D-E28762CF3F7B}"/>
    <cellStyle name="Normal 4 8 3 2 2" xfId="5155" xr:uid="{632DE23F-B9AF-4C58-B600-68F8D6492C69}"/>
    <cellStyle name="Normal 4 8 3 3" xfId="4399" xr:uid="{7421A8A0-ADEE-4900-9B3D-4D9D5B0F9919}"/>
    <cellStyle name="Normal 4 8 4" xfId="2475" xr:uid="{C0E8D20C-B9AE-41A3-BC22-9F97F8E30C41}"/>
    <cellStyle name="Normal 4 8 4 2" xfId="4910" xr:uid="{5494FE82-818B-467A-B573-E19A61E348A1}"/>
    <cellStyle name="Normal 4 8 5" xfId="4040" xr:uid="{4E87491C-58D8-490A-AF30-19FA716F5950}"/>
    <cellStyle name="Normal 4 9" xfId="1449" xr:uid="{F50D522F-3BBC-4F7F-AC36-B4D258D52C94}"/>
    <cellStyle name="Normal 4 9 2" xfId="1450" xr:uid="{E50B2F15-0EE9-4132-B483-E875A267060C}"/>
    <cellStyle name="Normal 4 9 2 2" xfId="2053" xr:uid="{4D38DCA1-DAA3-43D8-A950-00420BB0580C}"/>
    <cellStyle name="Normal 4 9 2 2 2" xfId="2891" xr:uid="{4B07E216-A787-4B6A-B437-9901F2F1CD21}"/>
    <cellStyle name="Normal 4 9 2 2 2 2" xfId="5326" xr:uid="{48541D40-2B62-4B17-A6B5-BD4BEC8822A3}"/>
    <cellStyle name="Normal 4 9 2 2 3" xfId="4570" xr:uid="{707D115E-EAC7-4AE8-9A41-0A92B9E3A208}"/>
    <cellStyle name="Normal 4 9 2 3" xfId="2478" xr:uid="{F4C734D3-5096-482B-8689-A913EE72ECB8}"/>
    <cellStyle name="Normal 4 9 2 3 2" xfId="4913" xr:uid="{07BDD20E-C372-4725-BE77-0345DBEB0CB7}"/>
    <cellStyle name="Normal 4 9 2 4" xfId="4043" xr:uid="{19A0311B-301A-4885-BC1D-9287F77F327F}"/>
    <cellStyle name="Normal 4 9 3" xfId="1883" xr:uid="{3A33CAD0-CC6D-4D5D-B42C-78BF7D0C51F5}"/>
    <cellStyle name="Normal 4 9 3 2" xfId="2721" xr:uid="{4A5C4AF6-2976-4AF4-9B65-7342A5EA4388}"/>
    <cellStyle name="Normal 4 9 3 2 2" xfId="5156" xr:uid="{BA534A4A-4FBB-47BA-A51E-76B3178910CE}"/>
    <cellStyle name="Normal 4 9 3 3" xfId="4400" xr:uid="{CB6CE08E-C652-4998-8786-1061855C9F8C}"/>
    <cellStyle name="Normal 4 9 4" xfId="2477" xr:uid="{35FF2734-CDF3-4E47-8BFE-33CDDDC85BF2}"/>
    <cellStyle name="Normal 4 9 4 2" xfId="4912" xr:uid="{0A1E9949-DDC5-40EF-89BD-50A959B2A503}"/>
    <cellStyle name="Normal 4 9 5" xfId="4042" xr:uid="{A110DD3B-0993-4C66-A139-7FA743BCE779}"/>
    <cellStyle name="Normal 40" xfId="2156" xr:uid="{833ACCC3-0708-4F38-B5E0-0B9F66D5EBA7}"/>
    <cellStyle name="Normal 40 2" xfId="2994" xr:uid="{69A37F8E-DE01-4AE6-B7C3-1DF7B3E3EE64}"/>
    <cellStyle name="Normal 41" xfId="2149" xr:uid="{2B9A42E2-903D-48DD-BF60-2A19576B5168}"/>
    <cellStyle name="Normal 41 2" xfId="2987" xr:uid="{0B71EFD9-3953-49C0-971B-19D4EB98154E}"/>
    <cellStyle name="Normal 42" xfId="2144" xr:uid="{DF71B3CC-026C-44F0-A8F4-948A502706E2}"/>
    <cellStyle name="Normal 42 2" xfId="2982" xr:uid="{E3C4B33F-96FF-4BC0-A976-2966B9C60F20}"/>
    <cellStyle name="Normal 43" xfId="2155" xr:uid="{E1578A36-AA72-4DC6-8C0B-4E02C3D0531C}"/>
    <cellStyle name="Normal 43 2" xfId="2993" xr:uid="{AFE3399E-1251-4877-8772-AB791F792E7A}"/>
    <cellStyle name="Normal 44" xfId="2186" xr:uid="{1F8C26B9-A588-4817-A695-426AA1A34679}"/>
    <cellStyle name="Normal 44 2" xfId="2997" xr:uid="{BEF0AA77-3B1E-46CC-9DC2-37E39241F1ED}"/>
    <cellStyle name="Normal 45" xfId="2191" xr:uid="{9E042CA5-78F0-4346-B081-248E2D156C3E}"/>
    <cellStyle name="Normal 45 2" xfId="3002" xr:uid="{F3F3DBD2-0344-46C9-ADF8-44F87F78915C}"/>
    <cellStyle name="Normal 46" xfId="2189" xr:uid="{C84B86F2-5536-4D55-B6BF-08A2C79C1A1C}"/>
    <cellStyle name="Normal 46 2" xfId="3000" xr:uid="{2A04F1D6-9172-4205-A554-828D6ECD54D8}"/>
    <cellStyle name="Normal 47" xfId="2192" xr:uid="{A37F5F94-2903-4268-8BA8-F6476126BEB2}"/>
    <cellStyle name="Normal 47 2" xfId="3003" xr:uid="{C85E3F99-4FB6-472C-A65F-5E012A96BFC9}"/>
    <cellStyle name="Normal 48" xfId="2188" xr:uid="{AEDFD02D-CF88-4B59-BB2E-817D36BAFFD0}"/>
    <cellStyle name="Normal 48 2" xfId="2999" xr:uid="{D6FE34E5-0A59-460C-8409-EA9AFBF09CD5}"/>
    <cellStyle name="Normal 49" xfId="2190" xr:uid="{4255AAE2-EE31-4421-BA56-F2082C8EB45E}"/>
    <cellStyle name="Normal 49 2" xfId="3001" xr:uid="{66ABD6D1-F2F8-4CA8-B245-A21BB1356B62}"/>
    <cellStyle name="Normal 5" xfId="147" xr:uid="{00000000-0005-0000-0000-0000B8010000}"/>
    <cellStyle name="Normal 5 10" xfId="2214" xr:uid="{FC419888-3464-43B7-BD60-05DDA4C02CDF}"/>
    <cellStyle name="Normal 5 10 2" xfId="4704" xr:uid="{2EAA99BF-9730-407C-9B8B-50096216FFC8}"/>
    <cellStyle name="Normal 5 11" xfId="2479" xr:uid="{C26C9D8F-F8AF-4EBB-9229-6D8E12FDC96C}"/>
    <cellStyle name="Normal 5 11 2" xfId="4914" xr:uid="{BA6C05E7-FFBD-4071-AD66-088D41B77BEA}"/>
    <cellStyle name="Normal 5 12" xfId="1451" xr:uid="{37A0B83C-AF6A-4FA9-9082-8F525E6BF3AC}"/>
    <cellStyle name="Normal 5 12 2" xfId="4044" xr:uid="{98135312-A6EB-4396-A499-881BD8E6AB71}"/>
    <cellStyle name="Normal 5 13" xfId="3366" xr:uid="{68083BC7-707A-4431-BB6B-10C35827BF9C}"/>
    <cellStyle name="Normal 5 2" xfId="238" xr:uid="{00000000-0005-0000-0000-0000B9010000}"/>
    <cellStyle name="Normal 5 2 10" xfId="1452" xr:uid="{B345E12F-17F1-4A0B-8BC7-874CE4D3D51B}"/>
    <cellStyle name="Normal 5 2 10 2" xfId="4045" xr:uid="{824C530E-9339-4872-8529-1FCAA262ACBD}"/>
    <cellStyle name="Normal 5 2 11" xfId="3378" xr:uid="{7A2874FF-E016-4BE9-9FBE-500CC83121D5}"/>
    <cellStyle name="Normal 5 2 2" xfId="287" xr:uid="{00000000-0005-0000-0000-0000BA010000}"/>
    <cellStyle name="Normal 5 2 2 2" xfId="339" xr:uid="{00000000-0005-0000-0000-0000BB010000}"/>
    <cellStyle name="Normal 5 2 2 2 2" xfId="411" xr:uid="{00000000-0005-0000-0000-0000BC010000}"/>
    <cellStyle name="Normal 5 2 2 2 2 2" xfId="508" xr:uid="{00000000-0005-0000-0000-0000BD010000}"/>
    <cellStyle name="Normal 5 2 2 2 2 2 2" xfId="664" xr:uid="{00000000-0005-0000-0000-0000BE010000}"/>
    <cellStyle name="Normal 5 2 2 2 2 2 2 2" xfId="875" xr:uid="{00000000-0005-0000-0000-0000BF010000}"/>
    <cellStyle name="Normal 5 2 2 2 2 2 2 2 2" xfId="2895" xr:uid="{C22E4965-62E4-4B55-8EE5-7F6547E6DEE8}"/>
    <cellStyle name="Normal 5 2 2 2 2 2 2 2 2 2" xfId="5330" xr:uid="{B882B195-3C14-46E9-B04D-2B6B8FD07629}"/>
    <cellStyle name="Normal 5 2 2 2 2 2 2 2 3" xfId="3807" xr:uid="{2B6BFB72-2E83-4937-8C40-C0F7F7FA529B}"/>
    <cellStyle name="Normal 5 2 2 2 2 2 2 3" xfId="2057" xr:uid="{204ACA08-09E5-46E2-AEBA-105B0418E9C9}"/>
    <cellStyle name="Normal 5 2 2 2 2 2 2 3 2" xfId="4574" xr:uid="{E58B8DC7-654D-4594-AC9E-76ABC305E332}"/>
    <cellStyle name="Normal 5 2 2 2 2 2 2 4" xfId="3598" xr:uid="{AE6306E9-711D-418B-837E-F1A8AD7686C1}"/>
    <cellStyle name="Normal 5 2 2 2 2 2 3" xfId="769" xr:uid="{00000000-0005-0000-0000-0000C0010000}"/>
    <cellStyle name="Normal 5 2 2 2 2 2 3 2" xfId="2484" xr:uid="{6C79D472-4AB0-4D02-851E-40CE9EFCE663}"/>
    <cellStyle name="Normal 5 2 2 2 2 2 3 2 2" xfId="4919" xr:uid="{D4B2ED2E-0976-479F-B33F-19DB5B4F19CA}"/>
    <cellStyle name="Normal 5 2 2 2 2 2 3 3" xfId="3702" xr:uid="{7BABD59C-A01D-4F69-8A3E-E9AF17DC463F}"/>
    <cellStyle name="Normal 5 2 2 2 2 2 4" xfId="1456" xr:uid="{C9665ABD-B1B5-4347-A3E7-DD7E5A7C7A5D}"/>
    <cellStyle name="Normal 5 2 2 2 2 2 4 2" xfId="4049" xr:uid="{E3F9C28E-59AD-4BAD-9CDA-1B5328FBD9A6}"/>
    <cellStyle name="Normal 5 2 2 2 2 2 5" xfId="3488" xr:uid="{8B8CB446-55E6-47B3-B869-F11141FFA538}"/>
    <cellStyle name="Normal 5 2 2 2 2 3" xfId="612" xr:uid="{00000000-0005-0000-0000-0000C1010000}"/>
    <cellStyle name="Normal 5 2 2 2 2 3 2" xfId="823" xr:uid="{00000000-0005-0000-0000-0000C2010000}"/>
    <cellStyle name="Normal 5 2 2 2 2 3 2 2" xfId="2725" xr:uid="{5DFEC5AC-B65F-4415-ACD7-2F6FCA3936ED}"/>
    <cellStyle name="Normal 5 2 2 2 2 3 2 2 2" xfId="5160" xr:uid="{259C6B6B-9DD8-4A7D-B0C5-9BD8E74695AA}"/>
    <cellStyle name="Normal 5 2 2 2 2 3 2 3" xfId="3755" xr:uid="{2AAE0E7D-64EC-4EF1-997E-3635065BD232}"/>
    <cellStyle name="Normal 5 2 2 2 2 3 3" xfId="1887" xr:uid="{26117F46-18A8-4F58-BEE2-F6FDB9AE8D26}"/>
    <cellStyle name="Normal 5 2 2 2 2 3 3 2" xfId="4404" xr:uid="{C63EADEC-E82B-4A5C-A935-49CC868A2209}"/>
    <cellStyle name="Normal 5 2 2 2 2 3 4" xfId="3546" xr:uid="{777AF9A5-3FC5-48AF-958C-F579AE3569C1}"/>
    <cellStyle name="Normal 5 2 2 2 2 4" xfId="717" xr:uid="{00000000-0005-0000-0000-0000C3010000}"/>
    <cellStyle name="Normal 5 2 2 2 2 4 2" xfId="2483" xr:uid="{789506B2-52C1-49F9-9775-70EF8C7B4FDA}"/>
    <cellStyle name="Normal 5 2 2 2 2 4 2 2" xfId="4918" xr:uid="{25132616-5660-4F87-9CFA-C785F7C6B280}"/>
    <cellStyle name="Normal 5 2 2 2 2 4 3" xfId="3650" xr:uid="{A865DAF0-520F-479B-88BE-23057AA4BBC3}"/>
    <cellStyle name="Normal 5 2 2 2 2 5" xfId="1455" xr:uid="{63AC2AE2-E42C-4DAB-A09E-6711B6615F81}"/>
    <cellStyle name="Normal 5 2 2 2 2 5 2" xfId="4048" xr:uid="{E68A12E5-574F-45B0-A044-ED4F17618C42}"/>
    <cellStyle name="Normal 5 2 2 2 2 6" xfId="3431" xr:uid="{9D3D9BF3-7A8A-4490-AA14-3026F4AC633E}"/>
    <cellStyle name="Normal 5 2 2 2 3" xfId="482" xr:uid="{00000000-0005-0000-0000-0000C4010000}"/>
    <cellStyle name="Normal 5 2 2 2 3 2" xfId="638" xr:uid="{00000000-0005-0000-0000-0000C5010000}"/>
    <cellStyle name="Normal 5 2 2 2 3 2 2" xfId="849" xr:uid="{00000000-0005-0000-0000-0000C6010000}"/>
    <cellStyle name="Normal 5 2 2 2 3 2 2 2" xfId="2896" xr:uid="{959B8AF7-DD1E-43C6-A5B3-7C8E4A9A246E}"/>
    <cellStyle name="Normal 5 2 2 2 3 2 2 2 2" xfId="5331" xr:uid="{1B0E69CB-C21C-42DC-9CA3-BC1D63635F67}"/>
    <cellStyle name="Normal 5 2 2 2 3 2 2 3" xfId="2058" xr:uid="{DEACB3E0-9634-482A-AF7B-C51926D36A7C}"/>
    <cellStyle name="Normal 5 2 2 2 3 2 2 3 2" xfId="4575" xr:uid="{58F59814-8424-423D-BAF2-5712CA83A18E}"/>
    <cellStyle name="Normal 5 2 2 2 3 2 2 4" xfId="3781" xr:uid="{FBF1CD49-4155-45A9-A5A6-9489AF58AE3D}"/>
    <cellStyle name="Normal 5 2 2 2 3 2 3" xfId="2486" xr:uid="{CFEF161E-9FE0-49C0-9167-5D529D218C4E}"/>
    <cellStyle name="Normal 5 2 2 2 3 2 3 2" xfId="4921" xr:uid="{3B06A147-3496-469E-A72A-67FFDFB0D65C}"/>
    <cellStyle name="Normal 5 2 2 2 3 2 4" xfId="1458" xr:uid="{EE2EEC5F-D162-4254-BA76-EF8DB7EEB619}"/>
    <cellStyle name="Normal 5 2 2 2 3 2 4 2" xfId="4051" xr:uid="{D1699A3E-230F-4973-911D-2B874D460FF9}"/>
    <cellStyle name="Normal 5 2 2 2 3 2 5" xfId="3572" xr:uid="{90238EAD-5EAD-491B-B323-4678CCC96BF5}"/>
    <cellStyle name="Normal 5 2 2 2 3 3" xfId="743" xr:uid="{00000000-0005-0000-0000-0000C7010000}"/>
    <cellStyle name="Normal 5 2 2 2 3 3 2" xfId="2726" xr:uid="{B82F4081-33CB-4FDF-B6C5-5A6E5CD3D714}"/>
    <cellStyle name="Normal 5 2 2 2 3 3 2 2" xfId="5161" xr:uid="{CC42FAAC-1DAC-48EF-952A-910D2FC5755F}"/>
    <cellStyle name="Normal 5 2 2 2 3 3 3" xfId="1888" xr:uid="{DBF11B20-66BB-43EA-923A-FE1F2F6CB409}"/>
    <cellStyle name="Normal 5 2 2 2 3 3 3 2" xfId="4405" xr:uid="{12230D17-3F9C-4D36-84DF-769D3E9BE415}"/>
    <cellStyle name="Normal 5 2 2 2 3 3 4" xfId="3676" xr:uid="{BAB7A0D7-3034-4DA7-ADA9-2FFA735C8B20}"/>
    <cellStyle name="Normal 5 2 2 2 3 4" xfId="2485" xr:uid="{9C9EE4C6-EA6A-42BD-A6BE-2FCD5C39F369}"/>
    <cellStyle name="Normal 5 2 2 2 3 4 2" xfId="4920" xr:uid="{00A65839-AC84-4A7C-A522-E398EDF65C38}"/>
    <cellStyle name="Normal 5 2 2 2 3 5" xfId="1457" xr:uid="{1AB55730-1E42-403B-84F2-4CE6AD2FF437}"/>
    <cellStyle name="Normal 5 2 2 2 3 5 2" xfId="4050" xr:uid="{79343096-ACF7-4977-8523-1D193E4600CB}"/>
    <cellStyle name="Normal 5 2 2 2 3 6" xfId="3462" xr:uid="{90E25793-11D8-4B4C-9194-4AFE4D0C871B}"/>
    <cellStyle name="Normal 5 2 2 2 4" xfId="586" xr:uid="{00000000-0005-0000-0000-0000C8010000}"/>
    <cellStyle name="Normal 5 2 2 2 4 2" xfId="797" xr:uid="{00000000-0005-0000-0000-0000C9010000}"/>
    <cellStyle name="Normal 5 2 2 2 4 2 2" xfId="2894" xr:uid="{8721304C-C15F-46F5-8634-0110A42D9BE6}"/>
    <cellStyle name="Normal 5 2 2 2 4 2 2 2" xfId="5329" xr:uid="{5D53B101-0374-4CF6-AB27-D84F8A5720E2}"/>
    <cellStyle name="Normal 5 2 2 2 4 2 3" xfId="2056" xr:uid="{A36E88A1-E9CB-44FA-BDAE-1B1978155031}"/>
    <cellStyle name="Normal 5 2 2 2 4 2 3 2" xfId="4573" xr:uid="{469CC77D-5BD6-4DB6-8AA3-65F7119EF7B5}"/>
    <cellStyle name="Normal 5 2 2 2 4 2 4" xfId="3729" xr:uid="{60CDB703-2BC2-49AA-888D-8756D22DDC48}"/>
    <cellStyle name="Normal 5 2 2 2 4 3" xfId="2487" xr:uid="{2F7BBA1E-0AB5-4668-B292-F68A8FAE0D7B}"/>
    <cellStyle name="Normal 5 2 2 2 4 3 2" xfId="4922" xr:uid="{EBC477ED-7397-4F73-9418-17C7E8478D3D}"/>
    <cellStyle name="Normal 5 2 2 2 4 4" xfId="1459" xr:uid="{80C1D847-F105-49C0-BA8B-657ED51C3749}"/>
    <cellStyle name="Normal 5 2 2 2 4 4 2" xfId="4052" xr:uid="{29E4B5C3-05C5-4052-8B90-8A9A59FE8EB6}"/>
    <cellStyle name="Normal 5 2 2 2 4 5" xfId="3520" xr:uid="{4520C424-7DFB-49F3-8451-E121F4B3D64B}"/>
    <cellStyle name="Normal 5 2 2 2 5" xfId="691" xr:uid="{00000000-0005-0000-0000-0000CA010000}"/>
    <cellStyle name="Normal 5 2 2 2 5 2" xfId="2724" xr:uid="{9C6486A8-FD0D-466C-A810-27D0C5EC064A}"/>
    <cellStyle name="Normal 5 2 2 2 5 2 2" xfId="5159" xr:uid="{7CA9D2BC-9587-4FC7-9A52-A3F0DDE5832A}"/>
    <cellStyle name="Normal 5 2 2 2 5 3" xfId="1886" xr:uid="{0C098C09-004B-419C-B53D-AA179EDE2FE0}"/>
    <cellStyle name="Normal 5 2 2 2 5 3 2" xfId="4403" xr:uid="{65248DC2-3A47-4852-ADE0-43D0781278D2}"/>
    <cellStyle name="Normal 5 2 2 2 5 4" xfId="3624" xr:uid="{A2E2E20E-C58A-4ED9-8F4F-761D2342AFCD}"/>
    <cellStyle name="Normal 5 2 2 2 6" xfId="2482" xr:uid="{6A5F0431-D6B8-4361-AC16-4E0E19434E81}"/>
    <cellStyle name="Normal 5 2 2 2 6 2" xfId="4917" xr:uid="{CE3D85D0-9861-41CB-9DE5-57F63FD37D29}"/>
    <cellStyle name="Normal 5 2 2 2 7" xfId="1454" xr:uid="{716D35EE-6F6E-4F2A-8711-9B21DE7CEA3D}"/>
    <cellStyle name="Normal 5 2 2 2 7 2" xfId="4047" xr:uid="{8436EEED-4B50-47AB-931D-789BCA3B26A6}"/>
    <cellStyle name="Normal 5 2 2 2 8" xfId="3400" xr:uid="{117AD9E3-7B9A-4025-9907-D715521E1E2A}"/>
    <cellStyle name="Normal 5 2 2 3" xfId="349" xr:uid="{00000000-0005-0000-0000-0000CB010000}"/>
    <cellStyle name="Normal 5 2 2 3 2" xfId="421" xr:uid="{00000000-0005-0000-0000-0000CC010000}"/>
    <cellStyle name="Normal 5 2 2 3 2 2" xfId="517" xr:uid="{00000000-0005-0000-0000-0000CD010000}"/>
    <cellStyle name="Normal 5 2 2 3 2 2 2" xfId="673" xr:uid="{00000000-0005-0000-0000-0000CE010000}"/>
    <cellStyle name="Normal 5 2 2 3 2 2 2 2" xfId="884" xr:uid="{00000000-0005-0000-0000-0000CF010000}"/>
    <cellStyle name="Normal 5 2 2 3 2 2 2 2 2" xfId="3816" xr:uid="{D3CED024-50D6-43B5-BAC8-86F59B5E8700}"/>
    <cellStyle name="Normal 5 2 2 3 2 2 2 3" xfId="2897" xr:uid="{FD99C5EC-B4FD-4E60-82F5-B14BFFBA1920}"/>
    <cellStyle name="Normal 5 2 2 3 2 2 2 3 2" xfId="5332" xr:uid="{E2895CA9-09D2-404C-AAC2-7038C9B5EE77}"/>
    <cellStyle name="Normal 5 2 2 3 2 2 2 4" xfId="3607" xr:uid="{6E0E5B58-79F3-493C-84A0-58D869FDA727}"/>
    <cellStyle name="Normal 5 2 2 3 2 2 3" xfId="778" xr:uid="{00000000-0005-0000-0000-0000D0010000}"/>
    <cellStyle name="Normal 5 2 2 3 2 2 3 2" xfId="3711" xr:uid="{85CE1A1F-8F38-423A-B6E0-B425548F6CD2}"/>
    <cellStyle name="Normal 5 2 2 3 2 2 4" xfId="2059" xr:uid="{C639309B-B139-4ABB-8EA4-B9A48EBB2EEC}"/>
    <cellStyle name="Normal 5 2 2 3 2 2 4 2" xfId="4576" xr:uid="{9B57CDAE-1CB7-4A24-81D5-6EB47608003B}"/>
    <cellStyle name="Normal 5 2 2 3 2 2 5" xfId="3497" xr:uid="{D87EB986-41B4-4739-B715-160210582542}"/>
    <cellStyle name="Normal 5 2 2 3 2 3" xfId="621" xr:uid="{00000000-0005-0000-0000-0000D1010000}"/>
    <cellStyle name="Normal 5 2 2 3 2 3 2" xfId="832" xr:uid="{00000000-0005-0000-0000-0000D2010000}"/>
    <cellStyle name="Normal 5 2 2 3 2 3 2 2" xfId="3764" xr:uid="{BE30B3DF-2D08-4DA9-BC3A-0B7155040515}"/>
    <cellStyle name="Normal 5 2 2 3 2 3 3" xfId="2489" xr:uid="{9CFC7D29-396E-41FD-B4EE-1A0F7DD76644}"/>
    <cellStyle name="Normal 5 2 2 3 2 3 3 2" xfId="4924" xr:uid="{9113A60B-5656-40A7-808B-6278FA7899F7}"/>
    <cellStyle name="Normal 5 2 2 3 2 3 4" xfId="3555" xr:uid="{942D044B-0B1B-480C-83BC-0CCDC90B1296}"/>
    <cellStyle name="Normal 5 2 2 3 2 4" xfId="726" xr:uid="{00000000-0005-0000-0000-0000D3010000}"/>
    <cellStyle name="Normal 5 2 2 3 2 4 2" xfId="3659" xr:uid="{E22746E2-50F2-4C67-BE04-8E2DFD877A4A}"/>
    <cellStyle name="Normal 5 2 2 3 2 5" xfId="1461" xr:uid="{8C7F834B-B769-43A6-B67B-4DB9B911AB61}"/>
    <cellStyle name="Normal 5 2 2 3 2 5 2" xfId="4054" xr:uid="{F9324A4D-8C26-434A-A0FB-008FADB9D294}"/>
    <cellStyle name="Normal 5 2 2 3 2 6" xfId="3440" xr:uid="{B547A23C-8EDA-4BBF-B35E-C58B3250BDE8}"/>
    <cellStyle name="Normal 5 2 2 3 3" xfId="491" xr:uid="{00000000-0005-0000-0000-0000D4010000}"/>
    <cellStyle name="Normal 5 2 2 3 3 2" xfId="647" xr:uid="{00000000-0005-0000-0000-0000D5010000}"/>
    <cellStyle name="Normal 5 2 2 3 3 2 2" xfId="858" xr:uid="{00000000-0005-0000-0000-0000D6010000}"/>
    <cellStyle name="Normal 5 2 2 3 3 2 2 2" xfId="3790" xr:uid="{521FDC9B-04BE-4121-AFE2-63343361177C}"/>
    <cellStyle name="Normal 5 2 2 3 3 2 3" xfId="2727" xr:uid="{19CDFF11-7329-4AA1-9CBD-D750DB859E14}"/>
    <cellStyle name="Normal 5 2 2 3 3 2 3 2" xfId="5162" xr:uid="{36BD0FFF-4ED9-4DE8-B6CC-9180D4EC531E}"/>
    <cellStyle name="Normal 5 2 2 3 3 2 4" xfId="3581" xr:uid="{80EC74A9-A969-46E9-B087-72D678859F5F}"/>
    <cellStyle name="Normal 5 2 2 3 3 3" xfId="752" xr:uid="{00000000-0005-0000-0000-0000D7010000}"/>
    <cellStyle name="Normal 5 2 2 3 3 3 2" xfId="3685" xr:uid="{18755D40-EDC4-4C63-8F1C-64B2B5B79954}"/>
    <cellStyle name="Normal 5 2 2 3 3 4" xfId="1889" xr:uid="{8E38AF2D-15BE-4F4A-AD05-A70A49C70939}"/>
    <cellStyle name="Normal 5 2 2 3 3 4 2" xfId="4406" xr:uid="{C09C4194-CD3F-489A-A6CD-1B94C2EA2EF9}"/>
    <cellStyle name="Normal 5 2 2 3 3 5" xfId="3471" xr:uid="{7B36600F-49C3-4DCB-8627-0ECD2303CD0C}"/>
    <cellStyle name="Normal 5 2 2 3 4" xfId="595" xr:uid="{00000000-0005-0000-0000-0000D8010000}"/>
    <cellStyle name="Normal 5 2 2 3 4 2" xfId="806" xr:uid="{00000000-0005-0000-0000-0000D9010000}"/>
    <cellStyle name="Normal 5 2 2 3 4 2 2" xfId="3738" xr:uid="{0B43E596-105C-4AFB-92C4-284470C43713}"/>
    <cellStyle name="Normal 5 2 2 3 4 3" xfId="2488" xr:uid="{E0152DFB-6ECB-4ECA-85F6-5345BDB0D48F}"/>
    <cellStyle name="Normal 5 2 2 3 4 3 2" xfId="4923" xr:uid="{EB4E49FC-5CF7-491B-A1F9-0829F3683809}"/>
    <cellStyle name="Normal 5 2 2 3 4 4" xfId="3529" xr:uid="{6897B63D-8E8C-450F-827D-CF30492558F0}"/>
    <cellStyle name="Normal 5 2 2 3 5" xfId="700" xr:uid="{00000000-0005-0000-0000-0000DA010000}"/>
    <cellStyle name="Normal 5 2 2 3 5 2" xfId="3633" xr:uid="{D4B63850-C3DE-428D-9F43-1C17BBD0CCB4}"/>
    <cellStyle name="Normal 5 2 2 3 6" xfId="1460" xr:uid="{CE596074-7EF5-49B9-96D2-20D4AD617E7F}"/>
    <cellStyle name="Normal 5 2 2 3 6 2" xfId="4053" xr:uid="{79A55C5F-B415-43C1-B9F0-DFC331902371}"/>
    <cellStyle name="Normal 5 2 2 3 7" xfId="3409" xr:uid="{03644E33-BEBC-4FF4-9243-9D824235F204}"/>
    <cellStyle name="Normal 5 2 2 4" xfId="403" xr:uid="{00000000-0005-0000-0000-0000DB010000}"/>
    <cellStyle name="Normal 5 2 2 4 2" xfId="500" xr:uid="{00000000-0005-0000-0000-0000DC010000}"/>
    <cellStyle name="Normal 5 2 2 4 2 2" xfId="656" xr:uid="{00000000-0005-0000-0000-0000DD010000}"/>
    <cellStyle name="Normal 5 2 2 4 2 2 2" xfId="867" xr:uid="{00000000-0005-0000-0000-0000DE010000}"/>
    <cellStyle name="Normal 5 2 2 4 2 2 2 2" xfId="2898" xr:uid="{8E1B9D7B-44A9-4872-975E-687590BAA135}"/>
    <cellStyle name="Normal 5 2 2 4 2 2 2 2 2" xfId="5333" xr:uid="{38B55BFB-FFF0-449A-8DD0-20845E3CF96B}"/>
    <cellStyle name="Normal 5 2 2 4 2 2 2 3" xfId="3799" xr:uid="{235E3133-FAC2-42FF-810D-457D0E925FF2}"/>
    <cellStyle name="Normal 5 2 2 4 2 2 3" xfId="2060" xr:uid="{A613A8DD-12E4-4476-9BC8-68B3598AEBFD}"/>
    <cellStyle name="Normal 5 2 2 4 2 2 3 2" xfId="4577" xr:uid="{864C769A-8AEB-42BE-90B4-ACC779A31E49}"/>
    <cellStyle name="Normal 5 2 2 4 2 2 4" xfId="3590" xr:uid="{3332B737-AD15-4BEA-8986-D6868AFF7321}"/>
    <cellStyle name="Normal 5 2 2 4 2 3" xfId="761" xr:uid="{00000000-0005-0000-0000-0000DF010000}"/>
    <cellStyle name="Normal 5 2 2 4 2 3 2" xfId="2491" xr:uid="{EC29C2D2-F545-47EB-8F97-24FBB613D7EB}"/>
    <cellStyle name="Normal 5 2 2 4 2 3 2 2" xfId="4926" xr:uid="{9E89E6E8-4324-4CB4-8362-83B7CC755667}"/>
    <cellStyle name="Normal 5 2 2 4 2 3 3" xfId="3694" xr:uid="{0B75829B-6B3A-463C-B1E7-5B27A2A95D3D}"/>
    <cellStyle name="Normal 5 2 2 4 2 4" xfId="1463" xr:uid="{55773854-0F61-4763-8936-45520294D14C}"/>
    <cellStyle name="Normal 5 2 2 4 2 4 2" xfId="4056" xr:uid="{6AE5FB35-B317-4145-B67E-A4460781AB08}"/>
    <cellStyle name="Normal 5 2 2 4 2 5" xfId="3480" xr:uid="{FE936D7E-2A95-4195-8A61-B2CB66651FB2}"/>
    <cellStyle name="Normal 5 2 2 4 3" xfId="604" xr:uid="{00000000-0005-0000-0000-0000E0010000}"/>
    <cellStyle name="Normal 5 2 2 4 3 2" xfId="815" xr:uid="{00000000-0005-0000-0000-0000E1010000}"/>
    <cellStyle name="Normal 5 2 2 4 3 2 2" xfId="2728" xr:uid="{D873E091-CA3D-4277-9DD5-8510F3F3B477}"/>
    <cellStyle name="Normal 5 2 2 4 3 2 2 2" xfId="5163" xr:uid="{A2AE0BD9-0C70-48B7-9687-28026C340D9D}"/>
    <cellStyle name="Normal 5 2 2 4 3 2 3" xfId="3747" xr:uid="{CF97BED2-CD09-42FB-90C3-7DF613BD86F3}"/>
    <cellStyle name="Normal 5 2 2 4 3 3" xfId="1890" xr:uid="{14B122AF-6F28-430B-B68F-4A9C0B1D9364}"/>
    <cellStyle name="Normal 5 2 2 4 3 3 2" xfId="4407" xr:uid="{9A45687B-C70F-4910-ACFE-2F91344D62FC}"/>
    <cellStyle name="Normal 5 2 2 4 3 4" xfId="3538" xr:uid="{C057A4E5-636A-42D7-AD83-6DA21C8439C9}"/>
    <cellStyle name="Normal 5 2 2 4 4" xfId="709" xr:uid="{00000000-0005-0000-0000-0000E2010000}"/>
    <cellStyle name="Normal 5 2 2 4 4 2" xfId="2490" xr:uid="{DBAE2489-BA0B-4A10-B155-43E4BFF94EB8}"/>
    <cellStyle name="Normal 5 2 2 4 4 2 2" xfId="4925" xr:uid="{C6F847A3-E0E6-4932-B678-04A0A07A8378}"/>
    <cellStyle name="Normal 5 2 2 4 4 3" xfId="3642" xr:uid="{28C24A7C-4194-4165-BEDC-E1969F90051B}"/>
    <cellStyle name="Normal 5 2 2 4 5" xfId="1462" xr:uid="{53C56C6B-3807-42CD-AEE7-ED48643937CE}"/>
    <cellStyle name="Normal 5 2 2 4 5 2" xfId="4055" xr:uid="{8F40AA86-ADF7-45E5-8624-D3EFA5EAB17E}"/>
    <cellStyle name="Normal 5 2 2 4 6" xfId="3423" xr:uid="{45E9B84F-3AFA-4B9E-9C3F-9A2407635CAD}"/>
    <cellStyle name="Normal 5 2 2 5" xfId="474" xr:uid="{00000000-0005-0000-0000-0000E3010000}"/>
    <cellStyle name="Normal 5 2 2 5 2" xfId="630" xr:uid="{00000000-0005-0000-0000-0000E4010000}"/>
    <cellStyle name="Normal 5 2 2 5 2 2" xfId="841" xr:uid="{00000000-0005-0000-0000-0000E5010000}"/>
    <cellStyle name="Normal 5 2 2 5 2 2 2" xfId="2893" xr:uid="{9445987F-4A7F-46D4-90C3-60AAF6744221}"/>
    <cellStyle name="Normal 5 2 2 5 2 2 2 2" xfId="5328" xr:uid="{E2A5D8E5-4C4E-48AA-B99D-2333EE3DA40E}"/>
    <cellStyle name="Normal 5 2 2 5 2 2 3" xfId="3773" xr:uid="{C2307E29-ECC0-4E3F-B94C-9603A4933EAB}"/>
    <cellStyle name="Normal 5 2 2 5 2 3" xfId="2055" xr:uid="{98CFCF67-5644-4BA8-A8F8-8598294E4793}"/>
    <cellStyle name="Normal 5 2 2 5 2 3 2" xfId="4572" xr:uid="{434E401A-1EAE-45AA-9D1A-325DFC193911}"/>
    <cellStyle name="Normal 5 2 2 5 2 4" xfId="3564" xr:uid="{B1B03B6B-DC4B-4666-B481-05B419AA58A9}"/>
    <cellStyle name="Normal 5 2 2 5 3" xfId="735" xr:uid="{00000000-0005-0000-0000-0000E6010000}"/>
    <cellStyle name="Normal 5 2 2 5 3 2" xfId="2492" xr:uid="{55BCA6B3-668C-4329-9ADF-75153BD35FF5}"/>
    <cellStyle name="Normal 5 2 2 5 3 2 2" xfId="4927" xr:uid="{B2E617E2-6180-419C-B88B-BFB34B2CCCAF}"/>
    <cellStyle name="Normal 5 2 2 5 3 3" xfId="3668" xr:uid="{2D4BD89F-9AD9-4C7A-8C87-9B0D9729FE4E}"/>
    <cellStyle name="Normal 5 2 2 5 4" xfId="1464" xr:uid="{A943F9D7-3D30-4727-9D44-FCF0EC3B98DB}"/>
    <cellStyle name="Normal 5 2 2 5 4 2" xfId="4057" xr:uid="{8350EE27-C2CC-4F9A-8713-E37D5875CE53}"/>
    <cellStyle name="Normal 5 2 2 5 5" xfId="3454" xr:uid="{3A8CBA75-CF47-41AD-9277-6FCD93EC0562}"/>
    <cellStyle name="Normal 5 2 2 6" xfId="578" xr:uid="{00000000-0005-0000-0000-0000E7010000}"/>
    <cellStyle name="Normal 5 2 2 6 2" xfId="789" xr:uid="{00000000-0005-0000-0000-0000E8010000}"/>
    <cellStyle name="Normal 5 2 2 6 2 2" xfId="2723" xr:uid="{76F91FA2-98DD-4FC3-97C5-CFD981FFA9C0}"/>
    <cellStyle name="Normal 5 2 2 6 2 2 2" xfId="5158" xr:uid="{D6CD9AD9-4FD4-485D-B96E-84E8A30BCC67}"/>
    <cellStyle name="Normal 5 2 2 6 2 3" xfId="3721" xr:uid="{F57D9C80-4B6E-452E-8866-27DD34928E59}"/>
    <cellStyle name="Normal 5 2 2 6 3" xfId="1885" xr:uid="{19BF3FEB-DC84-4FEA-8C73-22B10A623EDD}"/>
    <cellStyle name="Normal 5 2 2 6 3 2" xfId="4402" xr:uid="{D9B79410-A5A5-4503-B186-3E7130410C81}"/>
    <cellStyle name="Normal 5 2 2 6 4" xfId="3512" xr:uid="{C1F5853A-1449-4B2E-B833-FB64DF28023F}"/>
    <cellStyle name="Normal 5 2 2 7" xfId="683" xr:uid="{00000000-0005-0000-0000-0000E9010000}"/>
    <cellStyle name="Normal 5 2 2 7 2" xfId="2481" xr:uid="{E4E7EE13-FDF7-4EF5-ABD8-C1FCB2D1DA56}"/>
    <cellStyle name="Normal 5 2 2 7 2 2" xfId="4916" xr:uid="{5BD57E08-F7FF-4530-A5A1-7EB725998F20}"/>
    <cellStyle name="Normal 5 2 2 7 3" xfId="3616" xr:uid="{33431643-6972-4F48-961B-9348212E470A}"/>
    <cellStyle name="Normal 5 2 2 8" xfId="1453" xr:uid="{D632EE85-A0F2-491A-9672-464194DBAD3C}"/>
    <cellStyle name="Normal 5 2 2 8 2" xfId="4046" xr:uid="{521051B5-5196-44C0-A851-8CA15F2E7D45}"/>
    <cellStyle name="Normal 5 2 2 9" xfId="3387" xr:uid="{18DFE633-B5A8-49AC-B34A-94DFDC79E4D7}"/>
    <cellStyle name="Normal 5 2 3" xfId="335" xr:uid="{00000000-0005-0000-0000-0000EA010000}"/>
    <cellStyle name="Normal 5 2 3 2" xfId="407" xr:uid="{00000000-0005-0000-0000-0000EB010000}"/>
    <cellStyle name="Normal 5 2 3 2 2" xfId="504" xr:uid="{00000000-0005-0000-0000-0000EC010000}"/>
    <cellStyle name="Normal 5 2 3 2 2 2" xfId="660" xr:uid="{00000000-0005-0000-0000-0000ED010000}"/>
    <cellStyle name="Normal 5 2 3 2 2 2 2" xfId="871" xr:uid="{00000000-0005-0000-0000-0000EE010000}"/>
    <cellStyle name="Normal 5 2 3 2 2 2 2 2" xfId="2900" xr:uid="{E14A0736-AFDB-4A41-91D4-2345A1463277}"/>
    <cellStyle name="Normal 5 2 3 2 2 2 2 2 2" xfId="5335" xr:uid="{889AD993-88F6-4BBA-8069-48BC1FC9FFB3}"/>
    <cellStyle name="Normal 5 2 3 2 2 2 2 3" xfId="3803" xr:uid="{05BA25BB-D7D0-45DA-BCC4-13F234F25424}"/>
    <cellStyle name="Normal 5 2 3 2 2 2 3" xfId="2062" xr:uid="{6FAB7188-BD75-4E34-97F6-3FB67777CEA6}"/>
    <cellStyle name="Normal 5 2 3 2 2 2 3 2" xfId="4579" xr:uid="{A657C329-0102-4130-BE85-CF72560D9AEF}"/>
    <cellStyle name="Normal 5 2 3 2 2 2 4" xfId="3594" xr:uid="{F3CB0565-5629-4DFF-B818-C135B7196CA9}"/>
    <cellStyle name="Normal 5 2 3 2 2 3" xfId="765" xr:uid="{00000000-0005-0000-0000-0000EF010000}"/>
    <cellStyle name="Normal 5 2 3 2 2 3 2" xfId="2495" xr:uid="{0FAEE644-D693-428C-9BA0-4534B89238E3}"/>
    <cellStyle name="Normal 5 2 3 2 2 3 2 2" xfId="4930" xr:uid="{4AE10F76-4C4B-4DA8-9E2B-54D3895A3696}"/>
    <cellStyle name="Normal 5 2 3 2 2 3 3" xfId="3698" xr:uid="{88BCA0B0-5009-46E3-B547-AECD987867CC}"/>
    <cellStyle name="Normal 5 2 3 2 2 4" xfId="1467" xr:uid="{B7B1353A-80DD-4D43-98C9-6241D417B739}"/>
    <cellStyle name="Normal 5 2 3 2 2 4 2" xfId="4060" xr:uid="{13836D6E-AA2D-4844-8CDA-3962FC48B98F}"/>
    <cellStyle name="Normal 5 2 3 2 2 5" xfId="3484" xr:uid="{0286ADA9-D739-451A-9F11-AD23CF8521F6}"/>
    <cellStyle name="Normal 5 2 3 2 3" xfId="608" xr:uid="{00000000-0005-0000-0000-0000F0010000}"/>
    <cellStyle name="Normal 5 2 3 2 3 2" xfId="819" xr:uid="{00000000-0005-0000-0000-0000F1010000}"/>
    <cellStyle name="Normal 5 2 3 2 3 2 2" xfId="2730" xr:uid="{BAB908B1-CDCC-49B3-BAF7-7B1ADC3E19BC}"/>
    <cellStyle name="Normal 5 2 3 2 3 2 2 2" xfId="5165" xr:uid="{2E7A7FC9-0533-4457-AD7E-83C8C6CA032D}"/>
    <cellStyle name="Normal 5 2 3 2 3 2 3" xfId="3751" xr:uid="{71C1D3CA-D3F2-4D5D-A63D-0CAE35924B52}"/>
    <cellStyle name="Normal 5 2 3 2 3 3" xfId="1892" xr:uid="{B14FE6C6-813E-4DC4-9C17-C4D58B062315}"/>
    <cellStyle name="Normal 5 2 3 2 3 3 2" xfId="4409" xr:uid="{4A179152-1D7B-4D3E-B2EB-B58706DF4934}"/>
    <cellStyle name="Normal 5 2 3 2 3 4" xfId="3542" xr:uid="{546888E1-68BA-435D-8AA6-41DEEF057504}"/>
    <cellStyle name="Normal 5 2 3 2 4" xfId="713" xr:uid="{00000000-0005-0000-0000-0000F2010000}"/>
    <cellStyle name="Normal 5 2 3 2 4 2" xfId="2494" xr:uid="{2C7A1866-8A2E-4010-92C7-C0C7DE1E0A24}"/>
    <cellStyle name="Normal 5 2 3 2 4 2 2" xfId="4929" xr:uid="{1DFC547E-A69E-4F72-8D5E-F01879E9D619}"/>
    <cellStyle name="Normal 5 2 3 2 4 3" xfId="3646" xr:uid="{DB379001-622B-49F3-8659-63F8E84CDED7}"/>
    <cellStyle name="Normal 5 2 3 2 5" xfId="1466" xr:uid="{E1AFF7B3-330F-4BD8-B052-8C10BD2386AB}"/>
    <cellStyle name="Normal 5 2 3 2 5 2" xfId="4059" xr:uid="{6151294C-CE9B-4AA2-BA4C-F4A74A8813C4}"/>
    <cellStyle name="Normal 5 2 3 2 6" xfId="3427" xr:uid="{8A75F5A2-ED49-4AA3-8D6A-6DBAA25B11AF}"/>
    <cellStyle name="Normal 5 2 3 3" xfId="478" xr:uid="{00000000-0005-0000-0000-0000F3010000}"/>
    <cellStyle name="Normal 5 2 3 3 2" xfId="634" xr:uid="{00000000-0005-0000-0000-0000F4010000}"/>
    <cellStyle name="Normal 5 2 3 3 2 2" xfId="845" xr:uid="{00000000-0005-0000-0000-0000F5010000}"/>
    <cellStyle name="Normal 5 2 3 3 2 2 2" xfId="2901" xr:uid="{0F56C0AF-CA59-4436-857F-0B1268BA61B4}"/>
    <cellStyle name="Normal 5 2 3 3 2 2 2 2" xfId="5336" xr:uid="{1CC8F9A2-7A0D-4A12-B6CB-1BF35B1DF7FD}"/>
    <cellStyle name="Normal 5 2 3 3 2 2 3" xfId="2063" xr:uid="{12385839-BA24-4D08-81E4-A783971D5A87}"/>
    <cellStyle name="Normal 5 2 3 3 2 2 3 2" xfId="4580" xr:uid="{142BA18F-EC50-4C9E-B03D-95886FF80E4A}"/>
    <cellStyle name="Normal 5 2 3 3 2 2 4" xfId="3777" xr:uid="{CCA254A9-BCCA-486D-850C-6BA9A23AE2E0}"/>
    <cellStyle name="Normal 5 2 3 3 2 3" xfId="2497" xr:uid="{551F0BFE-190C-494C-B003-793F511C8BF2}"/>
    <cellStyle name="Normal 5 2 3 3 2 3 2" xfId="4932" xr:uid="{F6675142-69D1-42CF-8225-18223940CC22}"/>
    <cellStyle name="Normal 5 2 3 3 2 4" xfId="1469" xr:uid="{01B1780D-BDE4-4010-B61A-A998E93BBD32}"/>
    <cellStyle name="Normal 5 2 3 3 2 4 2" xfId="4062" xr:uid="{E542358A-349C-4D4F-BDF3-A00564211FD5}"/>
    <cellStyle name="Normal 5 2 3 3 2 5" xfId="3568" xr:uid="{A1400ACD-2C06-4C15-B43F-AAC9B324DA36}"/>
    <cellStyle name="Normal 5 2 3 3 3" xfId="739" xr:uid="{00000000-0005-0000-0000-0000F6010000}"/>
    <cellStyle name="Normal 5 2 3 3 3 2" xfId="2731" xr:uid="{79BA05C8-F209-4AB1-9CE1-D7B73E0290BC}"/>
    <cellStyle name="Normal 5 2 3 3 3 2 2" xfId="5166" xr:uid="{6307B17D-38ED-4C25-9682-944ACCF380DA}"/>
    <cellStyle name="Normal 5 2 3 3 3 3" xfId="1893" xr:uid="{7960F10D-F398-4F4D-A231-37B96929C42D}"/>
    <cellStyle name="Normal 5 2 3 3 3 3 2" xfId="4410" xr:uid="{BED82D36-EF01-486F-93F7-005302E11F00}"/>
    <cellStyle name="Normal 5 2 3 3 3 4" xfId="3672" xr:uid="{E9E7FDFE-FDC0-434D-9356-713E4F785E2E}"/>
    <cellStyle name="Normal 5 2 3 3 4" xfId="2496" xr:uid="{7FF56824-2E0C-4D6E-9A1F-DFC1080BF221}"/>
    <cellStyle name="Normal 5 2 3 3 4 2" xfId="4931" xr:uid="{D5A19FE6-671C-4909-B6CC-CD6577C8C729}"/>
    <cellStyle name="Normal 5 2 3 3 5" xfId="1468" xr:uid="{02BBD94B-7AF1-45F0-AD4E-70C9E3534BEA}"/>
    <cellStyle name="Normal 5 2 3 3 5 2" xfId="4061" xr:uid="{1782C697-CC19-4CE8-BD63-2899EDC0D8FA}"/>
    <cellStyle name="Normal 5 2 3 3 6" xfId="3458" xr:uid="{2402612A-BB92-46F8-B465-5A59A7F04F92}"/>
    <cellStyle name="Normal 5 2 3 4" xfId="582" xr:uid="{00000000-0005-0000-0000-0000F7010000}"/>
    <cellStyle name="Normal 5 2 3 4 2" xfId="793" xr:uid="{00000000-0005-0000-0000-0000F8010000}"/>
    <cellStyle name="Normal 5 2 3 4 2 2" xfId="2899" xr:uid="{ADE22372-0038-40A4-895E-F773DB310D85}"/>
    <cellStyle name="Normal 5 2 3 4 2 2 2" xfId="5334" xr:uid="{A831D065-2819-4B56-A55F-4E2C3B4D5B1B}"/>
    <cellStyle name="Normal 5 2 3 4 2 3" xfId="2061" xr:uid="{AE2DB97C-9F42-49C0-9EDF-8F8A786DDEC2}"/>
    <cellStyle name="Normal 5 2 3 4 2 3 2" xfId="4578" xr:uid="{7AA973A0-516B-4FC3-94DF-3214152AB7FB}"/>
    <cellStyle name="Normal 5 2 3 4 2 4" xfId="3725" xr:uid="{602BC9A0-5F24-4D27-8CA5-5103DA0FD5A1}"/>
    <cellStyle name="Normal 5 2 3 4 3" xfId="2498" xr:uid="{A926BB4D-B9D2-4C47-85B9-583224976F78}"/>
    <cellStyle name="Normal 5 2 3 4 3 2" xfId="4933" xr:uid="{A379A5BB-5A7E-422B-8BC3-977322D59C0D}"/>
    <cellStyle name="Normal 5 2 3 4 4" xfId="1470" xr:uid="{B538ECAA-5D7A-4AC0-9F26-E8D339DDD947}"/>
    <cellStyle name="Normal 5 2 3 4 4 2" xfId="4063" xr:uid="{595717E1-6D4E-4DA7-8DEA-B64189D05BDB}"/>
    <cellStyle name="Normal 5 2 3 4 5" xfId="3516" xr:uid="{04ABB4C8-A48A-4E6D-962C-958B8563AD14}"/>
    <cellStyle name="Normal 5 2 3 5" xfId="687" xr:uid="{00000000-0005-0000-0000-0000F9010000}"/>
    <cellStyle name="Normal 5 2 3 5 2" xfId="2729" xr:uid="{EAB7323E-7677-4D52-8D89-04DCDC32452A}"/>
    <cellStyle name="Normal 5 2 3 5 2 2" xfId="5164" xr:uid="{EF1E7CAD-8F8A-4A0E-A64E-B99BA2C0F88B}"/>
    <cellStyle name="Normal 5 2 3 5 3" xfId="1891" xr:uid="{9FEE6AA4-4934-498C-8DCB-D3192BCAE884}"/>
    <cellStyle name="Normal 5 2 3 5 3 2" xfId="4408" xr:uid="{23CF5A32-3768-45ED-AB92-29DF5060FD72}"/>
    <cellStyle name="Normal 5 2 3 5 4" xfId="3620" xr:uid="{21BE1BEE-278C-4A3B-8A82-E5C144C89FC8}"/>
    <cellStyle name="Normal 5 2 3 6" xfId="2493" xr:uid="{105B711D-991E-4290-9586-1764A7F6CC66}"/>
    <cellStyle name="Normal 5 2 3 6 2" xfId="4928" xr:uid="{DAA1355B-9049-4955-B915-E71066D54479}"/>
    <cellStyle name="Normal 5 2 3 7" xfId="1465" xr:uid="{27DE05A7-9A5F-4965-9ED5-00387DE8D8ED}"/>
    <cellStyle name="Normal 5 2 3 7 2" xfId="4058" xr:uid="{FC1D4EE4-10C8-42C4-9D78-30AAFBDA88B7}"/>
    <cellStyle name="Normal 5 2 3 8" xfId="3396" xr:uid="{0EDAAF67-EF9C-46DC-AB8F-40F37454E545}"/>
    <cellStyle name="Normal 5 2 4" xfId="345" xr:uid="{00000000-0005-0000-0000-0000FA010000}"/>
    <cellStyle name="Normal 5 2 4 2" xfId="417" xr:uid="{00000000-0005-0000-0000-0000FB010000}"/>
    <cellStyle name="Normal 5 2 4 2 2" xfId="513" xr:uid="{00000000-0005-0000-0000-0000FC010000}"/>
    <cellStyle name="Normal 5 2 4 2 2 2" xfId="669" xr:uid="{00000000-0005-0000-0000-0000FD010000}"/>
    <cellStyle name="Normal 5 2 4 2 2 2 2" xfId="880" xr:uid="{00000000-0005-0000-0000-0000FE010000}"/>
    <cellStyle name="Normal 5 2 4 2 2 2 2 2" xfId="3812" xr:uid="{8B092008-F6FE-47E8-93CC-A3D8FC9E35B7}"/>
    <cellStyle name="Normal 5 2 4 2 2 2 3" xfId="2902" xr:uid="{F4BEC291-21C4-494A-BE59-8D0FA94FCC46}"/>
    <cellStyle name="Normal 5 2 4 2 2 2 3 2" xfId="5337" xr:uid="{A0A4265C-4BD5-4B8E-827C-E3103959052D}"/>
    <cellStyle name="Normal 5 2 4 2 2 2 4" xfId="3603" xr:uid="{D524336F-41DD-4344-A528-7CE593C1B3DF}"/>
    <cellStyle name="Normal 5 2 4 2 2 3" xfId="774" xr:uid="{00000000-0005-0000-0000-0000FF010000}"/>
    <cellStyle name="Normal 5 2 4 2 2 3 2" xfId="3707" xr:uid="{10DEEE57-A258-41CE-964A-48755EF8F25E}"/>
    <cellStyle name="Normal 5 2 4 2 2 4" xfId="2064" xr:uid="{7040AC77-29E5-423C-9DD2-40D38B367B5D}"/>
    <cellStyle name="Normal 5 2 4 2 2 4 2" xfId="4581" xr:uid="{C7364F5C-3F10-48EA-A272-BD0AA7BC3BC2}"/>
    <cellStyle name="Normal 5 2 4 2 2 5" xfId="3493" xr:uid="{143253EE-6EB4-4FC3-90EA-AE4FCC090FD8}"/>
    <cellStyle name="Normal 5 2 4 2 3" xfId="617" xr:uid="{00000000-0005-0000-0000-000000020000}"/>
    <cellStyle name="Normal 5 2 4 2 3 2" xfId="828" xr:uid="{00000000-0005-0000-0000-000001020000}"/>
    <cellStyle name="Normal 5 2 4 2 3 2 2" xfId="3760" xr:uid="{43D6B695-E30F-43B1-AC61-EE7A7C62B703}"/>
    <cellStyle name="Normal 5 2 4 2 3 3" xfId="2500" xr:uid="{378D6134-7E7D-4CEE-B7AD-FCD4B9ABBFD1}"/>
    <cellStyle name="Normal 5 2 4 2 3 3 2" xfId="4935" xr:uid="{87915DBE-713E-4BB8-88BC-FCEC0DA36F8A}"/>
    <cellStyle name="Normal 5 2 4 2 3 4" xfId="3551" xr:uid="{DCE2DE9A-3ACE-4E1C-A76D-353AB8C752B3}"/>
    <cellStyle name="Normal 5 2 4 2 4" xfId="722" xr:uid="{00000000-0005-0000-0000-000002020000}"/>
    <cellStyle name="Normal 5 2 4 2 4 2" xfId="3655" xr:uid="{0B550CF1-7FBC-4BF9-9E1C-CF68A99B012D}"/>
    <cellStyle name="Normal 5 2 4 2 5" xfId="1472" xr:uid="{530D4D26-EA88-4A82-8E36-C59BD14D4728}"/>
    <cellStyle name="Normal 5 2 4 2 5 2" xfId="4065" xr:uid="{D1296095-D805-490E-845B-371A065B3DC3}"/>
    <cellStyle name="Normal 5 2 4 2 6" xfId="3436" xr:uid="{18F54DA3-CBEA-4742-AA8A-A271B2C2FE29}"/>
    <cellStyle name="Normal 5 2 4 3" xfId="487" xr:uid="{00000000-0005-0000-0000-000003020000}"/>
    <cellStyle name="Normal 5 2 4 3 2" xfId="643" xr:uid="{00000000-0005-0000-0000-000004020000}"/>
    <cellStyle name="Normal 5 2 4 3 2 2" xfId="854" xr:uid="{00000000-0005-0000-0000-000005020000}"/>
    <cellStyle name="Normal 5 2 4 3 2 2 2" xfId="3786" xr:uid="{DA1A11C7-5DFE-49AB-AE72-B72036D6479D}"/>
    <cellStyle name="Normal 5 2 4 3 2 3" xfId="2732" xr:uid="{1B91A9A9-DD9D-47FF-8AA6-FBD83B801D17}"/>
    <cellStyle name="Normal 5 2 4 3 2 3 2" xfId="5167" xr:uid="{D08967A9-7623-4A4E-B6E9-118DB8F704DE}"/>
    <cellStyle name="Normal 5 2 4 3 2 4" xfId="3577" xr:uid="{C6D2BA8E-D3AD-49B3-95A3-BAA6A9495D3B}"/>
    <cellStyle name="Normal 5 2 4 3 3" xfId="748" xr:uid="{00000000-0005-0000-0000-000006020000}"/>
    <cellStyle name="Normal 5 2 4 3 3 2" xfId="3681" xr:uid="{32A2DD2D-DBA6-40BE-9A97-5B2C9354C100}"/>
    <cellStyle name="Normal 5 2 4 3 4" xfId="1894" xr:uid="{5075E8A1-04D4-41A5-92C8-FD152B4753FD}"/>
    <cellStyle name="Normal 5 2 4 3 4 2" xfId="4411" xr:uid="{CF3BF717-2E79-4072-8E18-CC3F6913CAD3}"/>
    <cellStyle name="Normal 5 2 4 3 5" xfId="3467" xr:uid="{93D3A17F-658E-44FD-9C84-C598AA71C30C}"/>
    <cellStyle name="Normal 5 2 4 4" xfId="591" xr:uid="{00000000-0005-0000-0000-000007020000}"/>
    <cellStyle name="Normal 5 2 4 4 2" xfId="802" xr:uid="{00000000-0005-0000-0000-000008020000}"/>
    <cellStyle name="Normal 5 2 4 4 2 2" xfId="3734" xr:uid="{D6314E6E-F039-4D68-A06B-4554DD91EC9E}"/>
    <cellStyle name="Normal 5 2 4 4 3" xfId="2499" xr:uid="{7905445C-7173-4222-940D-491365CEC5CC}"/>
    <cellStyle name="Normal 5 2 4 4 3 2" xfId="4934" xr:uid="{CB8E4F3F-4F3B-48FF-BB78-9D1AC81450EF}"/>
    <cellStyle name="Normal 5 2 4 4 4" xfId="3525" xr:uid="{DD72CDB2-48E0-47C3-9578-DF49D86A0975}"/>
    <cellStyle name="Normal 5 2 4 5" xfId="696" xr:uid="{00000000-0005-0000-0000-000009020000}"/>
    <cellStyle name="Normal 5 2 4 5 2" xfId="3629" xr:uid="{7F7E1832-561D-4DC8-BA12-192C2B669B94}"/>
    <cellStyle name="Normal 5 2 4 6" xfId="1471" xr:uid="{6F816BAF-DC2A-485A-8CE9-011043090C91}"/>
    <cellStyle name="Normal 5 2 4 6 2" xfId="4064" xr:uid="{E198249C-76FA-495E-9B14-A0C958B7F827}"/>
    <cellStyle name="Normal 5 2 4 7" xfId="3405" xr:uid="{39D04D92-5762-438F-A5AF-82E0EA96A4D7}"/>
    <cellStyle name="Normal 5 2 5" xfId="399" xr:uid="{00000000-0005-0000-0000-00000A020000}"/>
    <cellStyle name="Normal 5 2 5 2" xfId="496" xr:uid="{00000000-0005-0000-0000-00000B020000}"/>
    <cellStyle name="Normal 5 2 5 2 2" xfId="652" xr:uid="{00000000-0005-0000-0000-00000C020000}"/>
    <cellStyle name="Normal 5 2 5 2 2 2" xfId="863" xr:uid="{00000000-0005-0000-0000-00000D020000}"/>
    <cellStyle name="Normal 5 2 5 2 2 2 2" xfId="2903" xr:uid="{BFF5B290-DFE5-4C51-9445-F1BA43F80494}"/>
    <cellStyle name="Normal 5 2 5 2 2 2 2 2" xfId="5338" xr:uid="{9AD1AC9B-53B0-4B64-A042-E31264786F7A}"/>
    <cellStyle name="Normal 5 2 5 2 2 2 3" xfId="3795" xr:uid="{70780112-DAF9-46A1-99CC-3EEDC861D096}"/>
    <cellStyle name="Normal 5 2 5 2 2 3" xfId="2065" xr:uid="{237DDF50-8DFC-44C5-85FA-F107F8015090}"/>
    <cellStyle name="Normal 5 2 5 2 2 3 2" xfId="4582" xr:uid="{ACDF1C31-39A6-4CBC-8269-31A6582329C1}"/>
    <cellStyle name="Normal 5 2 5 2 2 4" xfId="3586" xr:uid="{072824B8-6BC8-4CB8-AAD8-B627B4691327}"/>
    <cellStyle name="Normal 5 2 5 2 3" xfId="757" xr:uid="{00000000-0005-0000-0000-00000E020000}"/>
    <cellStyle name="Normal 5 2 5 2 3 2" xfId="2502" xr:uid="{F4AD6C79-4FF5-4886-83EF-DE9948101D29}"/>
    <cellStyle name="Normal 5 2 5 2 3 2 2" xfId="4937" xr:uid="{1D5FDD2B-0914-4701-9FC7-F30B28651631}"/>
    <cellStyle name="Normal 5 2 5 2 3 3" xfId="3690" xr:uid="{6CD6ABDE-A705-4863-895F-7A5C1E3B8E31}"/>
    <cellStyle name="Normal 5 2 5 2 4" xfId="1474" xr:uid="{6DF9288D-7D8C-4F63-9814-83BDADC6D391}"/>
    <cellStyle name="Normal 5 2 5 2 4 2" xfId="4067" xr:uid="{A1645CE5-2D1F-42C6-B3C8-851B1CD51EA4}"/>
    <cellStyle name="Normal 5 2 5 2 5" xfId="3476" xr:uid="{F9099F82-92FE-4020-9C2D-ED83ABB185A3}"/>
    <cellStyle name="Normal 5 2 5 3" xfId="600" xr:uid="{00000000-0005-0000-0000-00000F020000}"/>
    <cellStyle name="Normal 5 2 5 3 2" xfId="811" xr:uid="{00000000-0005-0000-0000-000010020000}"/>
    <cellStyle name="Normal 5 2 5 3 2 2" xfId="2733" xr:uid="{0ED8573C-830C-4EF9-9B77-100A675A52E7}"/>
    <cellStyle name="Normal 5 2 5 3 2 2 2" xfId="5168" xr:uid="{F5993DC7-17EA-4CC5-B159-00EB074A6400}"/>
    <cellStyle name="Normal 5 2 5 3 2 3" xfId="3743" xr:uid="{5B1CF1DF-2436-4E94-AB37-9E59D5E14307}"/>
    <cellStyle name="Normal 5 2 5 3 3" xfId="1895" xr:uid="{C3C9BC4C-5BFE-4DCD-9B9D-7C9DFC32ABBF}"/>
    <cellStyle name="Normal 5 2 5 3 3 2" xfId="4412" xr:uid="{7DEF2071-8367-43A2-A41E-E279F68F0296}"/>
    <cellStyle name="Normal 5 2 5 3 4" xfId="3534" xr:uid="{EE958E97-1617-4E57-A870-CE9BF78A63F3}"/>
    <cellStyle name="Normal 5 2 5 4" xfId="705" xr:uid="{00000000-0005-0000-0000-000011020000}"/>
    <cellStyle name="Normal 5 2 5 4 2" xfId="2501" xr:uid="{C3C45496-005B-4DCE-98F4-8BE72951ACFE}"/>
    <cellStyle name="Normal 5 2 5 4 2 2" xfId="4936" xr:uid="{EC5E35C3-CBCB-437B-9554-CEA1A55F466A}"/>
    <cellStyle name="Normal 5 2 5 4 3" xfId="3638" xr:uid="{002671B6-D18F-49F2-94C3-6101BB1AB807}"/>
    <cellStyle name="Normal 5 2 5 5" xfId="1473" xr:uid="{47AA79EE-E2E6-4564-B87A-215764F5B752}"/>
    <cellStyle name="Normal 5 2 5 5 2" xfId="4066" xr:uid="{464B02E2-F03C-4D81-96E1-90D98F8E94CB}"/>
    <cellStyle name="Normal 5 2 5 6" xfId="3419" xr:uid="{66CBA551-ADB4-4142-A72C-FEDD1C4271F7}"/>
    <cellStyle name="Normal 5 2 6" xfId="470" xr:uid="{00000000-0005-0000-0000-000012020000}"/>
    <cellStyle name="Normal 5 2 6 2" xfId="626" xr:uid="{00000000-0005-0000-0000-000013020000}"/>
    <cellStyle name="Normal 5 2 6 2 2" xfId="837" xr:uid="{00000000-0005-0000-0000-000014020000}"/>
    <cellStyle name="Normal 5 2 6 2 2 2" xfId="2892" xr:uid="{7E95CE7B-C326-4140-8E46-BCEE04FAC4E8}"/>
    <cellStyle name="Normal 5 2 6 2 2 2 2" xfId="5327" xr:uid="{11C766A4-DB08-4030-A7CB-4004EE4CE943}"/>
    <cellStyle name="Normal 5 2 6 2 2 3" xfId="3769" xr:uid="{06B39E04-DD27-4EB5-B61D-409CB1A60B7B}"/>
    <cellStyle name="Normal 5 2 6 2 3" xfId="2054" xr:uid="{94D1054A-7A84-43AD-AF06-243A17622208}"/>
    <cellStyle name="Normal 5 2 6 2 3 2" xfId="4571" xr:uid="{C025A754-68AE-4EE2-9F6E-5F30F8F654C0}"/>
    <cellStyle name="Normal 5 2 6 2 4" xfId="3560" xr:uid="{C86B6B0F-32A0-43FD-ADC4-4BAEB50D2BAD}"/>
    <cellStyle name="Normal 5 2 6 3" xfId="731" xr:uid="{00000000-0005-0000-0000-000015020000}"/>
    <cellStyle name="Normal 5 2 6 3 2" xfId="2503" xr:uid="{8B95027A-D8AD-446D-A18A-AD34CAD77CAC}"/>
    <cellStyle name="Normal 5 2 6 3 2 2" xfId="4938" xr:uid="{2C24BA2D-7CD6-4449-8AFE-CB570F0932BD}"/>
    <cellStyle name="Normal 5 2 6 3 3" xfId="3664" xr:uid="{EA10F2C1-394F-499C-B8C8-3613D4FD7EBD}"/>
    <cellStyle name="Normal 5 2 6 4" xfId="1475" xr:uid="{9C6705D3-00CD-4073-8793-4FD00BCAA3D2}"/>
    <cellStyle name="Normal 5 2 6 4 2" xfId="4068" xr:uid="{12BC2A45-68BF-4640-8496-6438CBC66AFB}"/>
    <cellStyle name="Normal 5 2 6 5" xfId="3450" xr:uid="{22177B6F-58DB-44C4-9A9F-9F588C79CBD8}"/>
    <cellStyle name="Normal 5 2 7" xfId="574" xr:uid="{00000000-0005-0000-0000-000016020000}"/>
    <cellStyle name="Normal 5 2 7 2" xfId="785" xr:uid="{00000000-0005-0000-0000-000017020000}"/>
    <cellStyle name="Normal 5 2 7 2 2" xfId="2722" xr:uid="{AB4D8A44-93B5-4874-9715-752218846DD1}"/>
    <cellStyle name="Normal 5 2 7 2 2 2" xfId="5157" xr:uid="{7C7079AB-8704-412C-8AFD-5844F607BF1A}"/>
    <cellStyle name="Normal 5 2 7 2 3" xfId="3717" xr:uid="{283A09AE-2BFB-418D-8518-7295346F727D}"/>
    <cellStyle name="Normal 5 2 7 3" xfId="1884" xr:uid="{ED964A47-6AE7-4CAC-9F2B-A37C894FB1BE}"/>
    <cellStyle name="Normal 5 2 7 3 2" xfId="4401" xr:uid="{9C78F819-3489-44B1-8CD7-272E7D8E396B}"/>
    <cellStyle name="Normal 5 2 7 4" xfId="3508" xr:uid="{64104E1D-DA1A-4C5B-900A-6BE482365EF7}"/>
    <cellStyle name="Normal 5 2 8" xfId="679" xr:uid="{00000000-0005-0000-0000-000018020000}"/>
    <cellStyle name="Normal 5 2 8 2" xfId="2240" xr:uid="{B0A293CB-FF2D-4A5D-93F3-5E715A409691}"/>
    <cellStyle name="Normal 5 2 8 2 2" xfId="4709" xr:uid="{E5D69235-35B5-42B6-B066-E51B113970D5}"/>
    <cellStyle name="Normal 5 2 8 3" xfId="3612" xr:uid="{A3B893BC-A167-4F81-A493-754657212D27}"/>
    <cellStyle name="Normal 5 2 9" xfId="2480" xr:uid="{0BD1D395-D750-4B79-BDC3-2221C8B12C4C}"/>
    <cellStyle name="Normal 5 2 9 2" xfId="4915" xr:uid="{D0C18FAA-F1B2-4E24-9C64-B9E50EA081E8}"/>
    <cellStyle name="Normal 5 3" xfId="284" xr:uid="{00000000-0005-0000-0000-000019020000}"/>
    <cellStyle name="Normal 5 3 2" xfId="337" xr:uid="{00000000-0005-0000-0000-00001A020000}"/>
    <cellStyle name="Normal 5 3 2 2" xfId="409" xr:uid="{00000000-0005-0000-0000-00001B020000}"/>
    <cellStyle name="Normal 5 3 2 2 2" xfId="506" xr:uid="{00000000-0005-0000-0000-00001C020000}"/>
    <cellStyle name="Normal 5 3 2 2 2 2" xfId="662" xr:uid="{00000000-0005-0000-0000-00001D020000}"/>
    <cellStyle name="Normal 5 3 2 2 2 2 2" xfId="873" xr:uid="{00000000-0005-0000-0000-00001E020000}"/>
    <cellStyle name="Normal 5 3 2 2 2 2 2 2" xfId="2905" xr:uid="{1462914D-4CA3-432E-A2B7-5BC1BCCE89C7}"/>
    <cellStyle name="Normal 5 3 2 2 2 2 2 2 2" xfId="5340" xr:uid="{E6F3AF95-2C7D-4658-ACBE-DF6EA354B06E}"/>
    <cellStyle name="Normal 5 3 2 2 2 2 2 3" xfId="3805" xr:uid="{98B77455-F9D9-4A74-85FD-68B10AEB7A7C}"/>
    <cellStyle name="Normal 5 3 2 2 2 2 3" xfId="2067" xr:uid="{E09FFE0B-2777-461D-9899-21B44832AC8F}"/>
    <cellStyle name="Normal 5 3 2 2 2 2 3 2" xfId="4584" xr:uid="{FFC63DE9-27BF-42CA-AC3B-740671586CA1}"/>
    <cellStyle name="Normal 5 3 2 2 2 2 4" xfId="3596" xr:uid="{32425F05-0ADF-4104-89AE-840F25763E56}"/>
    <cellStyle name="Normal 5 3 2 2 2 3" xfId="767" xr:uid="{00000000-0005-0000-0000-00001F020000}"/>
    <cellStyle name="Normal 5 3 2 2 2 3 2" xfId="2506" xr:uid="{34FEC0F5-93DF-4135-A598-DEB93123A834}"/>
    <cellStyle name="Normal 5 3 2 2 2 3 2 2" xfId="4941" xr:uid="{B82FE000-A159-484E-9B84-49E969E396F4}"/>
    <cellStyle name="Normal 5 3 2 2 2 3 3" xfId="3700" xr:uid="{BE25F62F-D6FF-49E0-9425-03E804D25967}"/>
    <cellStyle name="Normal 5 3 2 2 2 4" xfId="1479" xr:uid="{BF14F7C7-5188-4CAC-9026-E329AC71FA27}"/>
    <cellStyle name="Normal 5 3 2 2 2 4 2" xfId="4071" xr:uid="{F58C3A60-399E-4B69-8FDC-F6579321D29F}"/>
    <cellStyle name="Normal 5 3 2 2 2 5" xfId="3486" xr:uid="{CE38AE8A-22B4-40BE-BBDE-ECC305185C0D}"/>
    <cellStyle name="Normal 5 3 2 2 3" xfId="610" xr:uid="{00000000-0005-0000-0000-000020020000}"/>
    <cellStyle name="Normal 5 3 2 2 3 2" xfId="821" xr:uid="{00000000-0005-0000-0000-000021020000}"/>
    <cellStyle name="Normal 5 3 2 2 3 2 2" xfId="2735" xr:uid="{7007D841-94B8-4517-85FD-74259C3FBFD4}"/>
    <cellStyle name="Normal 5 3 2 2 3 2 2 2" xfId="5170" xr:uid="{306070FC-3F22-4F0F-A2A7-08D64FD056D8}"/>
    <cellStyle name="Normal 5 3 2 2 3 2 3" xfId="3753" xr:uid="{773C69CF-2DCD-4896-9E58-78C7543612BA}"/>
    <cellStyle name="Normal 5 3 2 2 3 3" xfId="1897" xr:uid="{557C8FD9-C67B-4272-957D-5F83EF5628CF}"/>
    <cellStyle name="Normal 5 3 2 2 3 3 2" xfId="4414" xr:uid="{947CB7B4-A075-4B6D-AED8-6A4DD99FBB93}"/>
    <cellStyle name="Normal 5 3 2 2 3 4" xfId="3544" xr:uid="{4F13872E-DD61-4114-AB5B-51081673EE9F}"/>
    <cellStyle name="Normal 5 3 2 2 4" xfId="715" xr:uid="{00000000-0005-0000-0000-000022020000}"/>
    <cellStyle name="Normal 5 3 2 2 4 2" xfId="2505" xr:uid="{C7B56D19-68FF-4E15-8FDF-15185B913AA5}"/>
    <cellStyle name="Normal 5 3 2 2 4 2 2" xfId="4940" xr:uid="{F1A40060-C09B-4698-94BF-253FE71AF9CE}"/>
    <cellStyle name="Normal 5 3 2 2 4 3" xfId="3648" xr:uid="{2E113CE6-C94C-4861-B096-78C49FED7766}"/>
    <cellStyle name="Normal 5 3 2 2 5" xfId="1478" xr:uid="{4D30AA7A-F3F3-4D69-9DC4-39729FB3F0BD}"/>
    <cellStyle name="Normal 5 3 2 2 5 2" xfId="4070" xr:uid="{A4B32921-460A-4E88-B889-8EE5912F0B8B}"/>
    <cellStyle name="Normal 5 3 2 2 6" xfId="3429" xr:uid="{A7D9400F-C898-4727-A3DA-189A5E39AEB1}"/>
    <cellStyle name="Normal 5 3 2 3" xfId="480" xr:uid="{00000000-0005-0000-0000-000023020000}"/>
    <cellStyle name="Normal 5 3 2 3 2" xfId="636" xr:uid="{00000000-0005-0000-0000-000024020000}"/>
    <cellStyle name="Normal 5 3 2 3 2 2" xfId="847" xr:uid="{00000000-0005-0000-0000-000025020000}"/>
    <cellStyle name="Normal 5 3 2 3 2 2 2" xfId="2906" xr:uid="{80190684-EBC7-4C91-819E-DDF479576E7C}"/>
    <cellStyle name="Normal 5 3 2 3 2 2 2 2" xfId="5341" xr:uid="{573361D3-EA69-4C8B-A2AC-C1B43D3C2C79}"/>
    <cellStyle name="Normal 5 3 2 3 2 2 3" xfId="2068" xr:uid="{15C865CF-3A72-4D3A-989D-60920341CAD2}"/>
    <cellStyle name="Normal 5 3 2 3 2 2 3 2" xfId="4585" xr:uid="{14E0B0B4-CC05-42CA-9069-ED18E2E8C93D}"/>
    <cellStyle name="Normal 5 3 2 3 2 2 4" xfId="3779" xr:uid="{CC7F0CFB-F642-4F1B-B55B-CCA5003E27FD}"/>
    <cellStyle name="Normal 5 3 2 3 2 3" xfId="2508" xr:uid="{88F943E9-7A07-44A8-852C-1F0A30D2836B}"/>
    <cellStyle name="Normal 5 3 2 3 2 3 2" xfId="4943" xr:uid="{20277A27-84F9-47F4-AE31-624D45463005}"/>
    <cellStyle name="Normal 5 3 2 3 2 4" xfId="1481" xr:uid="{32AFD444-0CA0-472D-BDF3-A537E1177792}"/>
    <cellStyle name="Normal 5 3 2 3 2 4 2" xfId="4073" xr:uid="{EF244EE6-A058-4E75-A626-C7822448421B}"/>
    <cellStyle name="Normal 5 3 2 3 2 5" xfId="3570" xr:uid="{755E65F1-9ABA-4E13-B200-7404FCB8D99A}"/>
    <cellStyle name="Normal 5 3 2 3 3" xfId="741" xr:uid="{00000000-0005-0000-0000-000026020000}"/>
    <cellStyle name="Normal 5 3 2 3 3 2" xfId="2736" xr:uid="{375AA0D8-A473-4155-AB4A-E537C10C84AA}"/>
    <cellStyle name="Normal 5 3 2 3 3 2 2" xfId="5171" xr:uid="{FA7635C9-97DC-4110-9EC4-E5E738870F0C}"/>
    <cellStyle name="Normal 5 3 2 3 3 3" xfId="1898" xr:uid="{72881647-2160-406C-83D5-018A9FCA8947}"/>
    <cellStyle name="Normal 5 3 2 3 3 3 2" xfId="4415" xr:uid="{D831C86C-1B61-44D2-8FCA-2F12BE1CE743}"/>
    <cellStyle name="Normal 5 3 2 3 3 4" xfId="3674" xr:uid="{72E90790-FBC4-442E-8B94-B37070BC9063}"/>
    <cellStyle name="Normal 5 3 2 3 4" xfId="2507" xr:uid="{E474728F-4506-4CE4-B5E8-E52249709289}"/>
    <cellStyle name="Normal 5 3 2 3 4 2" xfId="4942" xr:uid="{9598DC8F-6AF3-4F13-8BCB-3CA55D003B92}"/>
    <cellStyle name="Normal 5 3 2 3 5" xfId="1480" xr:uid="{76DE6850-9618-48F4-85E1-CB17C4019CD6}"/>
    <cellStyle name="Normal 5 3 2 3 5 2" xfId="4072" xr:uid="{62D01D13-3597-4ABE-9025-C7E10BF32A49}"/>
    <cellStyle name="Normal 5 3 2 3 6" xfId="3460" xr:uid="{4E2ED4B5-5472-458D-83B1-10BAB46483C3}"/>
    <cellStyle name="Normal 5 3 2 4" xfId="584" xr:uid="{00000000-0005-0000-0000-000027020000}"/>
    <cellStyle name="Normal 5 3 2 4 2" xfId="795" xr:uid="{00000000-0005-0000-0000-000028020000}"/>
    <cellStyle name="Normal 5 3 2 4 2 2" xfId="2904" xr:uid="{7B63F3B2-0691-4068-A879-FFF30213A5DF}"/>
    <cellStyle name="Normal 5 3 2 4 2 2 2" xfId="5339" xr:uid="{8270B2DF-9465-4932-953A-D0C964BDF50E}"/>
    <cellStyle name="Normal 5 3 2 4 2 3" xfId="2066" xr:uid="{F368123C-949C-4E23-8F48-A38105BB4DC5}"/>
    <cellStyle name="Normal 5 3 2 4 2 3 2" xfId="4583" xr:uid="{393CB28F-74B2-4ED9-AB44-7A2C82F42148}"/>
    <cellStyle name="Normal 5 3 2 4 2 4" xfId="3727" xr:uid="{DBD61F0A-FDA1-4B09-B519-B4678D55529A}"/>
    <cellStyle name="Normal 5 3 2 4 3" xfId="2509" xr:uid="{DE1A5BA0-F39C-4CC6-8BF5-BEEAA0495509}"/>
    <cellStyle name="Normal 5 3 2 4 3 2" xfId="4944" xr:uid="{62390541-F939-4DF4-9B2B-6B9380C512AB}"/>
    <cellStyle name="Normal 5 3 2 4 4" xfId="1482" xr:uid="{36C985FA-7A32-4D02-AB97-BDDCDC0BA53C}"/>
    <cellStyle name="Normal 5 3 2 4 4 2" xfId="4074" xr:uid="{83E8379F-DAAD-4497-BEBD-7CB48B15B1D8}"/>
    <cellStyle name="Normal 5 3 2 4 5" xfId="3518" xr:uid="{3458B768-FABF-4B86-90D3-2FFB3F9F082C}"/>
    <cellStyle name="Normal 5 3 2 5" xfId="689" xr:uid="{00000000-0005-0000-0000-000029020000}"/>
    <cellStyle name="Normal 5 3 2 5 2" xfId="2734" xr:uid="{1AD61E4E-A58E-4CD7-942C-8F46BAAEF4D6}"/>
    <cellStyle name="Normal 5 3 2 5 2 2" xfId="5169" xr:uid="{1F989ADE-7204-4343-9192-DC079E322BA9}"/>
    <cellStyle name="Normal 5 3 2 5 3" xfId="1896" xr:uid="{CEAD9501-2DAE-4A50-9098-86D9691B05F4}"/>
    <cellStyle name="Normal 5 3 2 5 3 2" xfId="4413" xr:uid="{FC3F15CA-460C-4884-A681-8AE2AFE69C8B}"/>
    <cellStyle name="Normal 5 3 2 5 4" xfId="3622" xr:uid="{77DCBA75-A44E-4F08-BF96-36EDED7DD757}"/>
    <cellStyle name="Normal 5 3 2 6" xfId="2504" xr:uid="{9F90B0C3-F749-44E7-BD2D-494D21FFD158}"/>
    <cellStyle name="Normal 5 3 2 6 2" xfId="4939" xr:uid="{D25E58FA-9A9A-41BE-A326-0ADFCB7C81DF}"/>
    <cellStyle name="Normal 5 3 2 7" xfId="1477" xr:uid="{A49D2BAE-4F77-4B6C-9AFB-584269182511}"/>
    <cellStyle name="Normal 5 3 2 7 2" xfId="4069" xr:uid="{0972C146-834A-4C96-AC38-996844D32B3D}"/>
    <cellStyle name="Normal 5 3 2 8" xfId="3398" xr:uid="{87EAD8F5-444E-48EB-A95C-020850ADF603}"/>
    <cellStyle name="Normal 5 3 3" xfId="347" xr:uid="{00000000-0005-0000-0000-00002A020000}"/>
    <cellStyle name="Normal 5 3 3 2" xfId="419" xr:uid="{00000000-0005-0000-0000-00002B020000}"/>
    <cellStyle name="Normal 5 3 3 2 2" xfId="515" xr:uid="{00000000-0005-0000-0000-00002C020000}"/>
    <cellStyle name="Normal 5 3 3 2 2 2" xfId="671" xr:uid="{00000000-0005-0000-0000-00002D020000}"/>
    <cellStyle name="Normal 5 3 3 2 2 2 2" xfId="882" xr:uid="{00000000-0005-0000-0000-00002E020000}"/>
    <cellStyle name="Normal 5 3 3 2 2 2 2 2" xfId="3814" xr:uid="{013EC4CE-C8DB-4487-B99B-87BF32A62960}"/>
    <cellStyle name="Normal 5 3 3 2 2 2 3" xfId="2907" xr:uid="{FED92EFF-F004-4AB8-A43E-9F87207F2477}"/>
    <cellStyle name="Normal 5 3 3 2 2 2 3 2" xfId="5342" xr:uid="{6D83AF9F-C44F-457A-AD20-652F23A6727A}"/>
    <cellStyle name="Normal 5 3 3 2 2 2 4" xfId="3605" xr:uid="{C4431531-734A-4EC5-96B4-066D33BFCA04}"/>
    <cellStyle name="Normal 5 3 3 2 2 3" xfId="776" xr:uid="{00000000-0005-0000-0000-00002F020000}"/>
    <cellStyle name="Normal 5 3 3 2 2 3 2" xfId="3709" xr:uid="{708B2318-0A06-4D91-A481-CBA3DC68714B}"/>
    <cellStyle name="Normal 5 3 3 2 2 4" xfId="2069" xr:uid="{9E8B92A4-0A24-448A-852A-61045F3C596D}"/>
    <cellStyle name="Normal 5 3 3 2 2 4 2" xfId="4586" xr:uid="{2F4F53B1-06A4-487E-BC77-98F78D9E9867}"/>
    <cellStyle name="Normal 5 3 3 2 2 5" xfId="3495" xr:uid="{171AE557-CD98-4CDF-8347-589566EF5C6E}"/>
    <cellStyle name="Normal 5 3 3 2 3" xfId="619" xr:uid="{00000000-0005-0000-0000-000030020000}"/>
    <cellStyle name="Normal 5 3 3 2 3 2" xfId="830" xr:uid="{00000000-0005-0000-0000-000031020000}"/>
    <cellStyle name="Normal 5 3 3 2 3 2 2" xfId="3762" xr:uid="{20E7DA11-F089-407E-BB29-375D998D23AF}"/>
    <cellStyle name="Normal 5 3 3 2 3 3" xfId="2511" xr:uid="{024C6A05-0961-4FC3-A988-0B39742B3598}"/>
    <cellStyle name="Normal 5 3 3 2 3 3 2" xfId="4946" xr:uid="{7E9B8577-35F8-4543-8D1F-C876DEE1CA80}"/>
    <cellStyle name="Normal 5 3 3 2 3 4" xfId="3553" xr:uid="{EE51077F-A852-4BBE-A2AC-48BCD7106AEE}"/>
    <cellStyle name="Normal 5 3 3 2 4" xfId="724" xr:uid="{00000000-0005-0000-0000-000032020000}"/>
    <cellStyle name="Normal 5 3 3 2 4 2" xfId="3657" xr:uid="{09EC7F46-5535-4F1E-84F6-ABD996892624}"/>
    <cellStyle name="Normal 5 3 3 2 5" xfId="1484" xr:uid="{43A2333E-70CD-4505-8A17-87D483D1A922}"/>
    <cellStyle name="Normal 5 3 3 2 5 2" xfId="4076" xr:uid="{A56AF537-6EFB-477F-93A4-244234E71A9E}"/>
    <cellStyle name="Normal 5 3 3 2 6" xfId="3438" xr:uid="{554C963E-80FF-487B-80D0-17651C4F172E}"/>
    <cellStyle name="Normal 5 3 3 3" xfId="489" xr:uid="{00000000-0005-0000-0000-000033020000}"/>
    <cellStyle name="Normal 5 3 3 3 2" xfId="645" xr:uid="{00000000-0005-0000-0000-000034020000}"/>
    <cellStyle name="Normal 5 3 3 3 2 2" xfId="856" xr:uid="{00000000-0005-0000-0000-000035020000}"/>
    <cellStyle name="Normal 5 3 3 3 2 2 2" xfId="3788" xr:uid="{D6B43BB2-4E3D-47B2-A5C0-716417BD8619}"/>
    <cellStyle name="Normal 5 3 3 3 2 3" xfId="2737" xr:uid="{BB94A5AA-624C-4B1D-AB1B-207FE5713B44}"/>
    <cellStyle name="Normal 5 3 3 3 2 3 2" xfId="5172" xr:uid="{93754057-D0C6-4178-97E3-473F882BA685}"/>
    <cellStyle name="Normal 5 3 3 3 2 4" xfId="3579" xr:uid="{EBECB9AC-0A89-434D-BCCE-FADA023198A9}"/>
    <cellStyle name="Normal 5 3 3 3 3" xfId="750" xr:uid="{00000000-0005-0000-0000-000036020000}"/>
    <cellStyle name="Normal 5 3 3 3 3 2" xfId="3683" xr:uid="{CBD2EE80-2020-465B-A993-1ACF6B8D88F8}"/>
    <cellStyle name="Normal 5 3 3 3 4" xfId="1899" xr:uid="{DB271AFA-8958-463E-9AD1-F485EBEA4ED2}"/>
    <cellStyle name="Normal 5 3 3 3 4 2" xfId="4416" xr:uid="{CFC41BCE-A323-4CCC-93B4-9F86370B9B8F}"/>
    <cellStyle name="Normal 5 3 3 3 5" xfId="3469" xr:uid="{339B4A1E-20BC-4CBE-97A7-1961F7A00ED9}"/>
    <cellStyle name="Normal 5 3 3 4" xfId="593" xr:uid="{00000000-0005-0000-0000-000037020000}"/>
    <cellStyle name="Normal 5 3 3 4 2" xfId="804" xr:uid="{00000000-0005-0000-0000-000038020000}"/>
    <cellStyle name="Normal 5 3 3 4 2 2" xfId="3736" xr:uid="{93D8BF51-FC8A-4D6B-8E7B-D4ABC7D2CE20}"/>
    <cellStyle name="Normal 5 3 3 4 3" xfId="2510" xr:uid="{CC5DF59F-77FA-404B-B029-61BBD5AA8FD3}"/>
    <cellStyle name="Normal 5 3 3 4 3 2" xfId="4945" xr:uid="{94C266A2-D540-439F-9CEF-6F2FD88275C0}"/>
    <cellStyle name="Normal 5 3 3 4 4" xfId="3527" xr:uid="{AFA84220-1AC3-463C-BCAB-5EA3B21B58BC}"/>
    <cellStyle name="Normal 5 3 3 5" xfId="698" xr:uid="{00000000-0005-0000-0000-000039020000}"/>
    <cellStyle name="Normal 5 3 3 5 2" xfId="3631" xr:uid="{E503A876-E0ED-4923-9E8A-064F116F59CE}"/>
    <cellStyle name="Normal 5 3 3 6" xfId="1483" xr:uid="{CC7440F1-8296-4789-86A6-DBE83A3D07BB}"/>
    <cellStyle name="Normal 5 3 3 6 2" xfId="4075" xr:uid="{1F8B4526-D182-4037-A062-26138B4AF34C}"/>
    <cellStyle name="Normal 5 3 3 7" xfId="3407" xr:uid="{A26CFC70-D21A-484B-AF8B-F8866493B99A}"/>
    <cellStyle name="Normal 5 3 4" xfId="401" xr:uid="{00000000-0005-0000-0000-00003A020000}"/>
    <cellStyle name="Normal 5 3 4 2" xfId="498" xr:uid="{00000000-0005-0000-0000-00003B020000}"/>
    <cellStyle name="Normal 5 3 4 2 2" xfId="654" xr:uid="{00000000-0005-0000-0000-00003C020000}"/>
    <cellStyle name="Normal 5 3 4 2 2 2" xfId="865" xr:uid="{00000000-0005-0000-0000-00003D020000}"/>
    <cellStyle name="Normal 5 3 4 2 2 2 2" xfId="2908" xr:uid="{BE0A0989-9C7C-40FD-ABA9-2329FDB26A33}"/>
    <cellStyle name="Normal 5 3 4 2 2 2 2 2" xfId="5343" xr:uid="{2EBDEB99-702F-4DFD-ADDC-2FF629D2AC43}"/>
    <cellStyle name="Normal 5 3 4 2 2 2 3" xfId="3797" xr:uid="{3FAFFEB0-42BD-4772-A552-F2F4BA66C7A4}"/>
    <cellStyle name="Normal 5 3 4 2 2 3" xfId="2070" xr:uid="{C3E83E2E-3F04-4258-9AC4-1B58536583F4}"/>
    <cellStyle name="Normal 5 3 4 2 2 3 2" xfId="4587" xr:uid="{2B3EA774-ED90-4D22-9A40-5840FA76F273}"/>
    <cellStyle name="Normal 5 3 4 2 2 4" xfId="3588" xr:uid="{242D05B6-1B87-4D25-A620-5AC8F364A041}"/>
    <cellStyle name="Normal 5 3 4 2 3" xfId="759" xr:uid="{00000000-0005-0000-0000-00003E020000}"/>
    <cellStyle name="Normal 5 3 4 2 3 2" xfId="2513" xr:uid="{83F99F57-A20D-47FE-9F4D-E9C0800104CD}"/>
    <cellStyle name="Normal 5 3 4 2 3 2 2" xfId="4948" xr:uid="{4FC5D091-B074-4779-9123-ED2ED69B90C6}"/>
    <cellStyle name="Normal 5 3 4 2 3 3" xfId="3692" xr:uid="{13119780-3215-489D-82A7-B4B3A4DA93A1}"/>
    <cellStyle name="Normal 5 3 4 2 4" xfId="1486" xr:uid="{352165A9-24B5-473A-A091-F65ED06A582B}"/>
    <cellStyle name="Normal 5 3 4 2 4 2" xfId="4078" xr:uid="{D53137F5-2B87-4EE2-8475-E8ECD142F665}"/>
    <cellStyle name="Normal 5 3 4 2 5" xfId="3478" xr:uid="{B4107C85-9BFC-4B4D-BCB6-8A09E078E668}"/>
    <cellStyle name="Normal 5 3 4 3" xfId="602" xr:uid="{00000000-0005-0000-0000-00003F020000}"/>
    <cellStyle name="Normal 5 3 4 3 2" xfId="813" xr:uid="{00000000-0005-0000-0000-000040020000}"/>
    <cellStyle name="Normal 5 3 4 3 2 2" xfId="2738" xr:uid="{072ABA06-D777-436C-992C-50BF2F955C11}"/>
    <cellStyle name="Normal 5 3 4 3 2 2 2" xfId="5173" xr:uid="{264E8F9D-A1D6-41A6-8952-51FD1C7CE46E}"/>
    <cellStyle name="Normal 5 3 4 3 2 3" xfId="3745" xr:uid="{1CA79868-D92A-41EB-98CC-7BA6F33D2B9F}"/>
    <cellStyle name="Normal 5 3 4 3 3" xfId="1900" xr:uid="{1FB3B786-FD6E-4FE1-9937-2F5B17B1FBFE}"/>
    <cellStyle name="Normal 5 3 4 3 3 2" xfId="4417" xr:uid="{61B4C065-E582-46A7-BBFD-F1B928D5165C}"/>
    <cellStyle name="Normal 5 3 4 3 4" xfId="3536" xr:uid="{91F3260D-5AF7-4751-815F-BECA5EDDE651}"/>
    <cellStyle name="Normal 5 3 4 4" xfId="707" xr:uid="{00000000-0005-0000-0000-000041020000}"/>
    <cellStyle name="Normal 5 3 4 4 2" xfId="2512" xr:uid="{504D2D35-891C-4D52-9900-66D415EA56EB}"/>
    <cellStyle name="Normal 5 3 4 4 2 2" xfId="4947" xr:uid="{082936C2-9C7E-41B7-ACEA-54FE3305CBED}"/>
    <cellStyle name="Normal 5 3 4 4 3" xfId="3640" xr:uid="{BCAF62F3-106A-4EFF-8CA0-F34451DD5233}"/>
    <cellStyle name="Normal 5 3 4 5" xfId="1485" xr:uid="{D9C185C2-2A79-4627-A634-AF26022777D6}"/>
    <cellStyle name="Normal 5 3 4 5 2" xfId="4077" xr:uid="{6C64F58F-D36F-4DED-9309-E06D2139757A}"/>
    <cellStyle name="Normal 5 3 4 6" xfId="3421" xr:uid="{84595A46-9F93-4350-9DF5-42DE6AD6446D}"/>
    <cellStyle name="Normal 5 3 5" xfId="472" xr:uid="{00000000-0005-0000-0000-000042020000}"/>
    <cellStyle name="Normal 5 3 5 2" xfId="628" xr:uid="{00000000-0005-0000-0000-000043020000}"/>
    <cellStyle name="Normal 5 3 5 2 2" xfId="839" xr:uid="{00000000-0005-0000-0000-000044020000}"/>
    <cellStyle name="Normal 5 3 5 2 2 2" xfId="3771" xr:uid="{88101F3A-9311-45F8-B9A9-407F69A50D60}"/>
    <cellStyle name="Normal 5 3 5 2 3" xfId="3562" xr:uid="{E896FD4C-19B7-4538-AFF0-631C4AD8FEFD}"/>
    <cellStyle name="Normal 5 3 5 3" xfId="733" xr:uid="{00000000-0005-0000-0000-000045020000}"/>
    <cellStyle name="Normal 5 3 5 3 2" xfId="3666" xr:uid="{30089712-67D4-4849-A08B-1A0BEF991120}"/>
    <cellStyle name="Normal 5 3 5 4" xfId="3452" xr:uid="{93EE1D20-ACBB-4C9E-8BB9-F1D85FACEE88}"/>
    <cellStyle name="Normal 5 3 6" xfId="576" xr:uid="{00000000-0005-0000-0000-000046020000}"/>
    <cellStyle name="Normal 5 3 6 2" xfId="787" xr:uid="{00000000-0005-0000-0000-000047020000}"/>
    <cellStyle name="Normal 5 3 6 2 2" xfId="3719" xr:uid="{5CEDFEB8-B0EB-4240-A9D1-2F5394581FF1}"/>
    <cellStyle name="Normal 5 3 6 3" xfId="3510" xr:uid="{B0978FD5-4E4A-4CFF-A8FD-19FCF0991D81}"/>
    <cellStyle name="Normal 5 3 7" xfId="681" xr:uid="{00000000-0005-0000-0000-000048020000}"/>
    <cellStyle name="Normal 5 3 7 2" xfId="3614" xr:uid="{6A1EADA9-BCAC-4222-A1CF-00178AE4F1B6}"/>
    <cellStyle name="Normal 5 3 8" xfId="1476" xr:uid="{C3F50E7A-3478-4DC5-BA1E-02C9D0E00766}"/>
    <cellStyle name="Normal 5 3 9" xfId="3385" xr:uid="{5AD14DD2-2831-47F1-9861-447F29D5690C}"/>
    <cellStyle name="Normal 5 4" xfId="333" xr:uid="{00000000-0005-0000-0000-000049020000}"/>
    <cellStyle name="Normal 5 4 2" xfId="405" xr:uid="{00000000-0005-0000-0000-00004A020000}"/>
    <cellStyle name="Normal 5 4 2 2" xfId="502" xr:uid="{00000000-0005-0000-0000-00004B020000}"/>
    <cellStyle name="Normal 5 4 2 2 2" xfId="658" xr:uid="{00000000-0005-0000-0000-00004C020000}"/>
    <cellStyle name="Normal 5 4 2 2 2 2" xfId="869" xr:uid="{00000000-0005-0000-0000-00004D020000}"/>
    <cellStyle name="Normal 5 4 2 2 2 2 2" xfId="2910" xr:uid="{C7DD388E-1F64-4B37-8F30-A539F4B2052E}"/>
    <cellStyle name="Normal 5 4 2 2 2 2 2 2" xfId="5345" xr:uid="{72CFCC00-97F1-4040-BE61-2E773F73D472}"/>
    <cellStyle name="Normal 5 4 2 2 2 2 3" xfId="3801" xr:uid="{E2B1B1B8-AA0A-4840-9511-8C144F08C161}"/>
    <cellStyle name="Normal 5 4 2 2 2 3" xfId="2072" xr:uid="{F9DB3EE8-0281-47DA-9C51-4378067B762D}"/>
    <cellStyle name="Normal 5 4 2 2 2 3 2" xfId="4589" xr:uid="{B4CB63AB-6BB5-4A02-BCED-852A00375C24}"/>
    <cellStyle name="Normal 5 4 2 2 2 4" xfId="3592" xr:uid="{D707225E-ACB1-4344-B1A7-7F676411F15D}"/>
    <cellStyle name="Normal 5 4 2 2 3" xfId="763" xr:uid="{00000000-0005-0000-0000-00004E020000}"/>
    <cellStyle name="Normal 5 4 2 2 3 2" xfId="2516" xr:uid="{9271B195-2F52-4C31-B5C5-FC128F73FD0F}"/>
    <cellStyle name="Normal 5 4 2 2 3 2 2" xfId="4951" xr:uid="{65521D9A-A5F7-4647-A8F9-B125891C5D48}"/>
    <cellStyle name="Normal 5 4 2 2 3 3" xfId="3696" xr:uid="{A061AA24-75F1-4914-B977-2AFC9E4801D9}"/>
    <cellStyle name="Normal 5 4 2 2 4" xfId="1489" xr:uid="{F241C311-FF85-44A8-AE00-4BAE74186B2D}"/>
    <cellStyle name="Normal 5 4 2 2 4 2" xfId="4081" xr:uid="{07D3E3ED-644C-477B-BDBF-6EB185855EE8}"/>
    <cellStyle name="Normal 5 4 2 2 5" xfId="3482" xr:uid="{824D5C97-7F60-4A4F-9814-FE7C8AF10A9B}"/>
    <cellStyle name="Normal 5 4 2 3" xfId="606" xr:uid="{00000000-0005-0000-0000-00004F020000}"/>
    <cellStyle name="Normal 5 4 2 3 2" xfId="817" xr:uid="{00000000-0005-0000-0000-000050020000}"/>
    <cellStyle name="Normal 5 4 2 3 2 2" xfId="2740" xr:uid="{C223F2EA-3F07-40C4-B9DB-ECCB0616C835}"/>
    <cellStyle name="Normal 5 4 2 3 2 2 2" xfId="5175" xr:uid="{EB5C5E0A-E4F0-49A3-9F49-DA0AEE302224}"/>
    <cellStyle name="Normal 5 4 2 3 2 3" xfId="3749" xr:uid="{21FD96A3-4AF8-48BE-A9C2-EA2376C0D4E8}"/>
    <cellStyle name="Normal 5 4 2 3 3" xfId="1902" xr:uid="{066410FA-ADBC-48F0-8790-6132C90ACA5C}"/>
    <cellStyle name="Normal 5 4 2 3 3 2" xfId="4419" xr:uid="{542EE0A3-1A34-4CD9-BBDC-FBF7B393F52A}"/>
    <cellStyle name="Normal 5 4 2 3 4" xfId="3540" xr:uid="{E15A762F-86DB-42F9-944A-CA9ED7092FEF}"/>
    <cellStyle name="Normal 5 4 2 4" xfId="711" xr:uid="{00000000-0005-0000-0000-000051020000}"/>
    <cellStyle name="Normal 5 4 2 4 2" xfId="2515" xr:uid="{A9192333-71A5-46B8-951E-CE8E503D9410}"/>
    <cellStyle name="Normal 5 4 2 4 2 2" xfId="4950" xr:uid="{5B52CAED-5892-44E5-A60A-55F4B68571D6}"/>
    <cellStyle name="Normal 5 4 2 4 3" xfId="3644" xr:uid="{38B057DE-6F03-42EA-8292-82112E45E02A}"/>
    <cellStyle name="Normal 5 4 2 5" xfId="1488" xr:uid="{16EB2FD0-81CA-4228-A80D-1EC951C46819}"/>
    <cellStyle name="Normal 5 4 2 5 2" xfId="4080" xr:uid="{B3A7C1DE-C048-4E85-97E1-8676EAE355C6}"/>
    <cellStyle name="Normal 5 4 2 6" xfId="3425" xr:uid="{0767D1E1-C5A4-456E-924C-9EF4D4EABB6F}"/>
    <cellStyle name="Normal 5 4 3" xfId="476" xr:uid="{00000000-0005-0000-0000-000052020000}"/>
    <cellStyle name="Normal 5 4 3 2" xfId="632" xr:uid="{00000000-0005-0000-0000-000053020000}"/>
    <cellStyle name="Normal 5 4 3 2 2" xfId="843" xr:uid="{00000000-0005-0000-0000-000054020000}"/>
    <cellStyle name="Normal 5 4 3 2 2 2" xfId="2911" xr:uid="{67E0E1A1-CF76-42C6-ABE5-322E0C0133B3}"/>
    <cellStyle name="Normal 5 4 3 2 2 2 2" xfId="5346" xr:uid="{97B1559C-97C1-47EF-BE24-70B88D5B4E15}"/>
    <cellStyle name="Normal 5 4 3 2 2 3" xfId="2073" xr:uid="{95AC8AD6-C4F2-4E58-8045-1257E1394637}"/>
    <cellStyle name="Normal 5 4 3 2 2 3 2" xfId="4590" xr:uid="{928F68BD-8D5C-406E-8E13-C64DE3FD67C4}"/>
    <cellStyle name="Normal 5 4 3 2 2 4" xfId="3775" xr:uid="{D1D89F05-4C08-4594-97E8-AB1B7D2C5646}"/>
    <cellStyle name="Normal 5 4 3 2 3" xfId="2518" xr:uid="{92073405-172E-4DED-AE07-3E02CBDABFEF}"/>
    <cellStyle name="Normal 5 4 3 2 3 2" xfId="4953" xr:uid="{7D0B383F-2C7D-4B7D-9D35-067E03B7AE36}"/>
    <cellStyle name="Normal 5 4 3 2 4" xfId="1491" xr:uid="{F0930CDE-8ED7-4F50-8BD8-A15A4FD2EA6E}"/>
    <cellStyle name="Normal 5 4 3 2 4 2" xfId="4083" xr:uid="{1CC27694-D28E-4124-AC30-25BF5D4B700D}"/>
    <cellStyle name="Normal 5 4 3 2 5" xfId="3566" xr:uid="{50A47D47-505F-44CC-8252-1D3C2CE339B2}"/>
    <cellStyle name="Normal 5 4 3 3" xfId="737" xr:uid="{00000000-0005-0000-0000-000055020000}"/>
    <cellStyle name="Normal 5 4 3 3 2" xfId="2741" xr:uid="{33FD0741-219E-451D-BAF2-E3C738270A4E}"/>
    <cellStyle name="Normal 5 4 3 3 2 2" xfId="5176" xr:uid="{A4248972-25E7-4708-B021-3209C4069BF0}"/>
    <cellStyle name="Normal 5 4 3 3 3" xfId="1903" xr:uid="{D28835A3-66DB-447D-A306-B31935B79B1C}"/>
    <cellStyle name="Normal 5 4 3 3 3 2" xfId="4420" xr:uid="{F0716DD1-D59F-492C-BA89-233AFBA59226}"/>
    <cellStyle name="Normal 5 4 3 3 4" xfId="3670" xr:uid="{EF27FFCC-B43C-401B-A772-C5D87E60623D}"/>
    <cellStyle name="Normal 5 4 3 4" xfId="2517" xr:uid="{7636130F-C454-48F8-83A7-AA22A7854ACA}"/>
    <cellStyle name="Normal 5 4 3 4 2" xfId="4952" xr:uid="{E6BECA4A-324E-442A-8178-C040EE837127}"/>
    <cellStyle name="Normal 5 4 3 5" xfId="1490" xr:uid="{268F588D-E882-484F-A634-7BF4FB73BD11}"/>
    <cellStyle name="Normal 5 4 3 5 2" xfId="4082" xr:uid="{AFC9D66E-2E28-4659-BDA9-A6BA3CB8152A}"/>
    <cellStyle name="Normal 5 4 3 6" xfId="3456" xr:uid="{89851139-57CD-4D37-B77B-F73B2ABAF4C9}"/>
    <cellStyle name="Normal 5 4 4" xfId="580" xr:uid="{00000000-0005-0000-0000-000056020000}"/>
    <cellStyle name="Normal 5 4 4 2" xfId="791" xr:uid="{00000000-0005-0000-0000-000057020000}"/>
    <cellStyle name="Normal 5 4 4 2 2" xfId="2909" xr:uid="{F1B3D911-7A4D-4D33-932A-2148E35B932F}"/>
    <cellStyle name="Normal 5 4 4 2 2 2" xfId="5344" xr:uid="{8A376ACF-C367-48D3-97F4-9FB3C689A361}"/>
    <cellStyle name="Normal 5 4 4 2 3" xfId="2071" xr:uid="{90DE3BFB-F936-4D0A-BD49-412DF87AD4AF}"/>
    <cellStyle name="Normal 5 4 4 2 3 2" xfId="4588" xr:uid="{F1F0B58E-B835-4C76-9AAA-62B5317236A5}"/>
    <cellStyle name="Normal 5 4 4 2 4" xfId="3723" xr:uid="{A6BBF485-3BB0-44BE-B4C5-85E6F50D526C}"/>
    <cellStyle name="Normal 5 4 4 3" xfId="2519" xr:uid="{6814017C-57C0-43A6-817B-CE9F052428D8}"/>
    <cellStyle name="Normal 5 4 4 3 2" xfId="4954" xr:uid="{95E1077E-E2D0-4E48-A9DD-3EE0FBCB62BF}"/>
    <cellStyle name="Normal 5 4 4 4" xfId="1492" xr:uid="{F447ECC3-C3F3-4636-BC04-E2EA26EE7D7A}"/>
    <cellStyle name="Normal 5 4 4 4 2" xfId="4084" xr:uid="{6F2AAFDC-35F6-43C5-BDD0-03A53B622004}"/>
    <cellStyle name="Normal 5 4 4 5" xfId="3514" xr:uid="{E37D0188-790F-4010-B671-A411CE835F96}"/>
    <cellStyle name="Normal 5 4 5" xfId="685" xr:uid="{00000000-0005-0000-0000-000058020000}"/>
    <cellStyle name="Normal 5 4 5 2" xfId="2739" xr:uid="{92231D32-5EB9-4D24-BA32-648CFFC008A2}"/>
    <cellStyle name="Normal 5 4 5 2 2" xfId="5174" xr:uid="{4F75F9D5-489F-42F9-B544-14D2E4A9C97F}"/>
    <cellStyle name="Normal 5 4 5 3" xfId="1901" xr:uid="{30A82EDE-386F-4AA1-AA19-5E0326A9B9B1}"/>
    <cellStyle name="Normal 5 4 5 3 2" xfId="4418" xr:uid="{9FF0C2C1-563A-4E6C-B6AA-92C34A6BB950}"/>
    <cellStyle name="Normal 5 4 5 4" xfId="3618" xr:uid="{C5AC8584-5DF3-452A-99E3-0ACC6FA6434A}"/>
    <cellStyle name="Normal 5 4 6" xfId="2514" xr:uid="{AF37760F-22D0-4079-AFEE-53ACE454A607}"/>
    <cellStyle name="Normal 5 4 6 2" xfId="4949" xr:uid="{62BCB0FB-BDB9-4A11-897D-9A3BDA83675A}"/>
    <cellStyle name="Normal 5 4 7" xfId="1487" xr:uid="{5CC29D29-3D6A-4DCA-BD06-7776078B1745}"/>
    <cellStyle name="Normal 5 4 7 2" xfId="4079" xr:uid="{EC38B195-779D-40F8-895E-EDFFB304096E}"/>
    <cellStyle name="Normal 5 4 8" xfId="3394" xr:uid="{0762F9FC-F8FD-4895-AB21-454193C0C01E}"/>
    <cellStyle name="Normal 5 5" xfId="343" xr:uid="{00000000-0005-0000-0000-000059020000}"/>
    <cellStyle name="Normal 5 5 2" xfId="415" xr:uid="{00000000-0005-0000-0000-00005A020000}"/>
    <cellStyle name="Normal 5 5 2 2" xfId="511" xr:uid="{00000000-0005-0000-0000-00005B020000}"/>
    <cellStyle name="Normal 5 5 2 2 2" xfId="667" xr:uid="{00000000-0005-0000-0000-00005C020000}"/>
    <cellStyle name="Normal 5 5 2 2 2 2" xfId="878" xr:uid="{00000000-0005-0000-0000-00005D020000}"/>
    <cellStyle name="Normal 5 5 2 2 2 2 2" xfId="3810" xr:uid="{84A12033-2C44-4367-B819-70C1156563A8}"/>
    <cellStyle name="Normal 5 5 2 2 2 3" xfId="2912" xr:uid="{FAC68542-9D5A-4ABD-89B3-9DAD38D1AE7B}"/>
    <cellStyle name="Normal 5 5 2 2 2 3 2" xfId="5347" xr:uid="{876948BA-D5ED-488D-B522-DD94C319F192}"/>
    <cellStyle name="Normal 5 5 2 2 2 4" xfId="3601" xr:uid="{B8CD09DB-2698-431C-99F1-49106EFF267D}"/>
    <cellStyle name="Normal 5 5 2 2 3" xfId="772" xr:uid="{00000000-0005-0000-0000-00005E020000}"/>
    <cellStyle name="Normal 5 5 2 2 3 2" xfId="3705" xr:uid="{C2E56B0C-1817-4A99-B6F4-70D80224355F}"/>
    <cellStyle name="Normal 5 5 2 2 4" xfId="2074" xr:uid="{CF8E40F2-3337-44ED-867E-43C195C3EB78}"/>
    <cellStyle name="Normal 5 5 2 2 4 2" xfId="4591" xr:uid="{2C22D7E2-C27A-4E86-B101-BC2D99767134}"/>
    <cellStyle name="Normal 5 5 2 2 5" xfId="3491" xr:uid="{982957A5-B7DA-469C-96AF-9F16F66B9D24}"/>
    <cellStyle name="Normal 5 5 2 3" xfId="615" xr:uid="{00000000-0005-0000-0000-00005F020000}"/>
    <cellStyle name="Normal 5 5 2 3 2" xfId="826" xr:uid="{00000000-0005-0000-0000-000060020000}"/>
    <cellStyle name="Normal 5 5 2 3 2 2" xfId="3758" xr:uid="{CE11337F-6EE3-4E2C-AD80-D9FE9890E7FA}"/>
    <cellStyle name="Normal 5 5 2 3 3" xfId="2521" xr:uid="{6C6AD6E1-4874-4E7F-A3CB-F11D9D03C97A}"/>
    <cellStyle name="Normal 5 5 2 3 3 2" xfId="4956" xr:uid="{8D12666C-3A9B-4E19-AABA-AF4D44DE5A24}"/>
    <cellStyle name="Normal 5 5 2 3 4" xfId="3549" xr:uid="{FF65434A-B419-4CD5-B111-1E5B9129CFFD}"/>
    <cellStyle name="Normal 5 5 2 4" xfId="720" xr:uid="{00000000-0005-0000-0000-000061020000}"/>
    <cellStyle name="Normal 5 5 2 4 2" xfId="3653" xr:uid="{01C18986-5C8C-436A-8753-9F4DAA42234A}"/>
    <cellStyle name="Normal 5 5 2 5" xfId="1494" xr:uid="{8AD0CF6C-7647-4823-8EA4-1FC1E9A6C3DF}"/>
    <cellStyle name="Normal 5 5 2 5 2" xfId="4086" xr:uid="{25BB85DC-9AA5-4E17-B564-680AA947FD32}"/>
    <cellStyle name="Normal 5 5 2 6" xfId="3434" xr:uid="{CF52C87A-B79A-485D-A82C-B065C40474EC}"/>
    <cellStyle name="Normal 5 5 3" xfId="485" xr:uid="{00000000-0005-0000-0000-000062020000}"/>
    <cellStyle name="Normal 5 5 3 2" xfId="641" xr:uid="{00000000-0005-0000-0000-000063020000}"/>
    <cellStyle name="Normal 5 5 3 2 2" xfId="852" xr:uid="{00000000-0005-0000-0000-000064020000}"/>
    <cellStyle name="Normal 5 5 3 2 2 2" xfId="3784" xr:uid="{EE3B6E67-70F5-4819-BE4D-87B0E479C711}"/>
    <cellStyle name="Normal 5 5 3 2 3" xfId="2742" xr:uid="{21D6E47F-79B8-4BDC-BB46-A14E6024A082}"/>
    <cellStyle name="Normal 5 5 3 2 3 2" xfId="5177" xr:uid="{3AB073A1-F7EF-49A2-AD8D-5464A6AC31FA}"/>
    <cellStyle name="Normal 5 5 3 2 4" xfId="3575" xr:uid="{5998EEB5-57C0-496C-8EB4-D84057AE40DB}"/>
    <cellStyle name="Normal 5 5 3 3" xfId="746" xr:uid="{00000000-0005-0000-0000-000065020000}"/>
    <cellStyle name="Normal 5 5 3 3 2" xfId="3679" xr:uid="{34E31BB0-1377-40F0-8373-586F30EB6611}"/>
    <cellStyle name="Normal 5 5 3 4" xfId="1904" xr:uid="{D5331FB5-55C0-4466-AF25-13293DFCE74C}"/>
    <cellStyle name="Normal 5 5 3 4 2" xfId="4421" xr:uid="{4A3202ED-6A10-449E-BDBB-152CFC84BB23}"/>
    <cellStyle name="Normal 5 5 3 5" xfId="3465" xr:uid="{8B8F2FD5-AC68-4C24-94B2-B47CA725BF24}"/>
    <cellStyle name="Normal 5 5 4" xfId="589" xr:uid="{00000000-0005-0000-0000-000066020000}"/>
    <cellStyle name="Normal 5 5 4 2" xfId="800" xr:uid="{00000000-0005-0000-0000-000067020000}"/>
    <cellStyle name="Normal 5 5 4 2 2" xfId="3732" xr:uid="{6FD6D423-31CD-4B82-99F1-DC0F43E845D1}"/>
    <cellStyle name="Normal 5 5 4 3" xfId="2520" xr:uid="{75A4EAC1-FCA2-4E01-A31D-182C89B3FB30}"/>
    <cellStyle name="Normal 5 5 4 3 2" xfId="4955" xr:uid="{334DA73B-E673-4E7C-8E6C-99C35D5E33D1}"/>
    <cellStyle name="Normal 5 5 4 4" xfId="3523" xr:uid="{1F47D833-5763-4AAB-B2C1-FD74E64CE473}"/>
    <cellStyle name="Normal 5 5 5" xfId="694" xr:uid="{00000000-0005-0000-0000-000068020000}"/>
    <cellStyle name="Normal 5 5 5 2" xfId="3627" xr:uid="{0B1F08A3-F030-4543-A5C0-DB4FC02EFE97}"/>
    <cellStyle name="Normal 5 5 6" xfId="1493" xr:uid="{0589E20A-E694-4DD2-A0F1-EC4B19B36CB0}"/>
    <cellStyle name="Normal 5 5 6 2" xfId="4085" xr:uid="{373F2523-C897-40F0-9743-32B78B13A56B}"/>
    <cellStyle name="Normal 5 5 7" xfId="3403" xr:uid="{807ED598-A50B-4381-A8AE-2F7F6FEEBEFB}"/>
    <cellStyle name="Normal 5 6" xfId="397" xr:uid="{00000000-0005-0000-0000-000069020000}"/>
    <cellStyle name="Normal 5 6 2" xfId="494" xr:uid="{00000000-0005-0000-0000-00006A020000}"/>
    <cellStyle name="Normal 5 6 2 2" xfId="650" xr:uid="{00000000-0005-0000-0000-00006B020000}"/>
    <cellStyle name="Normal 5 6 2 2 2" xfId="861" xr:uid="{00000000-0005-0000-0000-00006C020000}"/>
    <cellStyle name="Normal 5 6 2 2 2 2" xfId="2913" xr:uid="{B87F0862-F432-4EDE-B120-34B58D968D55}"/>
    <cellStyle name="Normal 5 6 2 2 2 2 2" xfId="5348" xr:uid="{960E15C0-F8E3-4D48-A988-28A15A28A763}"/>
    <cellStyle name="Normal 5 6 2 2 2 3" xfId="3793" xr:uid="{EFB918F9-E12A-47EE-AAF6-CAA2C42D2234}"/>
    <cellStyle name="Normal 5 6 2 2 3" xfId="2075" xr:uid="{D4B326A8-7A81-44B8-A134-86C56035AD14}"/>
    <cellStyle name="Normal 5 6 2 2 3 2" xfId="4592" xr:uid="{6D2657EE-75DA-4627-8B44-F7B52087228E}"/>
    <cellStyle name="Normal 5 6 2 2 4" xfId="3584" xr:uid="{F98A66A2-1AAF-4A9C-9899-05176331A5EA}"/>
    <cellStyle name="Normal 5 6 2 3" xfId="755" xr:uid="{00000000-0005-0000-0000-00006D020000}"/>
    <cellStyle name="Normal 5 6 2 3 2" xfId="2523" xr:uid="{7844FDEE-F9C8-4E5B-867D-499D80C66FB4}"/>
    <cellStyle name="Normal 5 6 2 3 2 2" xfId="4958" xr:uid="{3F742839-3495-4908-A7B7-3695A41EB524}"/>
    <cellStyle name="Normal 5 6 2 3 3" xfId="3688" xr:uid="{2FF2E0A2-B2CF-45C6-A140-16259520A242}"/>
    <cellStyle name="Normal 5 6 2 4" xfId="1496" xr:uid="{97B75A6C-FE5F-4E28-A126-D413DC7FC06F}"/>
    <cellStyle name="Normal 5 6 2 4 2" xfId="4088" xr:uid="{F44659EA-7FB2-4720-8145-BC49B8012FEF}"/>
    <cellStyle name="Normal 5 6 2 5" xfId="3474" xr:uid="{B807D9A7-5DC1-450E-9790-3E6ED9BEB3E1}"/>
    <cellStyle name="Normal 5 6 3" xfId="598" xr:uid="{00000000-0005-0000-0000-00006E020000}"/>
    <cellStyle name="Normal 5 6 3 2" xfId="809" xr:uid="{00000000-0005-0000-0000-00006F020000}"/>
    <cellStyle name="Normal 5 6 3 2 2" xfId="2743" xr:uid="{F9986922-E9C5-45E0-81D2-10A86938AF85}"/>
    <cellStyle name="Normal 5 6 3 2 2 2" xfId="5178" xr:uid="{C90B1AE0-6E67-469F-B40E-9417C1A9ADF7}"/>
    <cellStyle name="Normal 5 6 3 2 3" xfId="3741" xr:uid="{7CE80913-AA17-43C5-97D8-DE7C920FF8C9}"/>
    <cellStyle name="Normal 5 6 3 3" xfId="1905" xr:uid="{CE0F1612-016C-401E-A376-2537748F9161}"/>
    <cellStyle name="Normal 5 6 3 3 2" xfId="4422" xr:uid="{A17BCC16-B749-45B3-B083-F94886FE6D8D}"/>
    <cellStyle name="Normal 5 6 3 4" xfId="3532" xr:uid="{9F782522-11EB-4BF6-8A82-621087B6C51A}"/>
    <cellStyle name="Normal 5 6 4" xfId="703" xr:uid="{00000000-0005-0000-0000-000070020000}"/>
    <cellStyle name="Normal 5 6 4 2" xfId="2522" xr:uid="{C13A9F9D-A83C-4DF6-B4A2-4C79F614A7E1}"/>
    <cellStyle name="Normal 5 6 4 2 2" xfId="4957" xr:uid="{2406A4A1-46F9-46AD-9F9D-814C968E5207}"/>
    <cellStyle name="Normal 5 6 4 3" xfId="3636" xr:uid="{8E402B69-147A-4ABD-8615-A47FADECC4E2}"/>
    <cellStyle name="Normal 5 6 5" xfId="1495" xr:uid="{73CD29BA-490F-4735-87FF-525905859A1F}"/>
    <cellStyle name="Normal 5 6 5 2" xfId="4087" xr:uid="{1405DA90-B4AC-4142-896E-DF0108C1DD4C}"/>
    <cellStyle name="Normal 5 6 6" xfId="3417" xr:uid="{D54B6000-D8C2-44D4-B809-E12FD608F047}"/>
    <cellStyle name="Normal 5 7" xfId="468" xr:uid="{00000000-0005-0000-0000-000071020000}"/>
    <cellStyle name="Normal 5 7 2" xfId="624" xr:uid="{00000000-0005-0000-0000-000072020000}"/>
    <cellStyle name="Normal 5 7 2 2" xfId="835" xr:uid="{00000000-0005-0000-0000-000073020000}"/>
    <cellStyle name="Normal 5 7 2 2 2" xfId="3767" xr:uid="{0572ADA6-8F3E-41D6-BC73-69D8D9C6D121}"/>
    <cellStyle name="Normal 5 7 2 3" xfId="3558" xr:uid="{47C5F13D-1F78-403B-AD53-8123CD336297}"/>
    <cellStyle name="Normal 5 7 3" xfId="729" xr:uid="{00000000-0005-0000-0000-000074020000}"/>
    <cellStyle name="Normal 5 7 3 2" xfId="3662" xr:uid="{96220A67-0E93-49CF-A507-333568380905}"/>
    <cellStyle name="Normal 5 7 4" xfId="1497" xr:uid="{5098B03F-6A2D-4EE0-BC68-F54757DCDED8}"/>
    <cellStyle name="Normal 5 7 5" xfId="3448" xr:uid="{63703A5A-37C6-4373-B80B-95C3F56C2548}"/>
    <cellStyle name="Normal 5 8" xfId="572" xr:uid="{00000000-0005-0000-0000-000075020000}"/>
    <cellStyle name="Normal 5 8 2" xfId="783" xr:uid="{00000000-0005-0000-0000-000076020000}"/>
    <cellStyle name="Normal 5 8 2 2" xfId="2812" xr:uid="{0EA57876-853F-401D-A5E4-70DD2F355931}"/>
    <cellStyle name="Normal 5 8 2 2 2" xfId="5247" xr:uid="{2935563B-5EEF-492C-99BC-96386E48A406}"/>
    <cellStyle name="Normal 5 8 2 3" xfId="1974" xr:uid="{6ACA11BA-0DC2-4D9C-9B56-0B67B589ABB9}"/>
    <cellStyle name="Normal 5 8 2 3 2" xfId="4491" xr:uid="{AAFA1C9E-33E4-40BA-BA2F-E43EFD736D58}"/>
    <cellStyle name="Normal 5 8 2 4" xfId="3715" xr:uid="{3A656338-1231-4804-930D-54F70255F310}"/>
    <cellStyle name="Normal 5 8 3" xfId="2524" xr:uid="{8039D7E4-68C7-44BD-91C6-B3D7DE62B34F}"/>
    <cellStyle name="Normal 5 8 3 2" xfId="4959" xr:uid="{BB52F716-909E-40B5-AB7E-81A3101C9CDD}"/>
    <cellStyle name="Normal 5 8 4" xfId="1498" xr:uid="{1EAC24C0-7E06-4761-8AE2-8DD9E0CE0352}"/>
    <cellStyle name="Normal 5 8 4 2" xfId="4089" xr:uid="{781B6DA0-43E2-4833-8C2C-4E189F45A360}"/>
    <cellStyle name="Normal 5 8 5" xfId="3506" xr:uid="{84C829F0-9868-4B9F-82CB-9CF5C5E9B047}"/>
    <cellStyle name="Normal 5 9" xfId="677" xr:uid="{00000000-0005-0000-0000-000077020000}"/>
    <cellStyle name="Normal 5 9 2" xfId="2642" xr:uid="{F19C7CE9-04FF-4870-B70E-4182BED088C8}"/>
    <cellStyle name="Normal 5 9 2 2" xfId="5077" xr:uid="{2029E742-E24C-46FB-B61E-6B2C53AF8EA5}"/>
    <cellStyle name="Normal 5 9 3" xfId="1804" xr:uid="{5BAF390E-0FFB-4949-ADE7-FBCEB345FC9A}"/>
    <cellStyle name="Normal 5 9 3 2" xfId="4321" xr:uid="{D8136910-C433-4376-A3A8-537BC10144E2}"/>
    <cellStyle name="Normal 5 9 4" xfId="3610" xr:uid="{0BCA892A-442C-4CE8-8473-9479AF5B32B7}"/>
    <cellStyle name="Normal 50" xfId="2193" xr:uid="{4F2DD672-E2AA-4E3A-9D96-86E6E3204156}"/>
    <cellStyle name="Normal 50 2" xfId="3004" xr:uid="{16883C40-8B7D-431A-9F26-A3FBBAC4C40D}"/>
    <cellStyle name="Normal 51" xfId="2187" xr:uid="{0FB9BCFD-4602-4039-AAD6-9A20E5B23E55}"/>
    <cellStyle name="Normal 51 2" xfId="2998" xr:uid="{BD42ACF9-FE2E-4ACC-8F56-00A6FD7B23C1}"/>
    <cellStyle name="Normal 52" xfId="2194" xr:uid="{38252F6D-87E9-47CA-B170-F4FEF42E54A4}"/>
    <cellStyle name="Normal 52 2" xfId="3005" xr:uid="{88180F90-5A28-4687-AD70-8355BF27108A}"/>
    <cellStyle name="Normal 53" xfId="2249" xr:uid="{2BE0F7EB-F0B1-4F53-AD12-7A542DDCF705}"/>
    <cellStyle name="Normal 53 2" xfId="3010" xr:uid="{8B2F7280-15CD-40D9-902D-1A6D7FCBA840}"/>
    <cellStyle name="Normal 54" xfId="2195" xr:uid="{64E29325-9C52-4BC7-83ED-383BD3B788FF}"/>
    <cellStyle name="Normal 54 2" xfId="3006" xr:uid="{0A207D0A-590B-4689-98CD-C31B3FDE2481}"/>
    <cellStyle name="Normal 55" xfId="2251" xr:uid="{DD30FE0E-1D1F-4582-B974-3D2B105ECDFF}"/>
    <cellStyle name="Normal 55 2" xfId="3011" xr:uid="{F872A964-A1B1-4FD5-A8C8-C67C6800E2DE}"/>
    <cellStyle name="Normal 56" xfId="2252" xr:uid="{5BA9D083-19E7-4641-A32A-355526DED581}"/>
    <cellStyle name="Normal 56 2" xfId="3012" xr:uid="{0C64C5EB-622B-45D4-8EA5-0193B8D6AD8F}"/>
    <cellStyle name="Normal 57" xfId="2222" xr:uid="{B5CDCA6B-FAE4-4374-942C-6954A53880E5}"/>
    <cellStyle name="Normal 57 2" xfId="3008" xr:uid="{4D308352-9880-4752-BA07-F21EB58DABAC}"/>
    <cellStyle name="Normal 58" xfId="2248" xr:uid="{B82D9C84-B67A-4737-B85A-595BB733E5E2}"/>
    <cellStyle name="Normal 58 2" xfId="3009" xr:uid="{D0E946F8-2417-498E-B4EB-8143EEC4D475}"/>
    <cellStyle name="Normal 59" xfId="2202" xr:uid="{D1DC36EA-B939-4BB2-B47D-73469B840DE9}"/>
    <cellStyle name="Normal 59 2" xfId="3007" xr:uid="{1CCE8361-45F5-4536-A774-1C37E9926548}"/>
    <cellStyle name="Normal 6" xfId="194" xr:uid="{00000000-0005-0000-0000-000078020000}"/>
    <cellStyle name="Normal 6 2" xfId="286" xr:uid="{00000000-0005-0000-0000-000079020000}"/>
    <cellStyle name="Normal 6 2 2" xfId="2204" xr:uid="{89F3B39F-2B73-44EB-938F-253A2DBA171D}"/>
    <cellStyle name="Normal 6 2 2 2" xfId="4694" xr:uid="{3E54271C-A7B4-422A-83EF-7E5C6C78C895}"/>
    <cellStyle name="Normal 6 3" xfId="2241" xr:uid="{92F6EC70-3EEE-4EB1-ACE9-ADBC7D9101FA}"/>
    <cellStyle name="Normal 6 4" xfId="2196" xr:uid="{DCA6CCCF-ECC6-4ECF-B906-FD8CABC3258B}"/>
    <cellStyle name="Normal 6 4 2" xfId="4687" xr:uid="{73D05088-4E50-43C2-8FC7-951854C2707B}"/>
    <cellStyle name="Normal 6 5" xfId="1499" xr:uid="{07EF34A9-14A9-473B-BB61-793E2ADF0E0B}"/>
    <cellStyle name="Normal 60" xfId="2253" xr:uid="{974A9DE9-5C67-46AA-9D96-70440993F364}"/>
    <cellStyle name="Normal 60 2" xfId="3013" xr:uid="{1E877462-A8BD-4866-BFD9-FA7B201E7160}"/>
    <cellStyle name="Normal 61" xfId="2258" xr:uid="{B5CB05CA-E5F6-4AB7-9619-2B8E410A7F78}"/>
    <cellStyle name="Normal 61 2" xfId="3018" xr:uid="{54CEB182-573E-472A-AC7D-D16190A631D6}"/>
    <cellStyle name="Normal 62" xfId="2256" xr:uid="{7525F1D8-C5A8-49DD-B62A-1033022F9291}"/>
    <cellStyle name="Normal 62 2" xfId="3016" xr:uid="{0EE95083-4A04-4979-BD89-FCA7E3B1040A}"/>
    <cellStyle name="Normal 63" xfId="2259" xr:uid="{1A3F92C2-1DEA-4507-9534-F29D66D62264}"/>
    <cellStyle name="Normal 63 2" xfId="3019" xr:uid="{AA2807D8-CBD7-4ED6-BB30-EA81D67B1BC1}"/>
    <cellStyle name="Normal 64" xfId="2255" xr:uid="{1633A203-7FA1-45F1-A03B-07BF86676F8A}"/>
    <cellStyle name="Normal 64 2" xfId="3015" xr:uid="{9C2A14DB-1559-4875-A7D8-CD75C5474A47}"/>
    <cellStyle name="Normal 65" xfId="2257" xr:uid="{D05FE19A-BDA4-40FA-AA6B-3D27F12F38F5}"/>
    <cellStyle name="Normal 65 2" xfId="3017" xr:uid="{16F79F4D-C435-46A4-8310-C708B3F4D429}"/>
    <cellStyle name="Normal 66" xfId="2260" xr:uid="{0E11A5B7-8A5A-4143-A697-147A64982391}"/>
    <cellStyle name="Normal 66 2" xfId="3020" xr:uid="{35D6B959-91F8-4F2E-BAC7-20325517E3BF}"/>
    <cellStyle name="Normal 67" xfId="2254" xr:uid="{06D28F35-81BA-476F-A760-B3EB2B5DEA2B}"/>
    <cellStyle name="Normal 67 2" xfId="3014" xr:uid="{1E780544-C144-4B3D-90BC-7049AA0D06D1}"/>
    <cellStyle name="Normal 68" xfId="2261" xr:uid="{0B139AA4-6A35-456E-B738-C99A91BB55E7}"/>
    <cellStyle name="Normal 68 2" xfId="3021" xr:uid="{C39F8648-8C63-4B12-B243-587284E48E7D}"/>
    <cellStyle name="Normal 69" xfId="2265" xr:uid="{94548A4C-B5C1-425D-AD33-F96F421F9ADC}"/>
    <cellStyle name="Normal 69 2" xfId="3025" xr:uid="{42765E69-73DD-4C86-8E82-A8A16FA66B2B}"/>
    <cellStyle name="Normal 7" xfId="193" xr:uid="{00000000-0005-0000-0000-00007A020000}"/>
    <cellStyle name="Normal 7 10" xfId="3372" xr:uid="{0088F05D-C384-4D31-98A4-DF1C35AD4775}"/>
    <cellStyle name="Normal 7 2" xfId="285" xr:uid="{00000000-0005-0000-0000-00007B020000}"/>
    <cellStyle name="Normal 7 2 10" xfId="1501" xr:uid="{3E22D180-AB06-417C-892A-A2A2B4E83A81}"/>
    <cellStyle name="Normal 7 2 10 2" xfId="4091" xr:uid="{C4F82569-2A38-4B65-BC78-7C0C2B9C89AA}"/>
    <cellStyle name="Normal 7 2 11" xfId="3386" xr:uid="{75A50536-488D-4AA9-9F2D-43AFA6B1BD85}"/>
    <cellStyle name="Normal 7 2 2" xfId="338" xr:uid="{00000000-0005-0000-0000-00007C020000}"/>
    <cellStyle name="Normal 7 2 2 2" xfId="410" xr:uid="{00000000-0005-0000-0000-00007D020000}"/>
    <cellStyle name="Normal 7 2 2 2 2" xfId="507" xr:uid="{00000000-0005-0000-0000-00007E020000}"/>
    <cellStyle name="Normal 7 2 2 2 2 2" xfId="663" xr:uid="{00000000-0005-0000-0000-00007F020000}"/>
    <cellStyle name="Normal 7 2 2 2 2 2 2" xfId="874" xr:uid="{00000000-0005-0000-0000-000080020000}"/>
    <cellStyle name="Normal 7 2 2 2 2 2 2 2" xfId="2918" xr:uid="{72DD0CC9-5FAC-4220-93C1-43EDABBB73E4}"/>
    <cellStyle name="Normal 7 2 2 2 2 2 2 2 2" xfId="5353" xr:uid="{1B6A31C4-7DD6-4104-955E-E6B7A7BDEBB5}"/>
    <cellStyle name="Normal 7 2 2 2 2 2 2 3" xfId="2080" xr:uid="{E1318643-47C0-4C88-9CB1-725229B4C11D}"/>
    <cellStyle name="Normal 7 2 2 2 2 2 2 3 2" xfId="4597" xr:uid="{C42C2ACA-E277-4A6F-8958-2CE22797002A}"/>
    <cellStyle name="Normal 7 2 2 2 2 2 2 4" xfId="3806" xr:uid="{90894113-7EC6-451E-9893-EF912DE15C05}"/>
    <cellStyle name="Normal 7 2 2 2 2 2 3" xfId="2530" xr:uid="{09B2417E-CC8A-4902-8C3F-10772BADE0F6}"/>
    <cellStyle name="Normal 7 2 2 2 2 2 3 2" xfId="4965" xr:uid="{53816C23-B8BB-46DA-8878-EFD6C9EFDF69}"/>
    <cellStyle name="Normal 7 2 2 2 2 2 4" xfId="1505" xr:uid="{31DD99B3-9FE1-46B3-B53D-0CB925F5297F}"/>
    <cellStyle name="Normal 7 2 2 2 2 2 4 2" xfId="4095" xr:uid="{FBF8712A-4EB6-4477-A675-0F6635BA2098}"/>
    <cellStyle name="Normal 7 2 2 2 2 2 5" xfId="3597" xr:uid="{FF828BD1-F117-4AFE-8FF4-6D311E643C84}"/>
    <cellStyle name="Normal 7 2 2 2 2 3" xfId="768" xr:uid="{00000000-0005-0000-0000-000081020000}"/>
    <cellStyle name="Normal 7 2 2 2 2 3 2" xfId="2748" xr:uid="{7AFB6E98-2504-4B19-BCC9-8217DD579D72}"/>
    <cellStyle name="Normal 7 2 2 2 2 3 2 2" xfId="5183" xr:uid="{56DD7224-F789-4F15-BF5E-8990B96B2DF3}"/>
    <cellStyle name="Normal 7 2 2 2 2 3 3" xfId="1910" xr:uid="{66327C3C-2E42-4121-A710-E397C9C550C0}"/>
    <cellStyle name="Normal 7 2 2 2 2 3 3 2" xfId="4427" xr:uid="{03D92820-F1B1-4852-A6D6-CEF5983E04DB}"/>
    <cellStyle name="Normal 7 2 2 2 2 3 4" xfId="3701" xr:uid="{9B57D3D2-954F-4FDB-8888-4FB8F819782A}"/>
    <cellStyle name="Normal 7 2 2 2 2 4" xfId="2529" xr:uid="{A4B12FEA-FFFE-42E1-931D-6510D30074D8}"/>
    <cellStyle name="Normal 7 2 2 2 2 4 2" xfId="4964" xr:uid="{4D585A6E-C0B0-4113-9911-83D84292C2B0}"/>
    <cellStyle name="Normal 7 2 2 2 2 5" xfId="1504" xr:uid="{49D71751-B5AA-4465-B3E9-9DB538809195}"/>
    <cellStyle name="Normal 7 2 2 2 2 5 2" xfId="4094" xr:uid="{2770918F-9A2B-456F-BCFF-AED7D66E46B5}"/>
    <cellStyle name="Normal 7 2 2 2 2 6" xfId="3487" xr:uid="{F9C7540C-2B95-4F74-883F-9661F68EC074}"/>
    <cellStyle name="Normal 7 2 2 2 3" xfId="611" xr:uid="{00000000-0005-0000-0000-000082020000}"/>
    <cellStyle name="Normal 7 2 2 2 3 2" xfId="822" xr:uid="{00000000-0005-0000-0000-000083020000}"/>
    <cellStyle name="Normal 7 2 2 2 3 2 2" xfId="2081" xr:uid="{FFD58D77-E44E-43FC-9D3B-7BCEDA22008D}"/>
    <cellStyle name="Normal 7 2 2 2 3 2 2 2" xfId="2919" xr:uid="{20A18B04-0071-4A2D-9471-D27F1E11D00E}"/>
    <cellStyle name="Normal 7 2 2 2 3 2 2 2 2" xfId="5354" xr:uid="{1077583B-B992-4A3F-AF2F-DA7DA730E2E5}"/>
    <cellStyle name="Normal 7 2 2 2 3 2 2 3" xfId="4598" xr:uid="{655C76C1-A50E-45BF-946C-00328BF41E90}"/>
    <cellStyle name="Normal 7 2 2 2 3 2 3" xfId="2532" xr:uid="{0112B907-AFDF-4CDE-A285-DF5857EA588B}"/>
    <cellStyle name="Normal 7 2 2 2 3 2 3 2" xfId="4967" xr:uid="{D67CA705-3C75-4AD8-8E5A-BF3BF4C11BD2}"/>
    <cellStyle name="Normal 7 2 2 2 3 2 4" xfId="1507" xr:uid="{BEA9D9C7-08D8-4160-8EA8-2DF9B7DEF552}"/>
    <cellStyle name="Normal 7 2 2 2 3 2 4 2" xfId="4097" xr:uid="{1AFA831C-C37A-4FFA-AA86-DDED9F178042}"/>
    <cellStyle name="Normal 7 2 2 2 3 2 5" xfId="3754" xr:uid="{9E424CE7-DE2D-4C46-9026-BE1194FFA002}"/>
    <cellStyle name="Normal 7 2 2 2 3 3" xfId="1911" xr:uid="{188CEB77-AEE9-4312-BC8C-AEACDDEEA738}"/>
    <cellStyle name="Normal 7 2 2 2 3 3 2" xfId="2749" xr:uid="{533540D2-8E0C-4281-A32F-3EECAFEC08DC}"/>
    <cellStyle name="Normal 7 2 2 2 3 3 2 2" xfId="5184" xr:uid="{421324CB-CF89-4388-AFD8-44A2522DC945}"/>
    <cellStyle name="Normal 7 2 2 2 3 3 3" xfId="4428" xr:uid="{08327272-129F-405B-9E0B-DFA2D90754F9}"/>
    <cellStyle name="Normal 7 2 2 2 3 4" xfId="2531" xr:uid="{C0355EF4-579C-4BB1-9DF6-EED1140B4323}"/>
    <cellStyle name="Normal 7 2 2 2 3 4 2" xfId="4966" xr:uid="{DDBE6074-FF39-4844-8398-847D5029BF6B}"/>
    <cellStyle name="Normal 7 2 2 2 3 5" xfId="1506" xr:uid="{4C7E692D-9197-4C02-A159-F945FB0100E0}"/>
    <cellStyle name="Normal 7 2 2 2 3 5 2" xfId="4096" xr:uid="{6B67DABF-BB2F-43B6-84E7-9F394CDE7C18}"/>
    <cellStyle name="Normal 7 2 2 2 3 6" xfId="3545" xr:uid="{F2FC11FE-2902-4935-AC6F-649C11C1433D}"/>
    <cellStyle name="Normal 7 2 2 2 4" xfId="716" xr:uid="{00000000-0005-0000-0000-000084020000}"/>
    <cellStyle name="Normal 7 2 2 2 4 2" xfId="2079" xr:uid="{2736967C-923E-4241-89BA-D27DB61D803E}"/>
    <cellStyle name="Normal 7 2 2 2 4 2 2" xfId="2917" xr:uid="{293AAD51-E6C8-4CE5-8F79-79C8555F157D}"/>
    <cellStyle name="Normal 7 2 2 2 4 2 2 2" xfId="5352" xr:uid="{E35F4678-415D-4C78-9BEC-A0E009FFCE71}"/>
    <cellStyle name="Normal 7 2 2 2 4 2 3" xfId="4596" xr:uid="{70C4AE27-1C40-4288-8E5A-7DC6B59C33A6}"/>
    <cellStyle name="Normal 7 2 2 2 4 3" xfId="2533" xr:uid="{4E0C7ADE-462D-489A-B0FB-F502190D906A}"/>
    <cellStyle name="Normal 7 2 2 2 4 3 2" xfId="4968" xr:uid="{BAA56ABA-28FA-4B19-9D3D-366669B47297}"/>
    <cellStyle name="Normal 7 2 2 2 4 4" xfId="1508" xr:uid="{CBFC41F6-3D98-4F56-87EA-58228CB31555}"/>
    <cellStyle name="Normal 7 2 2 2 4 4 2" xfId="4098" xr:uid="{9E6AB46E-B8D4-4900-83DA-576EE39245E8}"/>
    <cellStyle name="Normal 7 2 2 2 4 5" xfId="3649" xr:uid="{EDAADA6E-700C-4879-A48B-86FFF1ECF8FC}"/>
    <cellStyle name="Normal 7 2 2 2 5" xfId="1909" xr:uid="{F45D7E83-1C3C-4010-B698-2294F7412AF7}"/>
    <cellStyle name="Normal 7 2 2 2 5 2" xfId="2747" xr:uid="{6CD64317-4E46-4F03-80D3-2AC14B0F8DF1}"/>
    <cellStyle name="Normal 7 2 2 2 5 2 2" xfId="5182" xr:uid="{488ABA5A-35B5-422A-9D60-20F18657398D}"/>
    <cellStyle name="Normal 7 2 2 2 5 3" xfId="4426" xr:uid="{45A1CCED-861F-4D7B-8326-4E55D0A32776}"/>
    <cellStyle name="Normal 7 2 2 2 6" xfId="2528" xr:uid="{E4B09D5A-DD5F-4147-B159-093FA50905ED}"/>
    <cellStyle name="Normal 7 2 2 2 6 2" xfId="4963" xr:uid="{BA45E8B3-2829-40FF-BB73-C5A6EE7D101C}"/>
    <cellStyle name="Normal 7 2 2 2 7" xfId="1503" xr:uid="{8E340732-1F9A-4982-BC44-EBF853C09BCF}"/>
    <cellStyle name="Normal 7 2 2 2 7 2" xfId="4093" xr:uid="{133C26EB-4C20-4F92-B5A1-0D4F2623EB0A}"/>
    <cellStyle name="Normal 7 2 2 2 8" xfId="3430" xr:uid="{62A81902-DBDB-4241-A4ED-F4DA98CD2CFF}"/>
    <cellStyle name="Normal 7 2 2 3" xfId="481" xr:uid="{00000000-0005-0000-0000-000085020000}"/>
    <cellStyle name="Normal 7 2 2 3 2" xfId="637" xr:uid="{00000000-0005-0000-0000-000086020000}"/>
    <cellStyle name="Normal 7 2 2 3 2 2" xfId="848" xr:uid="{00000000-0005-0000-0000-000087020000}"/>
    <cellStyle name="Normal 7 2 2 3 2 2 2" xfId="2920" xr:uid="{D3E03C1C-FFC3-40BA-AFF7-1C4A34CF80AA}"/>
    <cellStyle name="Normal 7 2 2 3 2 2 2 2" xfId="5355" xr:uid="{1A708968-6BEF-4907-9AB7-68891269A783}"/>
    <cellStyle name="Normal 7 2 2 3 2 2 3" xfId="2082" xr:uid="{E7230597-33AF-4936-8279-8DCA226DD1D3}"/>
    <cellStyle name="Normal 7 2 2 3 2 2 3 2" xfId="4599" xr:uid="{6BB297D5-C965-4132-973B-591A9783282D}"/>
    <cellStyle name="Normal 7 2 2 3 2 2 4" xfId="3780" xr:uid="{61E2D7B2-B45E-4D8E-9670-DD0812C3B80A}"/>
    <cellStyle name="Normal 7 2 2 3 2 3" xfId="2535" xr:uid="{B791DECD-F77E-42B7-837E-2E130DDFFA51}"/>
    <cellStyle name="Normal 7 2 2 3 2 3 2" xfId="4970" xr:uid="{1FC4883D-094A-41F1-B5FA-A3237CD20CD0}"/>
    <cellStyle name="Normal 7 2 2 3 2 4" xfId="1510" xr:uid="{F26D6CDD-9921-411E-AE2B-FB7EAD58BBD6}"/>
    <cellStyle name="Normal 7 2 2 3 2 4 2" xfId="4100" xr:uid="{B474900C-C832-418C-88E2-97E3872A8898}"/>
    <cellStyle name="Normal 7 2 2 3 2 5" xfId="3571" xr:uid="{E1F570C7-4EAC-4250-99CC-3BA901828867}"/>
    <cellStyle name="Normal 7 2 2 3 3" xfId="742" xr:uid="{00000000-0005-0000-0000-000088020000}"/>
    <cellStyle name="Normal 7 2 2 3 3 2" xfId="2750" xr:uid="{7A3A6583-9421-4C5E-88A7-067FFE3BA592}"/>
    <cellStyle name="Normal 7 2 2 3 3 2 2" xfId="5185" xr:uid="{2D608E39-0995-4EB2-9087-6A8D513C1A5B}"/>
    <cellStyle name="Normal 7 2 2 3 3 3" xfId="1912" xr:uid="{CEE145F0-7983-43B5-8747-0FDF7E2F98A5}"/>
    <cellStyle name="Normal 7 2 2 3 3 3 2" xfId="4429" xr:uid="{90C8CA4C-A7D2-4007-98AA-4FB4BC0E3C85}"/>
    <cellStyle name="Normal 7 2 2 3 3 4" xfId="3675" xr:uid="{F6D9F8FD-B64E-4292-AE16-3BACEBB92270}"/>
    <cellStyle name="Normal 7 2 2 3 4" xfId="2534" xr:uid="{8F8A2865-E778-47FF-B844-4A552EF9043C}"/>
    <cellStyle name="Normal 7 2 2 3 4 2" xfId="4969" xr:uid="{071A36F5-147C-4084-B73B-854C79B6919F}"/>
    <cellStyle name="Normal 7 2 2 3 5" xfId="1509" xr:uid="{60CD7728-1148-4724-A65C-1CFAD97C991B}"/>
    <cellStyle name="Normal 7 2 2 3 5 2" xfId="4099" xr:uid="{B17529BA-F5A0-4FE8-8212-CC289C45747A}"/>
    <cellStyle name="Normal 7 2 2 3 6" xfId="3461" xr:uid="{7034C886-0955-4519-A8AD-B0A8B5DF3704}"/>
    <cellStyle name="Normal 7 2 2 4" xfId="585" xr:uid="{00000000-0005-0000-0000-000089020000}"/>
    <cellStyle name="Normal 7 2 2 4 2" xfId="796" xr:uid="{00000000-0005-0000-0000-00008A020000}"/>
    <cellStyle name="Normal 7 2 2 4 2 2" xfId="2083" xr:uid="{9434F960-79CB-485F-81F2-890BF79754DC}"/>
    <cellStyle name="Normal 7 2 2 4 2 2 2" xfId="2921" xr:uid="{6B314D81-AF47-4D22-BC86-95AD5E0AA3C8}"/>
    <cellStyle name="Normal 7 2 2 4 2 2 2 2" xfId="5356" xr:uid="{96073E0F-2502-40D3-93FC-EEBDF4CFCC95}"/>
    <cellStyle name="Normal 7 2 2 4 2 2 3" xfId="4600" xr:uid="{DD507AF4-3BFD-4483-BCCA-55AB31F81978}"/>
    <cellStyle name="Normal 7 2 2 4 2 3" xfId="2537" xr:uid="{FE6E0B36-BBC0-4119-AA19-6C404D5C92EB}"/>
    <cellStyle name="Normal 7 2 2 4 2 3 2" xfId="4972" xr:uid="{55C0432B-6744-4AF2-8A35-ED8BC7188041}"/>
    <cellStyle name="Normal 7 2 2 4 2 4" xfId="1512" xr:uid="{C179CFD3-D58C-4B81-A729-F7267B3277FB}"/>
    <cellStyle name="Normal 7 2 2 4 2 4 2" xfId="4102" xr:uid="{1A44D7C1-6634-4E30-ADB0-9CBB23D9616C}"/>
    <cellStyle name="Normal 7 2 2 4 2 5" xfId="3728" xr:uid="{2169F9C6-0C32-4F29-AE29-FCD49C184395}"/>
    <cellStyle name="Normal 7 2 2 4 3" xfId="1913" xr:uid="{FE8FF2B4-1A6B-4DB5-B870-D28DA542F121}"/>
    <cellStyle name="Normal 7 2 2 4 3 2" xfId="2751" xr:uid="{B5581DF4-127C-4782-AFB3-C7CA62B5034D}"/>
    <cellStyle name="Normal 7 2 2 4 3 2 2" xfId="5186" xr:uid="{8D7D038E-E644-4F79-9C9B-0EE340134A40}"/>
    <cellStyle name="Normal 7 2 2 4 3 3" xfId="4430" xr:uid="{E6B9BD92-9ADF-4CDD-ABE3-C6A4D9B40E14}"/>
    <cellStyle name="Normal 7 2 2 4 4" xfId="2536" xr:uid="{26B10B33-858E-43EB-A8FD-B81A3ADCD0FB}"/>
    <cellStyle name="Normal 7 2 2 4 4 2" xfId="4971" xr:uid="{22437904-F2E4-49B8-B979-BE4A3B60A416}"/>
    <cellStyle name="Normal 7 2 2 4 5" xfId="1511" xr:uid="{873B1081-45B7-471F-831A-67AFA1DEDC81}"/>
    <cellStyle name="Normal 7 2 2 4 5 2" xfId="4101" xr:uid="{F71579A0-CC0B-46B3-A7FD-675ABFEF7E58}"/>
    <cellStyle name="Normal 7 2 2 4 6" xfId="3519" xr:uid="{6E05703E-51BA-4728-85FA-B9BD0C5770AF}"/>
    <cellStyle name="Normal 7 2 2 5" xfId="690" xr:uid="{00000000-0005-0000-0000-00008B020000}"/>
    <cellStyle name="Normal 7 2 2 5 2" xfId="2078" xr:uid="{E9ABF06A-F496-425F-A131-A75277BC9895}"/>
    <cellStyle name="Normal 7 2 2 5 2 2" xfId="2916" xr:uid="{1D9DCEE4-801E-441A-A397-2D2482830C9F}"/>
    <cellStyle name="Normal 7 2 2 5 2 2 2" xfId="5351" xr:uid="{BCC749BA-7571-4A66-903F-282287378E41}"/>
    <cellStyle name="Normal 7 2 2 5 2 3" xfId="4595" xr:uid="{5F99F1DA-8B86-4DDD-AEB4-468DE9D2629F}"/>
    <cellStyle name="Normal 7 2 2 5 3" xfId="2538" xr:uid="{7E2EE2A6-D367-42D2-B1C7-DD08AE6732CC}"/>
    <cellStyle name="Normal 7 2 2 5 3 2" xfId="4973" xr:uid="{4E3625B1-A34C-450E-9685-667A50B939FE}"/>
    <cellStyle name="Normal 7 2 2 5 4" xfId="1513" xr:uid="{729ACD88-BB82-4332-897B-AD17C0FE3876}"/>
    <cellStyle name="Normal 7 2 2 5 4 2" xfId="4103" xr:uid="{9445889B-C7B7-4ACF-B878-A915C615B840}"/>
    <cellStyle name="Normal 7 2 2 5 5" xfId="3623" xr:uid="{84DC1333-3DBC-44F1-B8B4-01F4791BF02B}"/>
    <cellStyle name="Normal 7 2 2 6" xfId="1908" xr:uid="{92FCA010-431D-4F21-9490-F3A78C32733D}"/>
    <cellStyle name="Normal 7 2 2 6 2" xfId="2746" xr:uid="{A862FDCD-E311-4BD1-97CA-AF110E0DD198}"/>
    <cellStyle name="Normal 7 2 2 6 2 2" xfId="5181" xr:uid="{3FEE11AF-50B1-4404-9746-10E121CEAEBB}"/>
    <cellStyle name="Normal 7 2 2 6 3" xfId="4425" xr:uid="{0479110B-78FF-4A51-A470-DF9DB1BCBCF1}"/>
    <cellStyle name="Normal 7 2 2 7" xfId="2527" xr:uid="{C3724462-9953-47AB-9143-2210DB07C7EF}"/>
    <cellStyle name="Normal 7 2 2 7 2" xfId="4962" xr:uid="{6FD7432F-6AB9-4E19-8F28-0D733CA558A2}"/>
    <cellStyle name="Normal 7 2 2 8" xfId="1502" xr:uid="{C57153C2-4980-41FE-AB16-4AB389ACB17F}"/>
    <cellStyle name="Normal 7 2 2 8 2" xfId="4092" xr:uid="{F61BE46C-B827-426C-A830-22CF18DC5F12}"/>
    <cellStyle name="Normal 7 2 2 9" xfId="3399" xr:uid="{B511134D-1FC0-4DEF-82EB-CA132C50D681}"/>
    <cellStyle name="Normal 7 2 3" xfId="348" xr:uid="{00000000-0005-0000-0000-00008C020000}"/>
    <cellStyle name="Normal 7 2 3 2" xfId="420" xr:uid="{00000000-0005-0000-0000-00008D020000}"/>
    <cellStyle name="Normal 7 2 3 2 2" xfId="516" xr:uid="{00000000-0005-0000-0000-00008E020000}"/>
    <cellStyle name="Normal 7 2 3 2 2 2" xfId="672" xr:uid="{00000000-0005-0000-0000-00008F020000}"/>
    <cellStyle name="Normal 7 2 3 2 2 2 2" xfId="883" xr:uid="{00000000-0005-0000-0000-000090020000}"/>
    <cellStyle name="Normal 7 2 3 2 2 2 2 2" xfId="2923" xr:uid="{83A15F96-87E5-4084-812F-74D7F6CEB96F}"/>
    <cellStyle name="Normal 7 2 3 2 2 2 2 2 2" xfId="5358" xr:uid="{36DA06E9-5365-49C0-AC9F-A28C8D0A532E}"/>
    <cellStyle name="Normal 7 2 3 2 2 2 2 3" xfId="3815" xr:uid="{4F6E0990-78D6-48C8-9380-05B001189AD6}"/>
    <cellStyle name="Normal 7 2 3 2 2 2 3" xfId="2085" xr:uid="{31777AF6-547C-4E22-A7AB-E0CF28F8DFF4}"/>
    <cellStyle name="Normal 7 2 3 2 2 2 3 2" xfId="4602" xr:uid="{593142DB-3E1F-4622-B1C1-4C244AA14BA4}"/>
    <cellStyle name="Normal 7 2 3 2 2 2 4" xfId="3606" xr:uid="{CFD648D3-6243-4724-B95F-834F77C5DD99}"/>
    <cellStyle name="Normal 7 2 3 2 2 3" xfId="777" xr:uid="{00000000-0005-0000-0000-000091020000}"/>
    <cellStyle name="Normal 7 2 3 2 2 3 2" xfId="2541" xr:uid="{4913081D-7C1E-4062-84B5-469BF379D018}"/>
    <cellStyle name="Normal 7 2 3 2 2 3 2 2" xfId="4976" xr:uid="{F85255B0-B599-4A49-87A4-C0BE43ED20D6}"/>
    <cellStyle name="Normal 7 2 3 2 2 3 3" xfId="3710" xr:uid="{11554787-F372-4B09-BF4C-C129D4D45878}"/>
    <cellStyle name="Normal 7 2 3 2 2 4" xfId="1516" xr:uid="{FC54B5A1-D5F2-48FE-BDC6-64A339EA390B}"/>
    <cellStyle name="Normal 7 2 3 2 2 4 2" xfId="4106" xr:uid="{2C612BEA-96AD-4892-9A80-7FC41B8878DE}"/>
    <cellStyle name="Normal 7 2 3 2 2 5" xfId="3496" xr:uid="{7A517437-E2D2-4106-B2E2-B096E7A4B172}"/>
    <cellStyle name="Normal 7 2 3 2 3" xfId="620" xr:uid="{00000000-0005-0000-0000-000092020000}"/>
    <cellStyle name="Normal 7 2 3 2 3 2" xfId="831" xr:uid="{00000000-0005-0000-0000-000093020000}"/>
    <cellStyle name="Normal 7 2 3 2 3 2 2" xfId="2753" xr:uid="{448DE24B-D6BF-41E6-828A-EA4A2AD9600F}"/>
    <cellStyle name="Normal 7 2 3 2 3 2 2 2" xfId="5188" xr:uid="{71F64FF8-4AED-4E89-82B8-53A6C483C08F}"/>
    <cellStyle name="Normal 7 2 3 2 3 2 3" xfId="3763" xr:uid="{A030EEF8-936E-4811-9A3F-293559403439}"/>
    <cellStyle name="Normal 7 2 3 2 3 3" xfId="1915" xr:uid="{C24AB6A7-383C-456C-AC17-B2397BBE2A94}"/>
    <cellStyle name="Normal 7 2 3 2 3 3 2" xfId="4432" xr:uid="{D43D4258-1D8E-4A59-88CD-680FAA1EC3E3}"/>
    <cellStyle name="Normal 7 2 3 2 3 4" xfId="3554" xr:uid="{3078802E-A2DC-47F5-9558-40DAD24C819E}"/>
    <cellStyle name="Normal 7 2 3 2 4" xfId="725" xr:uid="{00000000-0005-0000-0000-000094020000}"/>
    <cellStyle name="Normal 7 2 3 2 4 2" xfId="2540" xr:uid="{D2A14B17-C7BD-4470-A8BA-96E86D15FB76}"/>
    <cellStyle name="Normal 7 2 3 2 4 2 2" xfId="4975" xr:uid="{43E48794-A4A2-4E91-A863-5EBE6844DF98}"/>
    <cellStyle name="Normal 7 2 3 2 4 3" xfId="3658" xr:uid="{6032EE3F-CB79-4938-B988-4CC826D38A15}"/>
    <cellStyle name="Normal 7 2 3 2 5" xfId="1515" xr:uid="{BF3F2EFF-149B-4035-894C-97AAABABCEE1}"/>
    <cellStyle name="Normal 7 2 3 2 5 2" xfId="4105" xr:uid="{351BF63B-F4B2-48AE-AC53-E9D1CFC8A4B7}"/>
    <cellStyle name="Normal 7 2 3 2 6" xfId="3439" xr:uid="{8C058CBA-2A98-4F3E-93C5-37D8C569746E}"/>
    <cellStyle name="Normal 7 2 3 3" xfId="490" xr:uid="{00000000-0005-0000-0000-000095020000}"/>
    <cellStyle name="Normal 7 2 3 3 2" xfId="646" xr:uid="{00000000-0005-0000-0000-000096020000}"/>
    <cellStyle name="Normal 7 2 3 3 2 2" xfId="857" xr:uid="{00000000-0005-0000-0000-000097020000}"/>
    <cellStyle name="Normal 7 2 3 3 2 2 2" xfId="2924" xr:uid="{8669CACD-97C0-4F2C-A5DF-37B5E1DFD095}"/>
    <cellStyle name="Normal 7 2 3 3 2 2 2 2" xfId="5359" xr:uid="{3B09C7C5-2792-4785-B176-2E3C7922A402}"/>
    <cellStyle name="Normal 7 2 3 3 2 2 3" xfId="2086" xr:uid="{01BEA39F-33A0-4240-942F-C8B6EB5ED2C8}"/>
    <cellStyle name="Normal 7 2 3 3 2 2 3 2" xfId="4603" xr:uid="{CC24EEE0-C29D-4C2F-9BFA-A9ED33937714}"/>
    <cellStyle name="Normal 7 2 3 3 2 2 4" xfId="3789" xr:uid="{7325CB9D-9315-457E-99C2-26148F5D3C01}"/>
    <cellStyle name="Normal 7 2 3 3 2 3" xfId="2543" xr:uid="{C2B9D790-1BA6-4EED-A76D-CE714BBAB8D1}"/>
    <cellStyle name="Normal 7 2 3 3 2 3 2" xfId="4978" xr:uid="{B323DB63-6793-46E9-96BD-92FBC6086627}"/>
    <cellStyle name="Normal 7 2 3 3 2 4" xfId="1518" xr:uid="{D4EC1113-F2AE-4915-83B7-548E98C0A128}"/>
    <cellStyle name="Normal 7 2 3 3 2 4 2" xfId="4108" xr:uid="{0CAE9F22-A904-4054-A80F-3E2444E27147}"/>
    <cellStyle name="Normal 7 2 3 3 2 5" xfId="3580" xr:uid="{6D4AA02A-4746-4475-815D-0B2F810C3FBB}"/>
    <cellStyle name="Normal 7 2 3 3 3" xfId="751" xr:uid="{00000000-0005-0000-0000-000098020000}"/>
    <cellStyle name="Normal 7 2 3 3 3 2" xfId="2754" xr:uid="{7E627745-8D0E-43B4-BAB6-B73C69804B21}"/>
    <cellStyle name="Normal 7 2 3 3 3 2 2" xfId="5189" xr:uid="{222EDB7B-96FB-460D-9A71-680685CABC44}"/>
    <cellStyle name="Normal 7 2 3 3 3 3" xfId="1916" xr:uid="{70DA1A41-615A-47BB-A4C4-B1C7A5ADCB0D}"/>
    <cellStyle name="Normal 7 2 3 3 3 3 2" xfId="4433" xr:uid="{16E84F08-04FD-4990-B64A-106046985FE4}"/>
    <cellStyle name="Normal 7 2 3 3 3 4" xfId="3684" xr:uid="{DCE6D7B7-EA44-4F8B-B169-988E0086427E}"/>
    <cellStyle name="Normal 7 2 3 3 4" xfId="2542" xr:uid="{6AC7B227-3D74-4D73-B03C-35639078200A}"/>
    <cellStyle name="Normal 7 2 3 3 4 2" xfId="4977" xr:uid="{EB933BF2-587F-4430-BEF2-59AEE6AF24F6}"/>
    <cellStyle name="Normal 7 2 3 3 5" xfId="1517" xr:uid="{4C3E6189-057F-4087-8641-3FA2AC0D4CE0}"/>
    <cellStyle name="Normal 7 2 3 3 5 2" xfId="4107" xr:uid="{C9287C94-4B99-4FDA-9735-C7DEA66A37D9}"/>
    <cellStyle name="Normal 7 2 3 3 6" xfId="3470" xr:uid="{D752DC88-A60F-442C-9B07-2E732DA1981A}"/>
    <cellStyle name="Normal 7 2 3 4" xfId="594" xr:uid="{00000000-0005-0000-0000-000099020000}"/>
    <cellStyle name="Normal 7 2 3 4 2" xfId="805" xr:uid="{00000000-0005-0000-0000-00009A020000}"/>
    <cellStyle name="Normal 7 2 3 4 2 2" xfId="2922" xr:uid="{375E5929-7F82-4610-AB35-15D4C1C54328}"/>
    <cellStyle name="Normal 7 2 3 4 2 2 2" xfId="5357" xr:uid="{A4A06E76-CB5C-422A-8743-D1BEA7C67C49}"/>
    <cellStyle name="Normal 7 2 3 4 2 3" xfId="2084" xr:uid="{18E20465-4FAB-415D-845E-EDAAC833DC99}"/>
    <cellStyle name="Normal 7 2 3 4 2 3 2" xfId="4601" xr:uid="{2A38362F-CECF-4730-8A25-1DAF8B0CA0E9}"/>
    <cellStyle name="Normal 7 2 3 4 2 4" xfId="3737" xr:uid="{6EAA6142-6111-471E-AE29-E29FE13AFE18}"/>
    <cellStyle name="Normal 7 2 3 4 3" xfId="2544" xr:uid="{70A44431-884A-4020-8493-ADEFF3C16599}"/>
    <cellStyle name="Normal 7 2 3 4 3 2" xfId="4979" xr:uid="{5B18BF04-189B-4718-9CFF-E17FA1AD9CA3}"/>
    <cellStyle name="Normal 7 2 3 4 4" xfId="1519" xr:uid="{FDCABD45-3ECA-4A08-ADB2-912F15EF9D17}"/>
    <cellStyle name="Normal 7 2 3 4 4 2" xfId="4109" xr:uid="{D7E218B2-1146-4CAA-9377-4A2D09F8C34D}"/>
    <cellStyle name="Normal 7 2 3 4 5" xfId="3528" xr:uid="{FCB88532-9828-4F57-9BEC-A05532F66A31}"/>
    <cellStyle name="Normal 7 2 3 5" xfId="699" xr:uid="{00000000-0005-0000-0000-00009B020000}"/>
    <cellStyle name="Normal 7 2 3 5 2" xfId="2752" xr:uid="{06637E35-D224-4235-94CE-EE72570AE2CE}"/>
    <cellStyle name="Normal 7 2 3 5 2 2" xfId="5187" xr:uid="{40041532-C4E1-4D4E-97A2-CFFB824503B6}"/>
    <cellStyle name="Normal 7 2 3 5 3" xfId="1914" xr:uid="{AFE5FEAF-1A76-463F-B8BD-A09F39426D5C}"/>
    <cellStyle name="Normal 7 2 3 5 3 2" xfId="4431" xr:uid="{352CD10D-B51C-407C-A1DE-8B6D0861D88D}"/>
    <cellStyle name="Normal 7 2 3 5 4" xfId="3632" xr:uid="{A3D94A90-1882-4647-80A3-4F3ABB866DAC}"/>
    <cellStyle name="Normal 7 2 3 6" xfId="2539" xr:uid="{78AEEC5C-DC44-46F7-90B8-A65071BD1F4B}"/>
    <cellStyle name="Normal 7 2 3 6 2" xfId="4974" xr:uid="{F27B9826-9C13-4699-BD23-7A64DD25AD5B}"/>
    <cellStyle name="Normal 7 2 3 7" xfId="1514" xr:uid="{E544DC39-34B1-48A8-9393-912C107EC011}"/>
    <cellStyle name="Normal 7 2 3 7 2" xfId="4104" xr:uid="{08681E4F-BC4B-4DB9-8B1A-29592D7283E4}"/>
    <cellStyle name="Normal 7 2 3 8" xfId="3408" xr:uid="{5A1A077B-761C-489F-8915-9850F4E151F1}"/>
    <cellStyle name="Normal 7 2 4" xfId="402" xr:uid="{00000000-0005-0000-0000-00009C020000}"/>
    <cellStyle name="Normal 7 2 4 2" xfId="499" xr:uid="{00000000-0005-0000-0000-00009D020000}"/>
    <cellStyle name="Normal 7 2 4 2 2" xfId="655" xr:uid="{00000000-0005-0000-0000-00009E020000}"/>
    <cellStyle name="Normal 7 2 4 2 2 2" xfId="866" xr:uid="{00000000-0005-0000-0000-00009F020000}"/>
    <cellStyle name="Normal 7 2 4 2 2 2 2" xfId="2925" xr:uid="{9B57D398-C0D3-449B-B563-2F97DB90934B}"/>
    <cellStyle name="Normal 7 2 4 2 2 2 2 2" xfId="5360" xr:uid="{CFFD207F-45BB-4F5F-97FF-EFBF4551605D}"/>
    <cellStyle name="Normal 7 2 4 2 2 2 3" xfId="3798" xr:uid="{F5FBDDC4-9DE6-4FC1-9333-41224870E65D}"/>
    <cellStyle name="Normal 7 2 4 2 2 3" xfId="2087" xr:uid="{3A428BD1-ED3A-4B71-9EC1-206B9053BA68}"/>
    <cellStyle name="Normal 7 2 4 2 2 3 2" xfId="4604" xr:uid="{8CD29A17-1B84-46AC-87B8-BAB78B72AF45}"/>
    <cellStyle name="Normal 7 2 4 2 2 4" xfId="3589" xr:uid="{73C6312E-2305-4C65-B642-FF4B3335303C}"/>
    <cellStyle name="Normal 7 2 4 2 3" xfId="760" xr:uid="{00000000-0005-0000-0000-0000A0020000}"/>
    <cellStyle name="Normal 7 2 4 2 3 2" xfId="2546" xr:uid="{F4F4B31F-69E9-4405-8C10-D3E35C192C04}"/>
    <cellStyle name="Normal 7 2 4 2 3 2 2" xfId="4981" xr:uid="{41E1CB45-E4B6-4958-A261-4C2871E9EB72}"/>
    <cellStyle name="Normal 7 2 4 2 3 3" xfId="3693" xr:uid="{CD513717-3661-4A96-A66D-2BEEC7DD32CE}"/>
    <cellStyle name="Normal 7 2 4 2 4" xfId="1521" xr:uid="{BF969319-36B5-4D1C-98FD-8A37E544124F}"/>
    <cellStyle name="Normal 7 2 4 2 4 2" xfId="4111" xr:uid="{2215314C-1301-46B0-A816-341FAF0A080C}"/>
    <cellStyle name="Normal 7 2 4 2 5" xfId="3479" xr:uid="{1942E8E9-16B3-4DC6-9F91-53DC537EE114}"/>
    <cellStyle name="Normal 7 2 4 3" xfId="603" xr:uid="{00000000-0005-0000-0000-0000A1020000}"/>
    <cellStyle name="Normal 7 2 4 3 2" xfId="814" xr:uid="{00000000-0005-0000-0000-0000A2020000}"/>
    <cellStyle name="Normal 7 2 4 3 2 2" xfId="2755" xr:uid="{DF685F57-1B51-4AFD-A10B-518C9CDEB3F3}"/>
    <cellStyle name="Normal 7 2 4 3 2 2 2" xfId="5190" xr:uid="{BBF40B6D-B1AA-402D-A483-D277831F5274}"/>
    <cellStyle name="Normal 7 2 4 3 2 3" xfId="3746" xr:uid="{10661BC6-1290-4B8F-A9C6-6C0C2C9A03B9}"/>
    <cellStyle name="Normal 7 2 4 3 3" xfId="1917" xr:uid="{3ED883D4-9624-4A96-A079-C5C2539B9E09}"/>
    <cellStyle name="Normal 7 2 4 3 3 2" xfId="4434" xr:uid="{3DF3E32B-1212-45F5-B088-7158A397F1BB}"/>
    <cellStyle name="Normal 7 2 4 3 4" xfId="3537" xr:uid="{6728B0BD-8EEF-47BB-AEA6-F679448F6DCE}"/>
    <cellStyle name="Normal 7 2 4 4" xfId="708" xr:uid="{00000000-0005-0000-0000-0000A3020000}"/>
    <cellStyle name="Normal 7 2 4 4 2" xfId="2545" xr:uid="{3ECB07E1-9B22-4756-ABF6-0E9AD6661976}"/>
    <cellStyle name="Normal 7 2 4 4 2 2" xfId="4980" xr:uid="{AF5CE6FA-BCEA-4C3B-B022-B7799DBB4039}"/>
    <cellStyle name="Normal 7 2 4 4 3" xfId="3641" xr:uid="{DC030146-10D9-4140-B9FE-FB3125A80662}"/>
    <cellStyle name="Normal 7 2 4 5" xfId="1520" xr:uid="{CED3EA18-9883-4629-AFAA-784449E07978}"/>
    <cellStyle name="Normal 7 2 4 5 2" xfId="4110" xr:uid="{0E015F02-32C5-418F-9595-DBDA5819CEE4}"/>
    <cellStyle name="Normal 7 2 4 6" xfId="3422" xr:uid="{551E63A3-C401-4123-A370-60868EC7DF59}"/>
    <cellStyle name="Normal 7 2 5" xfId="473" xr:uid="{00000000-0005-0000-0000-0000A4020000}"/>
    <cellStyle name="Normal 7 2 5 2" xfId="629" xr:uid="{00000000-0005-0000-0000-0000A5020000}"/>
    <cellStyle name="Normal 7 2 5 2 2" xfId="840" xr:uid="{00000000-0005-0000-0000-0000A6020000}"/>
    <cellStyle name="Normal 7 2 5 2 2 2" xfId="2926" xr:uid="{3A3A3C87-EFF6-4DC2-A262-08432FEA9D72}"/>
    <cellStyle name="Normal 7 2 5 2 2 2 2" xfId="5361" xr:uid="{50BAAF7B-3F72-45CB-BDF2-99A85E8BAF32}"/>
    <cellStyle name="Normal 7 2 5 2 2 3" xfId="2088" xr:uid="{B4C340F0-A9AC-4696-BB3F-6562B98633EB}"/>
    <cellStyle name="Normal 7 2 5 2 2 3 2" xfId="4605" xr:uid="{0BCA99DF-EBB4-47D3-A73D-1F2B424B22ED}"/>
    <cellStyle name="Normal 7 2 5 2 2 4" xfId="3772" xr:uid="{1C5CBEB3-162A-4A95-94AD-5503F0E7FC19}"/>
    <cellStyle name="Normal 7 2 5 2 3" xfId="2548" xr:uid="{0D9B9E60-AE1B-4915-9217-F64E6516FD6A}"/>
    <cellStyle name="Normal 7 2 5 2 3 2" xfId="4983" xr:uid="{18EBB1C6-D4BE-4445-9948-7422D50E73C4}"/>
    <cellStyle name="Normal 7 2 5 2 4" xfId="1523" xr:uid="{9FBE66B9-775C-4206-BF40-B9B56FA73D9C}"/>
    <cellStyle name="Normal 7 2 5 2 4 2" xfId="4113" xr:uid="{DA626F47-E734-4EA5-BAA1-955D47B6DB9E}"/>
    <cellStyle name="Normal 7 2 5 2 5" xfId="3563" xr:uid="{BD9D7CF6-AA9D-440B-A867-06FF9F650F21}"/>
    <cellStyle name="Normal 7 2 5 3" xfId="734" xr:uid="{00000000-0005-0000-0000-0000A7020000}"/>
    <cellStyle name="Normal 7 2 5 3 2" xfId="2756" xr:uid="{7F6D365B-4583-425B-BB28-313855D313C6}"/>
    <cellStyle name="Normal 7 2 5 3 2 2" xfId="5191" xr:uid="{9E1A89DE-37B4-4232-B4AD-6A05FC95A243}"/>
    <cellStyle name="Normal 7 2 5 3 3" xfId="1918" xr:uid="{8B64D760-0759-4739-9FA7-8061387C23A2}"/>
    <cellStyle name="Normal 7 2 5 3 3 2" xfId="4435" xr:uid="{2B32E873-5A48-4E79-AB86-E914C7291705}"/>
    <cellStyle name="Normal 7 2 5 3 4" xfId="3667" xr:uid="{6FCE58C4-49DD-4530-B712-9B54CE3BF347}"/>
    <cellStyle name="Normal 7 2 5 4" xfId="2547" xr:uid="{F1FB447C-5FB7-45BC-874E-D03AE9B87426}"/>
    <cellStyle name="Normal 7 2 5 4 2" xfId="4982" xr:uid="{965E3DD6-1BFF-4902-8115-7095E3AA1D1D}"/>
    <cellStyle name="Normal 7 2 5 5" xfId="1522" xr:uid="{C3483F77-242A-4B7E-AFCB-E80C9D7466C0}"/>
    <cellStyle name="Normal 7 2 5 5 2" xfId="4112" xr:uid="{8D06AAE5-6FF7-4BE7-8C8C-B289B57EC983}"/>
    <cellStyle name="Normal 7 2 5 6" xfId="3453" xr:uid="{46620A1F-8DB6-4F65-9B12-007362AB12FC}"/>
    <cellStyle name="Normal 7 2 6" xfId="577" xr:uid="{00000000-0005-0000-0000-0000A8020000}"/>
    <cellStyle name="Normal 7 2 6 2" xfId="788" xr:uid="{00000000-0005-0000-0000-0000A9020000}"/>
    <cellStyle name="Normal 7 2 6 2 2" xfId="2915" xr:uid="{13B0B70D-88B4-4E92-8EA3-C5A2A5A201E9}"/>
    <cellStyle name="Normal 7 2 6 2 2 2" xfId="5350" xr:uid="{B64BA4AB-E6C0-470C-9E6B-37FC996A141C}"/>
    <cellStyle name="Normal 7 2 6 2 3" xfId="2077" xr:uid="{7C70CBA0-CC29-45BA-88E2-8B4CE3E566EE}"/>
    <cellStyle name="Normal 7 2 6 2 3 2" xfId="4594" xr:uid="{F9AB2204-E4A1-4900-B1E3-8577A7804F98}"/>
    <cellStyle name="Normal 7 2 6 2 4" xfId="3720" xr:uid="{7DDD3A65-B1BC-45A7-A0AC-FACF0D00DBC9}"/>
    <cellStyle name="Normal 7 2 6 3" xfId="2549" xr:uid="{3336F64D-C370-457F-B436-CD6AACE2B16D}"/>
    <cellStyle name="Normal 7 2 6 3 2" xfId="4984" xr:uid="{10C43159-6296-4F32-81E6-23EE0F2893EC}"/>
    <cellStyle name="Normal 7 2 6 4" xfId="1524" xr:uid="{9E70955A-CC7A-4CBC-A328-998D8D32C397}"/>
    <cellStyle name="Normal 7 2 6 4 2" xfId="4114" xr:uid="{8000E96B-4E83-4443-AF4A-D5CAAA230A76}"/>
    <cellStyle name="Normal 7 2 6 5" xfId="3511" xr:uid="{9FC7C760-65A1-4471-8663-25C5B445F4CE}"/>
    <cellStyle name="Normal 7 2 7" xfId="682" xr:uid="{00000000-0005-0000-0000-0000AA020000}"/>
    <cellStyle name="Normal 7 2 7 2" xfId="2745" xr:uid="{1429E987-9F9C-49B0-BE0C-66A6110FDBC4}"/>
    <cellStyle name="Normal 7 2 7 2 2" xfId="5180" xr:uid="{F6B81F8B-386E-4104-8DB6-D9A1887ADE0E}"/>
    <cellStyle name="Normal 7 2 7 3" xfId="1907" xr:uid="{DF6487A3-B16C-4763-B277-E14AA969AC6F}"/>
    <cellStyle name="Normal 7 2 7 3 2" xfId="4424" xr:uid="{49E191F3-07A5-46DE-8CAD-E9A7952B1576}"/>
    <cellStyle name="Normal 7 2 7 4" xfId="3615" xr:uid="{BEF5DBAE-5F88-4A69-9A04-908114D96780}"/>
    <cellStyle name="Normal 7 2 8" xfId="2243" xr:uid="{893C0F17-42D6-42EB-A481-B44527DFEA5D}"/>
    <cellStyle name="Normal 7 2 8 2" xfId="4711" xr:uid="{10B67621-591C-48B3-A26F-7C35E9FBC303}"/>
    <cellStyle name="Normal 7 2 9" xfId="2526" xr:uid="{9388EAAC-FA57-49AC-B418-3E70B450DF63}"/>
    <cellStyle name="Normal 7 2 9 2" xfId="4961" xr:uid="{4D912E7B-EE2C-4526-AD80-0CD03D3F37D0}"/>
    <cellStyle name="Normal 7 3" xfId="334" xr:uid="{00000000-0005-0000-0000-0000AB020000}"/>
    <cellStyle name="Normal 7 3 2" xfId="406" xr:uid="{00000000-0005-0000-0000-0000AC020000}"/>
    <cellStyle name="Normal 7 3 2 2" xfId="503" xr:uid="{00000000-0005-0000-0000-0000AD020000}"/>
    <cellStyle name="Normal 7 3 2 2 2" xfId="659" xr:uid="{00000000-0005-0000-0000-0000AE020000}"/>
    <cellStyle name="Normal 7 3 2 2 2 2" xfId="870" xr:uid="{00000000-0005-0000-0000-0000AF020000}"/>
    <cellStyle name="Normal 7 3 2 2 2 2 2" xfId="3802" xr:uid="{2819A437-1C4F-4A12-AA0E-3217401B34AB}"/>
    <cellStyle name="Normal 7 3 2 2 2 3" xfId="3593" xr:uid="{A1DEF198-B119-4387-9590-B7127AD32D01}"/>
    <cellStyle name="Normal 7 3 2 2 3" xfId="764" xr:uid="{00000000-0005-0000-0000-0000B0020000}"/>
    <cellStyle name="Normal 7 3 2 2 3 2" xfId="3697" xr:uid="{9193ED8A-FB01-45E9-892F-BC540CF0889C}"/>
    <cellStyle name="Normal 7 3 2 2 4" xfId="3483" xr:uid="{C2B352D2-980C-4F10-BFE2-22528CE76179}"/>
    <cellStyle name="Normal 7 3 2 3" xfId="607" xr:uid="{00000000-0005-0000-0000-0000B1020000}"/>
    <cellStyle name="Normal 7 3 2 3 2" xfId="818" xr:uid="{00000000-0005-0000-0000-0000B2020000}"/>
    <cellStyle name="Normal 7 3 2 3 2 2" xfId="3750" xr:uid="{28B5999F-2B54-4A54-8866-6D15BD4AE79D}"/>
    <cellStyle name="Normal 7 3 2 3 3" xfId="3541" xr:uid="{50A882EF-9EB7-4732-A3C3-488C4362458A}"/>
    <cellStyle name="Normal 7 3 2 4" xfId="712" xr:uid="{00000000-0005-0000-0000-0000B3020000}"/>
    <cellStyle name="Normal 7 3 2 4 2" xfId="3645" xr:uid="{B86786E1-24E9-4B55-A9F5-4C3AF5BF2330}"/>
    <cellStyle name="Normal 7 3 2 5" xfId="3426" xr:uid="{14B4ACD1-EC4C-48C4-BA71-92CB5AD226D6}"/>
    <cellStyle name="Normal 7 3 3" xfId="477" xr:uid="{00000000-0005-0000-0000-0000B4020000}"/>
    <cellStyle name="Normal 7 3 3 2" xfId="633" xr:uid="{00000000-0005-0000-0000-0000B5020000}"/>
    <cellStyle name="Normal 7 3 3 2 2" xfId="844" xr:uid="{00000000-0005-0000-0000-0000B6020000}"/>
    <cellStyle name="Normal 7 3 3 2 2 2" xfId="3776" xr:uid="{F782EDA4-C040-444E-91F0-EE31D31E5CE2}"/>
    <cellStyle name="Normal 7 3 3 2 3" xfId="3567" xr:uid="{A7B48E1B-AF25-425D-87E1-7A1B15C2D546}"/>
    <cellStyle name="Normal 7 3 3 3" xfId="738" xr:uid="{00000000-0005-0000-0000-0000B7020000}"/>
    <cellStyle name="Normal 7 3 3 3 2" xfId="3671" xr:uid="{74A044C8-51C8-451F-A0E8-3A3FBDE4B12C}"/>
    <cellStyle name="Normal 7 3 3 4" xfId="3457" xr:uid="{E9384372-CF23-46C2-8BA6-C60B01475893}"/>
    <cellStyle name="Normal 7 3 4" xfId="581" xr:uid="{00000000-0005-0000-0000-0000B8020000}"/>
    <cellStyle name="Normal 7 3 4 2" xfId="792" xr:uid="{00000000-0005-0000-0000-0000B9020000}"/>
    <cellStyle name="Normal 7 3 4 2 2" xfId="3724" xr:uid="{797BCF25-5FB5-4FE7-8A94-BAA924AC499C}"/>
    <cellStyle name="Normal 7 3 4 3" xfId="3515" xr:uid="{3D145D96-71F8-44F2-A43C-901834ED1F08}"/>
    <cellStyle name="Normal 7 3 5" xfId="686" xr:uid="{00000000-0005-0000-0000-0000BA020000}"/>
    <cellStyle name="Normal 7 3 5 2" xfId="3619" xr:uid="{60C27510-20DE-4713-9F57-16251EB9347F}"/>
    <cellStyle name="Normal 7 3 6" xfId="1525" xr:uid="{89C30F3D-5D83-4DC4-8B7A-1397405C42FE}"/>
    <cellStyle name="Normal 7 3 7" xfId="3395" xr:uid="{9CD7D53B-EE82-4A11-B9B0-482667AAEF67}"/>
    <cellStyle name="Normal 7 4" xfId="344" xr:uid="{00000000-0005-0000-0000-0000BB020000}"/>
    <cellStyle name="Normal 7 4 2" xfId="416" xr:uid="{00000000-0005-0000-0000-0000BC020000}"/>
    <cellStyle name="Normal 7 4 2 2" xfId="512" xr:uid="{00000000-0005-0000-0000-0000BD020000}"/>
    <cellStyle name="Normal 7 4 2 2 2" xfId="668" xr:uid="{00000000-0005-0000-0000-0000BE020000}"/>
    <cellStyle name="Normal 7 4 2 2 2 2" xfId="879" xr:uid="{00000000-0005-0000-0000-0000BF020000}"/>
    <cellStyle name="Normal 7 4 2 2 2 2 2" xfId="3811" xr:uid="{597E7413-CBE6-431E-84CE-6DDDBE64FA01}"/>
    <cellStyle name="Normal 7 4 2 2 2 3" xfId="3602" xr:uid="{CD8E2BE4-58EE-4DAF-818A-7DA8BC121616}"/>
    <cellStyle name="Normal 7 4 2 2 3" xfId="773" xr:uid="{00000000-0005-0000-0000-0000C0020000}"/>
    <cellStyle name="Normal 7 4 2 2 3 2" xfId="3706" xr:uid="{19D93A45-148D-49A9-9D3D-23278F6FD346}"/>
    <cellStyle name="Normal 7 4 2 2 4" xfId="3492" xr:uid="{752FE8A3-CA24-4979-BC5B-6F2E6C2FE274}"/>
    <cellStyle name="Normal 7 4 2 3" xfId="616" xr:uid="{00000000-0005-0000-0000-0000C1020000}"/>
    <cellStyle name="Normal 7 4 2 3 2" xfId="827" xr:uid="{00000000-0005-0000-0000-0000C2020000}"/>
    <cellStyle name="Normal 7 4 2 3 2 2" xfId="3759" xr:uid="{708E816A-D164-4CEC-8D48-3A66EB627F72}"/>
    <cellStyle name="Normal 7 4 2 3 3" xfId="3550" xr:uid="{9B487D8A-7367-4212-BCFC-7B7439EB9361}"/>
    <cellStyle name="Normal 7 4 2 4" xfId="721" xr:uid="{00000000-0005-0000-0000-0000C3020000}"/>
    <cellStyle name="Normal 7 4 2 4 2" xfId="3654" xr:uid="{B985090B-15F7-4BB3-A942-B8CB208D9B49}"/>
    <cellStyle name="Normal 7 4 2 5" xfId="3435" xr:uid="{75661E8E-E85A-413A-870C-336787BC185E}"/>
    <cellStyle name="Normal 7 4 3" xfId="486" xr:uid="{00000000-0005-0000-0000-0000C4020000}"/>
    <cellStyle name="Normal 7 4 3 2" xfId="642" xr:uid="{00000000-0005-0000-0000-0000C5020000}"/>
    <cellStyle name="Normal 7 4 3 2 2" xfId="853" xr:uid="{00000000-0005-0000-0000-0000C6020000}"/>
    <cellStyle name="Normal 7 4 3 2 2 2" xfId="3785" xr:uid="{5A39BE03-CA51-4021-BB0A-237DE855272E}"/>
    <cellStyle name="Normal 7 4 3 2 3" xfId="3576" xr:uid="{FD74064B-1DBD-4256-AF86-36831DD6801F}"/>
    <cellStyle name="Normal 7 4 3 3" xfId="747" xr:uid="{00000000-0005-0000-0000-0000C7020000}"/>
    <cellStyle name="Normal 7 4 3 3 2" xfId="3680" xr:uid="{6DB5FD83-2A59-4284-B13A-C66FE42E2418}"/>
    <cellStyle name="Normal 7 4 3 4" xfId="3466" xr:uid="{0D694AB8-95A1-48EE-8CA0-1DBC206C4A8F}"/>
    <cellStyle name="Normal 7 4 4" xfId="590" xr:uid="{00000000-0005-0000-0000-0000C8020000}"/>
    <cellStyle name="Normal 7 4 4 2" xfId="801" xr:uid="{00000000-0005-0000-0000-0000C9020000}"/>
    <cellStyle name="Normal 7 4 4 2 2" xfId="3733" xr:uid="{8E09E1B9-63B2-445E-B678-FB8122CCCA19}"/>
    <cellStyle name="Normal 7 4 4 3" xfId="3524" xr:uid="{B2AE0530-D53E-4A31-92D4-2001F3F77712}"/>
    <cellStyle name="Normal 7 4 5" xfId="695" xr:uid="{00000000-0005-0000-0000-0000CA020000}"/>
    <cellStyle name="Normal 7 4 5 2" xfId="3628" xr:uid="{7D74D3B6-D765-4A60-BDAE-12F484150ABC}"/>
    <cellStyle name="Normal 7 4 6" xfId="1526" xr:uid="{3F9DF255-B212-404E-B7E3-F74B39CAE464}"/>
    <cellStyle name="Normal 7 4 7" xfId="3404" xr:uid="{464D0028-E6D5-42C4-8710-2F3BDB0A7A56}"/>
    <cellStyle name="Normal 7 5" xfId="398" xr:uid="{00000000-0005-0000-0000-0000CB020000}"/>
    <cellStyle name="Normal 7 5 2" xfId="495" xr:uid="{00000000-0005-0000-0000-0000CC020000}"/>
    <cellStyle name="Normal 7 5 2 2" xfId="651" xr:uid="{00000000-0005-0000-0000-0000CD020000}"/>
    <cellStyle name="Normal 7 5 2 2 2" xfId="862" xr:uid="{00000000-0005-0000-0000-0000CE020000}"/>
    <cellStyle name="Normal 7 5 2 2 2 2" xfId="3794" xr:uid="{96AD2447-013D-4F50-977B-C56A9B5ADFCA}"/>
    <cellStyle name="Normal 7 5 2 2 3" xfId="2914" xr:uid="{E506C560-97B5-4166-B2AC-533FD9BD7C60}"/>
    <cellStyle name="Normal 7 5 2 2 3 2" xfId="5349" xr:uid="{3CE2D7C1-32DB-4908-9846-63A77676034C}"/>
    <cellStyle name="Normal 7 5 2 2 4" xfId="3585" xr:uid="{D2031F57-711C-46F6-AC99-149CBD0FC027}"/>
    <cellStyle name="Normal 7 5 2 3" xfId="756" xr:uid="{00000000-0005-0000-0000-0000CF020000}"/>
    <cellStyle name="Normal 7 5 2 3 2" xfId="3689" xr:uid="{05B8987F-8F3B-4A00-8301-D225CD7516F5}"/>
    <cellStyle name="Normal 7 5 2 4" xfId="2076" xr:uid="{3953BDF3-BF94-4F7A-AB7E-03C6D4FD3704}"/>
    <cellStyle name="Normal 7 5 2 4 2" xfId="4593" xr:uid="{4D67A351-0B71-4E31-9355-E98419E9DA3E}"/>
    <cellStyle name="Normal 7 5 2 5" xfId="3475" xr:uid="{E0BA755D-EC14-4E87-B07F-F09176630922}"/>
    <cellStyle name="Normal 7 5 3" xfId="599" xr:uid="{00000000-0005-0000-0000-0000D0020000}"/>
    <cellStyle name="Normal 7 5 3 2" xfId="810" xr:uid="{00000000-0005-0000-0000-0000D1020000}"/>
    <cellStyle name="Normal 7 5 3 2 2" xfId="3742" xr:uid="{7084ABC8-B42E-4F92-A98B-CDFB317C7E82}"/>
    <cellStyle name="Normal 7 5 3 3" xfId="2550" xr:uid="{1C9155E2-49A2-4AA7-8CF1-B8B1276919B7}"/>
    <cellStyle name="Normal 7 5 3 3 2" xfId="4985" xr:uid="{145E3244-DFDA-4D39-AA83-687C8359C0FF}"/>
    <cellStyle name="Normal 7 5 3 4" xfId="3533" xr:uid="{37DD618C-6498-492E-946B-0066BB2C887E}"/>
    <cellStyle name="Normal 7 5 4" xfId="704" xr:uid="{00000000-0005-0000-0000-0000D2020000}"/>
    <cellStyle name="Normal 7 5 4 2" xfId="3637" xr:uid="{39D1B6D0-389D-491B-884A-F430B7AEB868}"/>
    <cellStyle name="Normal 7 5 5" xfId="1527" xr:uid="{D1C42708-A040-476D-A32A-B1E3F5C7A120}"/>
    <cellStyle name="Normal 7 5 5 2" xfId="4115" xr:uid="{37E69361-0E11-4A10-A133-ABC18E3BDD5D}"/>
    <cellStyle name="Normal 7 5 6" xfId="3418" xr:uid="{989FFFBD-CB8C-484E-A108-02AF0FDBD3CD}"/>
    <cellStyle name="Normal 7 6" xfId="469" xr:uid="{00000000-0005-0000-0000-0000D3020000}"/>
    <cellStyle name="Normal 7 6 2" xfId="625" xr:uid="{00000000-0005-0000-0000-0000D4020000}"/>
    <cellStyle name="Normal 7 6 2 2" xfId="836" xr:uid="{00000000-0005-0000-0000-0000D5020000}"/>
    <cellStyle name="Normal 7 6 2 2 2" xfId="3768" xr:uid="{A00DA7CA-6A72-4F93-8C5C-5D1E198012E5}"/>
    <cellStyle name="Normal 7 6 2 3" xfId="2744" xr:uid="{A11BA143-981A-443C-88C4-D2F1C2054CCF}"/>
    <cellStyle name="Normal 7 6 2 3 2" xfId="5179" xr:uid="{AD879398-4909-4D2B-A2C8-9A71283A181F}"/>
    <cellStyle name="Normal 7 6 2 4" xfId="3559" xr:uid="{128F1541-770E-447D-9318-BD5583337B0B}"/>
    <cellStyle name="Normal 7 6 3" xfId="730" xr:uid="{00000000-0005-0000-0000-0000D6020000}"/>
    <cellStyle name="Normal 7 6 3 2" xfId="3663" xr:uid="{FE3739B4-8958-4AB5-8065-6293FB2719AC}"/>
    <cellStyle name="Normal 7 6 4" xfId="1906" xr:uid="{A594E3BE-C14F-4B4C-A81E-5438885CB2F4}"/>
    <cellStyle name="Normal 7 6 4 2" xfId="4423" xr:uid="{1C19210B-70E2-411E-8E6C-020FD2D306C0}"/>
    <cellStyle name="Normal 7 6 5" xfId="3449" xr:uid="{FE337D58-B5A7-4D69-8693-012DB9479B85}"/>
    <cellStyle name="Normal 7 7" xfId="573" xr:uid="{00000000-0005-0000-0000-0000D7020000}"/>
    <cellStyle name="Normal 7 7 2" xfId="784" xr:uid="{00000000-0005-0000-0000-0000D8020000}"/>
    <cellStyle name="Normal 7 7 2 2" xfId="3716" xr:uid="{8C73611C-B572-4536-80AD-3302A450DF7B}"/>
    <cellStyle name="Normal 7 7 3" xfId="2242" xr:uid="{D13D8FB6-7692-4C7F-A788-4DA09E09AE3A}"/>
    <cellStyle name="Normal 7 7 3 2" xfId="4710" xr:uid="{98CD2EB5-640D-4648-92BA-511539D3B0C1}"/>
    <cellStyle name="Normal 7 7 4" xfId="3507" xr:uid="{690CE31E-468C-4724-8CDE-22AD24066A6D}"/>
    <cellStyle name="Normal 7 8" xfId="678" xr:uid="{00000000-0005-0000-0000-0000D9020000}"/>
    <cellStyle name="Normal 7 8 2" xfId="2525" xr:uid="{307702F0-915A-45DC-8EAA-52BC1DCD88E3}"/>
    <cellStyle name="Normal 7 8 2 2" xfId="4960" xr:uid="{56604B3D-7F53-44CE-B839-F0052EF025F8}"/>
    <cellStyle name="Normal 7 8 3" xfId="3611" xr:uid="{7C44EECB-B656-483D-A12E-5EC1275FEBEB}"/>
    <cellStyle name="Normal 7 9" xfId="1500" xr:uid="{D57F8E0A-E2ED-4FC7-A49E-A7169DADE1DC}"/>
    <cellStyle name="Normal 7 9 2" xfId="4090" xr:uid="{3D1A896C-6C91-4753-AAB4-688960279892}"/>
    <cellStyle name="Normal 70" xfId="2266" xr:uid="{4D80699D-190B-4EC3-8B1F-6FC1A24BA506}"/>
    <cellStyle name="Normal 70 2" xfId="3026" xr:uid="{CE11F7DD-7FDD-42F1-A6F3-CB646B64CE77}"/>
    <cellStyle name="Normal 71" xfId="2263" xr:uid="{FDE35B72-C261-427A-9BC0-4B0CBC38B2C1}"/>
    <cellStyle name="Normal 71 2" xfId="3023" xr:uid="{3056DC73-458C-48E2-A870-C361A9FAB473}"/>
    <cellStyle name="Normal 72" xfId="2267" xr:uid="{B30D53F8-92F6-486C-B974-E17672AB0310}"/>
    <cellStyle name="Normal 72 2" xfId="3027" xr:uid="{BF4D77F3-96DC-40D4-A52C-E8F4F34628EA}"/>
    <cellStyle name="Normal 73" xfId="2262" xr:uid="{0280285B-24B7-40A2-B35B-224AFD92064C}"/>
    <cellStyle name="Normal 73 2" xfId="3022" xr:uid="{F5BBE184-A9CC-4215-A453-3D5F5123DAA7}"/>
    <cellStyle name="Normal 74" xfId="2264" xr:uid="{FADAF6CE-ABBA-418C-9B01-1C1C76F918A2}"/>
    <cellStyle name="Normal 74 2" xfId="3024" xr:uid="{FB9661B7-E7EF-4297-9B01-ECFBBD25F8A9}"/>
    <cellStyle name="Normal 75" xfId="2270" xr:uid="{AC9CDF47-A781-4CD7-8182-1797A09AA6FE}"/>
    <cellStyle name="Normal 75 2" xfId="3028" xr:uid="{7693C5B5-6614-4053-86FC-8CB65268E388}"/>
    <cellStyle name="Normal 76" xfId="2274" xr:uid="{D1CF41F6-0F9B-46BB-96A9-0715896FB3FE}"/>
    <cellStyle name="Normal 76 2" xfId="3032" xr:uid="{016DFEF8-8D6D-4494-946B-EA27F7564B57}"/>
    <cellStyle name="Normal 77" xfId="2272" xr:uid="{7ADE2F67-3E72-4B54-A080-A52C103C53DD}"/>
    <cellStyle name="Normal 77 2" xfId="3030" xr:uid="{8DB482A4-C732-4FDA-8C8C-7209F0B40011}"/>
    <cellStyle name="Normal 78" xfId="2275" xr:uid="{DBF36640-AC2B-4A0F-9C27-F8FBAFB0BB3F}"/>
    <cellStyle name="Normal 78 2" xfId="3033" xr:uid="{91A91DD0-A065-48EF-BDAF-D6D38001E21E}"/>
    <cellStyle name="Normal 79" xfId="2271" xr:uid="{0B0B58F9-0271-49B9-B3E2-29A6FBFC9F5F}"/>
    <cellStyle name="Normal 79 2" xfId="3029" xr:uid="{7FD78583-AD1C-446C-B055-AD2C873345D6}"/>
    <cellStyle name="Normal 8" xfId="240" xr:uid="{00000000-0005-0000-0000-0000DA020000}"/>
    <cellStyle name="Normal 8 2" xfId="524" xr:uid="{00000000-0005-0000-0000-0000DB020000}"/>
    <cellStyle name="Normal 8 2 2" xfId="1530" xr:uid="{72950C60-50B2-4ADF-B0EE-F61A5A1FDE6F}"/>
    <cellStyle name="Normal 8 2 2 2" xfId="1531" xr:uid="{C0E26989-9E68-4542-A678-F17E9D7539ED}"/>
    <cellStyle name="Normal 8 2 2 2 2" xfId="2091" xr:uid="{14C28E59-AE5B-4272-89EB-E9E4E455B4FE}"/>
    <cellStyle name="Normal 8 2 2 2 2 2" xfId="2929" xr:uid="{293E9B8B-DD9A-4F74-87F5-2A625CCD5AD4}"/>
    <cellStyle name="Normal 8 2 2 2 2 2 2" xfId="5364" xr:uid="{40C0794F-39AC-4A22-B333-F72AB0F80731}"/>
    <cellStyle name="Normal 8 2 2 2 2 3" xfId="4608" xr:uid="{34E14FBB-2058-4AA4-81C3-1F3326E33916}"/>
    <cellStyle name="Normal 8 2 2 2 3" xfId="2554" xr:uid="{F10B9456-7231-444D-B946-055649E5F1E1}"/>
    <cellStyle name="Normal 8 2 2 2 3 2" xfId="4989" xr:uid="{3514900E-CB51-481D-A7B3-6139F0685D08}"/>
    <cellStyle name="Normal 8 2 2 2 4" xfId="4119" xr:uid="{3A91AB09-90E1-4CCB-9EC7-3725D0FA4092}"/>
    <cellStyle name="Normal 8 2 2 3" xfId="1921" xr:uid="{88D377B0-EFC1-476B-A607-4C1584248006}"/>
    <cellStyle name="Normal 8 2 2 3 2" xfId="2759" xr:uid="{5B58BBF9-03A2-4F04-80CD-00A99E1E8245}"/>
    <cellStyle name="Normal 8 2 2 3 2 2" xfId="5194" xr:uid="{4D01309D-7585-49C8-A6E0-AC810C326B28}"/>
    <cellStyle name="Normal 8 2 2 3 3" xfId="4438" xr:uid="{280FEB0A-88FC-4DFB-988C-1E831F9417D9}"/>
    <cellStyle name="Normal 8 2 2 4" xfId="2553" xr:uid="{7BED0038-A156-4411-BB8D-A4B1B41A8244}"/>
    <cellStyle name="Normal 8 2 2 4 2" xfId="4988" xr:uid="{8490C167-EFFB-45EC-9717-D78C90CEE873}"/>
    <cellStyle name="Normal 8 2 2 5" xfId="4118" xr:uid="{5F93E948-47D6-40BC-A85B-07F3D506D2E3}"/>
    <cellStyle name="Normal 8 2 3" xfId="1532" xr:uid="{3722C380-EF16-4423-A35B-A67028DB423E}"/>
    <cellStyle name="Normal 8 2 3 2" xfId="1533" xr:uid="{F4E2F80C-B083-4AEB-A61D-5442C5BE37FC}"/>
    <cellStyle name="Normal 8 2 3 2 2" xfId="2092" xr:uid="{991F5F08-5C6C-4DEA-9C07-FEDCB86DC481}"/>
    <cellStyle name="Normal 8 2 3 2 2 2" xfId="2930" xr:uid="{E643B80C-5C39-4C08-B52B-334DCC6C4003}"/>
    <cellStyle name="Normal 8 2 3 2 2 2 2" xfId="5365" xr:uid="{2CBD1E40-C6AB-4681-BDD1-BF60775A4741}"/>
    <cellStyle name="Normal 8 2 3 2 2 3" xfId="4609" xr:uid="{4EB83086-FF4F-4A44-AF3C-CBDE22C4889C}"/>
    <cellStyle name="Normal 8 2 3 2 3" xfId="2556" xr:uid="{6EE82F89-8A9F-4044-A9AB-0E5A080064C3}"/>
    <cellStyle name="Normal 8 2 3 2 3 2" xfId="4991" xr:uid="{C1477C92-DC3B-4172-93FF-C166DC32436F}"/>
    <cellStyle name="Normal 8 2 3 2 4" xfId="4121" xr:uid="{155ADE1F-E4E0-49D8-8B1A-565B6A8CF3FC}"/>
    <cellStyle name="Normal 8 2 3 3" xfId="1922" xr:uid="{0B0D46D4-C369-4BD9-8A90-754E20DE686B}"/>
    <cellStyle name="Normal 8 2 3 3 2" xfId="2760" xr:uid="{F24464ED-9587-41BB-A952-6578F8F25107}"/>
    <cellStyle name="Normal 8 2 3 3 2 2" xfId="5195" xr:uid="{5EF19745-6D10-4C5E-844B-1E3D024DC84F}"/>
    <cellStyle name="Normal 8 2 3 3 3" xfId="4439" xr:uid="{48840FC2-4AA3-4FCD-BE1D-45224D7999E9}"/>
    <cellStyle name="Normal 8 2 3 4" xfId="2555" xr:uid="{915E1339-F927-4101-BA61-D216CEDFD08C}"/>
    <cellStyle name="Normal 8 2 3 4 2" xfId="4990" xr:uid="{69C4AD85-E3D9-48D2-9DBE-7B054147AD66}"/>
    <cellStyle name="Normal 8 2 3 5" xfId="4120" xr:uid="{E5A0C7CB-F563-4208-BC8F-DC1E4F45A80B}"/>
    <cellStyle name="Normal 8 2 4" xfId="1534" xr:uid="{D006C071-D198-49CF-90FC-A96B554E0920}"/>
    <cellStyle name="Normal 8 2 4 2" xfId="2090" xr:uid="{6F538240-B100-4448-8199-26587A0D054F}"/>
    <cellStyle name="Normal 8 2 4 2 2" xfId="2928" xr:uid="{40559DE5-F40F-42DA-8E34-6D9C5B311BCC}"/>
    <cellStyle name="Normal 8 2 4 2 2 2" xfId="5363" xr:uid="{A34B67A1-5B4A-4278-BC5E-BDB249F82B2B}"/>
    <cellStyle name="Normal 8 2 4 2 3" xfId="4607" xr:uid="{291B68CD-F8BA-40CF-8325-1B5BCFCDDDF1}"/>
    <cellStyle name="Normal 8 2 4 3" xfId="2557" xr:uid="{69EA9506-9EC8-445E-94A8-7797C51F1D71}"/>
    <cellStyle name="Normal 8 2 4 3 2" xfId="4992" xr:uid="{4BD2EB6D-D37B-469B-A61B-9579E0572662}"/>
    <cellStyle name="Normal 8 2 4 4" xfId="4122" xr:uid="{2A84D46F-8045-4301-8103-A420A430B54C}"/>
    <cellStyle name="Normal 8 2 5" xfId="1920" xr:uid="{E2EEABFE-CB2A-47BA-A28C-2306E53B78CE}"/>
    <cellStyle name="Normal 8 2 5 2" xfId="2758" xr:uid="{241CD68D-A374-4F8E-A74D-36139FBC7C0B}"/>
    <cellStyle name="Normal 8 2 5 2 2" xfId="5193" xr:uid="{82DFCCBD-0E7D-45DC-82F9-CF6F22C6B2A2}"/>
    <cellStyle name="Normal 8 2 5 3" xfId="4437" xr:uid="{C1928C89-4EE1-4011-A84C-9FDA4166048E}"/>
    <cellStyle name="Normal 8 2 6" xfId="2245" xr:uid="{993412EA-D78C-47E5-A8B9-7DD005E8613C}"/>
    <cellStyle name="Normal 8 2 6 2" xfId="4713" xr:uid="{647455BB-A74A-4170-BB35-C0C7196A2104}"/>
    <cellStyle name="Normal 8 2 7" xfId="2552" xr:uid="{E84FB534-ED10-47AB-B85F-48E2B9DF01E5}"/>
    <cellStyle name="Normal 8 2 7 2" xfId="4987" xr:uid="{3FC1FA3C-C28D-4ED8-93A6-CF187918CB56}"/>
    <cellStyle name="Normal 8 2 8" xfId="1529" xr:uid="{BDB9A11D-A2E9-42F0-852C-4C8FCB2359F7}"/>
    <cellStyle name="Normal 8 2 8 2" xfId="4117" xr:uid="{71F63154-E95B-459D-9559-44A6659BD5FB}"/>
    <cellStyle name="Normal 8 3" xfId="1535" xr:uid="{C04C6E3A-CCE5-4C2E-83D9-884E8DE4459E}"/>
    <cellStyle name="Normal 8 3 2" xfId="1536" xr:uid="{0BDF85EE-6D30-4053-B254-622861112A78}"/>
    <cellStyle name="Normal 8 3 2 2" xfId="2093" xr:uid="{B71A621D-6F74-47F4-848C-297E56D49774}"/>
    <cellStyle name="Normal 8 3 2 2 2" xfId="2931" xr:uid="{D3A95855-DB72-4BA0-A612-D54C474C6329}"/>
    <cellStyle name="Normal 8 3 2 2 2 2" xfId="5366" xr:uid="{95007E7E-570A-4F44-AD35-431A61844D57}"/>
    <cellStyle name="Normal 8 3 2 2 3" xfId="4610" xr:uid="{F151F13B-DA2E-498F-97EB-D9EE9D619131}"/>
    <cellStyle name="Normal 8 3 2 3" xfId="2559" xr:uid="{B9E13225-E94F-45BE-A760-A5D10B3C42A5}"/>
    <cellStyle name="Normal 8 3 2 3 2" xfId="4994" xr:uid="{7DE9C860-59B1-49ED-9204-757732495F9E}"/>
    <cellStyle name="Normal 8 3 2 4" xfId="4124" xr:uid="{238622E7-B120-43B2-9E94-29B2E26D1F00}"/>
    <cellStyle name="Normal 8 3 3" xfId="1923" xr:uid="{47F1BC2B-8B65-45E8-8B4C-02D3B364CA83}"/>
    <cellStyle name="Normal 8 3 3 2" xfId="2761" xr:uid="{C4C74741-79AF-4381-9585-98EADB1DF708}"/>
    <cellStyle name="Normal 8 3 3 2 2" xfId="5196" xr:uid="{5B6422BA-04F3-4887-BFD5-B7C0110F18E5}"/>
    <cellStyle name="Normal 8 3 3 3" xfId="4440" xr:uid="{B2BA9242-F64D-4277-A52F-8FB9D7B8950C}"/>
    <cellStyle name="Normal 8 3 4" xfId="2558" xr:uid="{803D7582-2419-4E06-A526-945DE127505C}"/>
    <cellStyle name="Normal 8 3 4 2" xfId="4993" xr:uid="{10B7F9F4-9F3C-462F-965D-4954C277D0B8}"/>
    <cellStyle name="Normal 8 3 5" xfId="4123" xr:uid="{3C068339-EEB9-4BE1-B2F7-78C87CA14406}"/>
    <cellStyle name="Normal 8 4" xfId="1537" xr:uid="{62CCB820-1721-4617-A7F2-71AC71FF06BB}"/>
    <cellStyle name="Normal 8 4 2" xfId="1538" xr:uid="{F034BD01-9664-473A-9708-BED8DEDE8EA8}"/>
    <cellStyle name="Normal 8 4 2 2" xfId="2094" xr:uid="{8200B082-C132-40A0-8529-5E13A84BA6B6}"/>
    <cellStyle name="Normal 8 4 2 2 2" xfId="2932" xr:uid="{5ECD662D-3F64-47B1-80AC-09BDDD36A49E}"/>
    <cellStyle name="Normal 8 4 2 2 2 2" xfId="5367" xr:uid="{A4602990-5753-40C6-BF6C-CC646C771836}"/>
    <cellStyle name="Normal 8 4 2 2 3" xfId="4611" xr:uid="{E82EBD7B-9AF0-4672-9C2A-B96FC9025F19}"/>
    <cellStyle name="Normal 8 4 2 3" xfId="2561" xr:uid="{083A2605-4306-4547-9C63-09802E48865D}"/>
    <cellStyle name="Normal 8 4 2 3 2" xfId="4996" xr:uid="{9774F1F3-7601-4598-A4F2-0F54DD7A9C05}"/>
    <cellStyle name="Normal 8 4 2 4" xfId="4126" xr:uid="{8F7D7348-E37E-4563-9379-CF774AC09130}"/>
    <cellStyle name="Normal 8 4 3" xfId="1924" xr:uid="{CCA79CA0-1C31-4160-8CEF-1409DA89ABAF}"/>
    <cellStyle name="Normal 8 4 3 2" xfId="2762" xr:uid="{32BC2F2F-FCC4-4E68-97D9-FF88273FAAF4}"/>
    <cellStyle name="Normal 8 4 3 2 2" xfId="5197" xr:uid="{2EB2E6B2-0CE0-402A-9743-59675A566609}"/>
    <cellStyle name="Normal 8 4 3 3" xfId="4441" xr:uid="{8DC5BDFA-0DB6-45B4-B3AB-51A77DB1F664}"/>
    <cellStyle name="Normal 8 4 4" xfId="2560" xr:uid="{BE65E5DF-355D-4D81-9B0D-0B7CA3A9604D}"/>
    <cellStyle name="Normal 8 4 4 2" xfId="4995" xr:uid="{F3CBF87D-A3EF-4EB8-B1A2-E66332C917C5}"/>
    <cellStyle name="Normal 8 4 5" xfId="4125" xr:uid="{56B3C423-6F3C-4EAD-8571-1A2751877CB7}"/>
    <cellStyle name="Normal 8 5" xfId="1539" xr:uid="{D357DC18-202D-4C6B-BFA4-9487F88D79A5}"/>
    <cellStyle name="Normal 8 5 2" xfId="2089" xr:uid="{DCB062A9-3958-4914-BF81-58513C1CDBC9}"/>
    <cellStyle name="Normal 8 5 2 2" xfId="2927" xr:uid="{39E19137-A659-4DC6-8AE5-10CEECFB1423}"/>
    <cellStyle name="Normal 8 5 2 2 2" xfId="5362" xr:uid="{04789B3F-656A-4234-B3FA-23A52F8D0007}"/>
    <cellStyle name="Normal 8 5 2 3" xfId="4606" xr:uid="{35773A35-1F5F-44F2-8416-91B3B79B2521}"/>
    <cellStyle name="Normal 8 5 3" xfId="2562" xr:uid="{AC260160-43EB-494C-A75C-288D4F505B49}"/>
    <cellStyle name="Normal 8 5 3 2" xfId="4997" xr:uid="{0CE93076-31D6-4428-8037-79E7DC42A74B}"/>
    <cellStyle name="Normal 8 5 4" xfId="4127" xr:uid="{E7A369CE-0553-4FFD-BFA0-CF1A4E6DA377}"/>
    <cellStyle name="Normal 8 6" xfId="1919" xr:uid="{275AF734-ED45-4B21-9373-E30F3BA34075}"/>
    <cellStyle name="Normal 8 6 2" xfId="2757" xr:uid="{28A57076-8763-4938-B2B2-FE726F0FC71A}"/>
    <cellStyle name="Normal 8 6 2 2" xfId="5192" xr:uid="{E1D3DC68-C502-4AE3-B4BE-1F06122B2BAE}"/>
    <cellStyle name="Normal 8 6 3" xfId="4436" xr:uid="{9578127D-A16C-4F57-AE76-C4990CAE331D}"/>
    <cellStyle name="Normal 8 7" xfId="2244" xr:uid="{1CB932F5-B1EA-42E9-AE20-5F93357BE6FD}"/>
    <cellStyle name="Normal 8 7 2" xfId="4712" xr:uid="{D0CD6187-9B03-4D24-827F-728137A6AC38}"/>
    <cellStyle name="Normal 8 8" xfId="2551" xr:uid="{8481FA03-2E55-4DB2-A3A9-7D12F408A00E}"/>
    <cellStyle name="Normal 8 8 2" xfId="4986" xr:uid="{251B1A75-224E-4A4F-9C8D-CEBF568D65A4}"/>
    <cellStyle name="Normal 8 9" xfId="1528" xr:uid="{DAF95CE8-B2B9-4E00-B32B-705102AA2D3F}"/>
    <cellStyle name="Normal 8 9 2" xfId="4116" xr:uid="{F8F9473C-B923-403B-BFF4-43C7608CEE9A}"/>
    <cellStyle name="Normal 80" xfId="2273" xr:uid="{72EB945E-EBE6-4538-BFEB-E84CAD76E490}"/>
    <cellStyle name="Normal 80 2" xfId="3031" xr:uid="{4DD2AE72-8EDB-46A3-A0D9-726E03056663}"/>
    <cellStyle name="Normal 81" xfId="2276" xr:uid="{10FB7107-7A28-4DD1-8DAF-BEA8A881779F}"/>
    <cellStyle name="Normal 81 2" xfId="3034" xr:uid="{D218DA3C-129A-4E82-9CDE-AB210449D76C}"/>
    <cellStyle name="Normal 82" xfId="2281" xr:uid="{8F36C532-D61A-4213-8F8A-1C63A054C274}"/>
    <cellStyle name="Normal 82 2" xfId="3039" xr:uid="{183BD7CB-628A-4666-B7F2-53AD66FC7B4D}"/>
    <cellStyle name="Normal 83" xfId="2278" xr:uid="{6D149C46-EE27-4984-9F15-423F3FB04A26}"/>
    <cellStyle name="Normal 83 2" xfId="3036" xr:uid="{01BC8440-4EDC-430D-BEF7-67508EC2E82F}"/>
    <cellStyle name="Normal 84" xfId="2279" xr:uid="{C4A1E058-FE9C-4D90-8C10-93F0CEBA1044}"/>
    <cellStyle name="Normal 84 2" xfId="3037" xr:uid="{FE639C3A-E0C1-44B1-BDB5-1C6601879F85}"/>
    <cellStyle name="Normal 85" xfId="2282" xr:uid="{A7EFF48A-6679-47D8-A94A-4374D8FEE78F}"/>
    <cellStyle name="Normal 85 2" xfId="3040" xr:uid="{343A9326-229E-44D7-A678-36703FD8976C}"/>
    <cellStyle name="Normal 86" xfId="2277" xr:uid="{DACA7568-0341-4B8B-B0F1-2AF05D065473}"/>
    <cellStyle name="Normal 86 2" xfId="3035" xr:uid="{249E05BD-FDBE-4964-BFC0-83CB3E49B60F}"/>
    <cellStyle name="Normal 87" xfId="2280" xr:uid="{18674C10-56D3-41BC-8305-107970233A2C}"/>
    <cellStyle name="Normal 87 2" xfId="3038" xr:uid="{02D14FE3-59F9-4F47-B23D-72C2ACD24945}"/>
    <cellStyle name="Normal 88" xfId="2286" xr:uid="{AD8864C6-6228-4D32-9285-9911577B9A78}"/>
    <cellStyle name="Normal 88 2" xfId="4721" xr:uid="{89E639DA-5B38-4342-A88C-EA8B695F5188}"/>
    <cellStyle name="Normal 89" xfId="981" xr:uid="{E22A1F9D-E963-4307-8C4B-0CC408DE39C0}"/>
    <cellStyle name="Normal 89 2" xfId="3868" xr:uid="{0889C6F4-BFA6-4EC1-BD0E-DDF3E45DE03E}"/>
    <cellStyle name="Normal 9" xfId="239" xr:uid="{00000000-0005-0000-0000-0000DC020000}"/>
    <cellStyle name="Normal 9 2" xfId="336" xr:uid="{00000000-0005-0000-0000-0000DD020000}"/>
    <cellStyle name="Normal 9 2 2" xfId="408" xr:uid="{00000000-0005-0000-0000-0000DE020000}"/>
    <cellStyle name="Normal 9 2 2 2" xfId="505" xr:uid="{00000000-0005-0000-0000-0000DF020000}"/>
    <cellStyle name="Normal 9 2 2 2 2" xfId="661" xr:uid="{00000000-0005-0000-0000-0000E0020000}"/>
    <cellStyle name="Normal 9 2 2 2 2 2" xfId="872" xr:uid="{00000000-0005-0000-0000-0000E1020000}"/>
    <cellStyle name="Normal 9 2 2 2 2 2 2" xfId="3804" xr:uid="{A326AD5E-24BD-4572-96D0-ECA353168B68}"/>
    <cellStyle name="Normal 9 2 2 2 2 3" xfId="3595" xr:uid="{686FAA7E-339B-4C93-BD69-7BD8E598434D}"/>
    <cellStyle name="Normal 9 2 2 2 3" xfId="766" xr:uid="{00000000-0005-0000-0000-0000E2020000}"/>
    <cellStyle name="Normal 9 2 2 2 3 2" xfId="3699" xr:uid="{DF1C7F32-7915-45C6-AD58-58CDAB4D230B}"/>
    <cellStyle name="Normal 9 2 2 2 4" xfId="3485" xr:uid="{AC680DEB-7467-4BBB-8B7D-953EACD0FB36}"/>
    <cellStyle name="Normal 9 2 2 3" xfId="609" xr:uid="{00000000-0005-0000-0000-0000E3020000}"/>
    <cellStyle name="Normal 9 2 2 3 2" xfId="820" xr:uid="{00000000-0005-0000-0000-0000E4020000}"/>
    <cellStyle name="Normal 9 2 2 3 2 2" xfId="3752" xr:uid="{F86CCC86-E46D-4461-B847-115B36113787}"/>
    <cellStyle name="Normal 9 2 2 3 3" xfId="3543" xr:uid="{D8F196A6-E8DA-41FF-8226-200837F462DF}"/>
    <cellStyle name="Normal 9 2 2 4" xfId="714" xr:uid="{00000000-0005-0000-0000-0000E5020000}"/>
    <cellStyle name="Normal 9 2 2 4 2" xfId="3647" xr:uid="{645E2D50-772E-47FD-91B6-EED614193A70}"/>
    <cellStyle name="Normal 9 2 2 5" xfId="3428" xr:uid="{3E67592B-E41B-41B0-8610-AAD694FD9323}"/>
    <cellStyle name="Normal 9 2 3" xfId="479" xr:uid="{00000000-0005-0000-0000-0000E6020000}"/>
    <cellStyle name="Normal 9 2 3 2" xfId="635" xr:uid="{00000000-0005-0000-0000-0000E7020000}"/>
    <cellStyle name="Normal 9 2 3 2 2" xfId="846" xr:uid="{00000000-0005-0000-0000-0000E8020000}"/>
    <cellStyle name="Normal 9 2 3 2 2 2" xfId="3778" xr:uid="{DA86C131-470F-4ADE-B228-4956AB4173CB}"/>
    <cellStyle name="Normal 9 2 3 2 3" xfId="3569" xr:uid="{72AE38BA-CEED-43D6-80B9-54667EF4D8B9}"/>
    <cellStyle name="Normal 9 2 3 3" xfId="740" xr:uid="{00000000-0005-0000-0000-0000E9020000}"/>
    <cellStyle name="Normal 9 2 3 3 2" xfId="3673" xr:uid="{B6BB037E-3B27-4BBB-9767-456CA422A63C}"/>
    <cellStyle name="Normal 9 2 3 4" xfId="3459" xr:uid="{56B75B48-9EB5-4B81-95A6-E842E162853D}"/>
    <cellStyle name="Normal 9 2 4" xfId="583" xr:uid="{00000000-0005-0000-0000-0000EA020000}"/>
    <cellStyle name="Normal 9 2 4 2" xfId="794" xr:uid="{00000000-0005-0000-0000-0000EB020000}"/>
    <cellStyle name="Normal 9 2 4 2 2" xfId="3726" xr:uid="{0764790B-BB5D-41CC-AA24-51AE8DA50EBB}"/>
    <cellStyle name="Normal 9 2 4 3" xfId="3517" xr:uid="{51369476-947D-4FCA-B53E-8137F1E30163}"/>
    <cellStyle name="Normal 9 2 5" xfId="688" xr:uid="{00000000-0005-0000-0000-0000EC020000}"/>
    <cellStyle name="Normal 9 2 5 2" xfId="3621" xr:uid="{1A03BFB4-92A3-43C2-ABC0-6F84F5C0A7D5}"/>
    <cellStyle name="Normal 9 2 6" xfId="2205" xr:uid="{BC673DEF-5D04-4C53-A370-7F1FE7659104}"/>
    <cellStyle name="Normal 9 2 6 2" xfId="4695" xr:uid="{2D1400B8-864C-47BC-B39A-36538B98401D}"/>
    <cellStyle name="Normal 9 2 7" xfId="3397" xr:uid="{104C6515-142E-4289-9C5E-F0382579BEE3}"/>
    <cellStyle name="Normal 9 3" xfId="346" xr:uid="{00000000-0005-0000-0000-0000ED020000}"/>
    <cellStyle name="Normal 9 3 2" xfId="418" xr:uid="{00000000-0005-0000-0000-0000EE020000}"/>
    <cellStyle name="Normal 9 3 2 2" xfId="514" xr:uid="{00000000-0005-0000-0000-0000EF020000}"/>
    <cellStyle name="Normal 9 3 2 2 2" xfId="670" xr:uid="{00000000-0005-0000-0000-0000F0020000}"/>
    <cellStyle name="Normal 9 3 2 2 2 2" xfId="881" xr:uid="{00000000-0005-0000-0000-0000F1020000}"/>
    <cellStyle name="Normal 9 3 2 2 2 2 2" xfId="3813" xr:uid="{C6E09A16-138E-404A-8CD7-0364FAAE46CC}"/>
    <cellStyle name="Normal 9 3 2 2 2 3" xfId="3604" xr:uid="{6179FACC-CC6A-4D7C-A0F1-198D84797BF5}"/>
    <cellStyle name="Normal 9 3 2 2 3" xfId="775" xr:uid="{00000000-0005-0000-0000-0000F2020000}"/>
    <cellStyle name="Normal 9 3 2 2 3 2" xfId="3708" xr:uid="{A31342D6-0CDC-437C-98F7-C4F83B3687AA}"/>
    <cellStyle name="Normal 9 3 2 2 4" xfId="3494" xr:uid="{1AD96E20-D657-4176-9273-6C22D90E1C60}"/>
    <cellStyle name="Normal 9 3 2 3" xfId="618" xr:uid="{00000000-0005-0000-0000-0000F3020000}"/>
    <cellStyle name="Normal 9 3 2 3 2" xfId="829" xr:uid="{00000000-0005-0000-0000-0000F4020000}"/>
    <cellStyle name="Normal 9 3 2 3 2 2" xfId="3761" xr:uid="{93388CFD-41F9-4BA6-862B-BB88A5E36B0B}"/>
    <cellStyle name="Normal 9 3 2 3 3" xfId="3552" xr:uid="{163FDC40-4A01-4759-A69B-CCB3F597417E}"/>
    <cellStyle name="Normal 9 3 2 4" xfId="723" xr:uid="{00000000-0005-0000-0000-0000F5020000}"/>
    <cellStyle name="Normal 9 3 2 4 2" xfId="3656" xr:uid="{61EB8B5B-EDC8-49E9-8B85-DEE9EE0690F0}"/>
    <cellStyle name="Normal 9 3 2 5" xfId="3437" xr:uid="{1976B4AD-E80B-41A9-8683-BF685AB8AA90}"/>
    <cellStyle name="Normal 9 3 3" xfId="488" xr:uid="{00000000-0005-0000-0000-0000F6020000}"/>
    <cellStyle name="Normal 9 3 3 2" xfId="644" xr:uid="{00000000-0005-0000-0000-0000F7020000}"/>
    <cellStyle name="Normal 9 3 3 2 2" xfId="855" xr:uid="{00000000-0005-0000-0000-0000F8020000}"/>
    <cellStyle name="Normal 9 3 3 2 2 2" xfId="3787" xr:uid="{9F328BC5-6B2C-4DC2-8201-5FE40AF3DDEE}"/>
    <cellStyle name="Normal 9 3 3 2 3" xfId="3578" xr:uid="{290E77A3-3E4A-4D3A-96B4-5D6DB7B2EC57}"/>
    <cellStyle name="Normal 9 3 3 3" xfId="749" xr:uid="{00000000-0005-0000-0000-0000F9020000}"/>
    <cellStyle name="Normal 9 3 3 3 2" xfId="3682" xr:uid="{CB4E825E-B4A8-475B-A0AA-F4BEB52FB451}"/>
    <cellStyle name="Normal 9 3 3 4" xfId="3468" xr:uid="{BC85CE32-1E60-4C43-82FB-1686C623DEB3}"/>
    <cellStyle name="Normal 9 3 4" xfId="592" xr:uid="{00000000-0005-0000-0000-0000FA020000}"/>
    <cellStyle name="Normal 9 3 4 2" xfId="803" xr:uid="{00000000-0005-0000-0000-0000FB020000}"/>
    <cellStyle name="Normal 9 3 4 2 2" xfId="3735" xr:uid="{24D794C4-6AC1-4D4C-BBBC-548DD9692735}"/>
    <cellStyle name="Normal 9 3 4 3" xfId="3526" xr:uid="{459FD994-653C-4278-BD7B-262F4B58C730}"/>
    <cellStyle name="Normal 9 3 5" xfId="697" xr:uid="{00000000-0005-0000-0000-0000FC020000}"/>
    <cellStyle name="Normal 9 3 5 2" xfId="3630" xr:uid="{84A1FFC0-1ED9-40FC-967F-272A66CF1EE5}"/>
    <cellStyle name="Normal 9 3 6" xfId="2246" xr:uid="{22D0BE96-4F8F-44D9-8F54-F047A2D1D968}"/>
    <cellStyle name="Normal 9 3 7" xfId="3406" xr:uid="{A6425A6C-DDB2-4186-8125-B9099A969040}"/>
    <cellStyle name="Normal 9 4" xfId="400" xr:uid="{00000000-0005-0000-0000-0000FD020000}"/>
    <cellStyle name="Normal 9 4 2" xfId="497" xr:uid="{00000000-0005-0000-0000-0000FE020000}"/>
    <cellStyle name="Normal 9 4 2 2" xfId="653" xr:uid="{00000000-0005-0000-0000-0000FF020000}"/>
    <cellStyle name="Normal 9 4 2 2 2" xfId="864" xr:uid="{00000000-0005-0000-0000-000000030000}"/>
    <cellStyle name="Normal 9 4 2 2 2 2" xfId="3796" xr:uid="{0968C2D3-B044-485E-8306-ECC9A8E56788}"/>
    <cellStyle name="Normal 9 4 2 2 3" xfId="3587" xr:uid="{30303187-02C3-4FD6-A7D5-252B208EA388}"/>
    <cellStyle name="Normal 9 4 2 3" xfId="758" xr:uid="{00000000-0005-0000-0000-000001030000}"/>
    <cellStyle name="Normal 9 4 2 3 2" xfId="3691" xr:uid="{B71248E9-3166-4BB5-8D13-FC4D0C960F1C}"/>
    <cellStyle name="Normal 9 4 2 4" xfId="3477" xr:uid="{3690515D-9ED1-46AC-A79E-8DADD2BC11F1}"/>
    <cellStyle name="Normal 9 4 3" xfId="601" xr:uid="{00000000-0005-0000-0000-000002030000}"/>
    <cellStyle name="Normal 9 4 3 2" xfId="812" xr:uid="{00000000-0005-0000-0000-000003030000}"/>
    <cellStyle name="Normal 9 4 3 2 2" xfId="3744" xr:uid="{87175B12-2751-4F4D-84D7-D46F5F349485}"/>
    <cellStyle name="Normal 9 4 3 3" xfId="3535" xr:uid="{1A9B582F-73B5-44ED-BBF4-1239C280FFDB}"/>
    <cellStyle name="Normal 9 4 4" xfId="706" xr:uid="{00000000-0005-0000-0000-000004030000}"/>
    <cellStyle name="Normal 9 4 4 2" xfId="3639" xr:uid="{B0737F44-069F-42AF-8F1C-49BDE9E2C7C7}"/>
    <cellStyle name="Normal 9 4 5" xfId="2197" xr:uid="{F213F258-85A6-4046-9766-159BA016304C}"/>
    <cellStyle name="Normal 9 4 5 2" xfId="4688" xr:uid="{6B62FB5B-C3C2-45C4-B4B8-CE9CD55B1D6F}"/>
    <cellStyle name="Normal 9 4 6" xfId="3420" xr:uid="{513FA57B-3F3B-4D36-A513-41877D82B62E}"/>
    <cellStyle name="Normal 9 5" xfId="471" xr:uid="{00000000-0005-0000-0000-000005030000}"/>
    <cellStyle name="Normal 9 5 2" xfId="627" xr:uid="{00000000-0005-0000-0000-000006030000}"/>
    <cellStyle name="Normal 9 5 2 2" xfId="838" xr:uid="{00000000-0005-0000-0000-000007030000}"/>
    <cellStyle name="Normal 9 5 2 2 2" xfId="3770" xr:uid="{3ED8BA25-D338-4185-9E3A-7AC677B3D959}"/>
    <cellStyle name="Normal 9 5 2 3" xfId="3561" xr:uid="{CAF3910C-3C73-4B0C-9020-350BACC5BADE}"/>
    <cellStyle name="Normal 9 5 3" xfId="732" xr:uid="{00000000-0005-0000-0000-000008030000}"/>
    <cellStyle name="Normal 9 5 3 2" xfId="3665" xr:uid="{69FF6728-1514-40E2-A664-672E3DF2FADD}"/>
    <cellStyle name="Normal 9 5 4" xfId="3451" xr:uid="{D4655214-5F36-4E68-8781-E8E32FE1340F}"/>
    <cellStyle name="Normal 9 6" xfId="575" xr:uid="{00000000-0005-0000-0000-000009030000}"/>
    <cellStyle name="Normal 9 6 2" xfId="786" xr:uid="{00000000-0005-0000-0000-00000A030000}"/>
    <cellStyle name="Normal 9 6 2 2" xfId="3718" xr:uid="{00863C62-8759-4778-8D49-4844D4895836}"/>
    <cellStyle name="Normal 9 6 3" xfId="3509" xr:uid="{A4D8B3B0-444D-4748-AE1F-BDF3DEA5BFE0}"/>
    <cellStyle name="Normal 9 7" xfId="680" xr:uid="{00000000-0005-0000-0000-00000B030000}"/>
    <cellStyle name="Normal 9 7 2" xfId="3613" xr:uid="{DE222856-D0F5-48B1-B0BC-CCFFC6503D32}"/>
    <cellStyle name="Normal 9 8" xfId="1540" xr:uid="{24C5FA95-B10B-4820-A5E7-CE0B32E4875A}"/>
    <cellStyle name="Normal 9 9" xfId="3379" xr:uid="{3347AC9C-8B0B-457B-BEC0-6AAD3BD19263}"/>
    <cellStyle name="Normal_Funding Shift Table Sample" xfId="67" xr:uid="{00000000-0005-0000-0000-00000C030000}"/>
    <cellStyle name="Note" xfId="68" builtinId="10" customBuiltin="1"/>
    <cellStyle name="Note 2" xfId="186" xr:uid="{00000000-0005-0000-0000-00000E030000}"/>
    <cellStyle name="Note 2 10" xfId="1541" xr:uid="{6017623B-0087-4DF9-945F-8181E1C8AB0A}"/>
    <cellStyle name="Note 2 10 2" xfId="4128" xr:uid="{28A87D49-FC7F-409A-8E79-74A9FE841C8C}"/>
    <cellStyle name="Note 2 11" xfId="3369" xr:uid="{B33D2EA3-F76A-4F9D-BA9D-1168E78A9142}"/>
    <cellStyle name="Note 2 2" xfId="1542" xr:uid="{74101AC9-D6BB-4657-8E35-78EF3D6EBA41}"/>
    <cellStyle name="Note 2 2 2" xfId="1543" xr:uid="{610E0649-5209-48AB-9CCE-AC054EA499EA}"/>
    <cellStyle name="Note 2 2 3" xfId="2247" xr:uid="{0430E893-0B5A-4D96-8C92-CD285EA7EF6E}"/>
    <cellStyle name="Note 2 2 3 2" xfId="3083" xr:uid="{5B7C99FA-E620-4C4D-B3AE-186C2C4E0182}"/>
    <cellStyle name="Note 2 2 3 2 2" xfId="5457" xr:uid="{80A982F6-47BD-4B99-B7F6-975825BB9173}"/>
    <cellStyle name="Note 2 2 3 3" xfId="3160" xr:uid="{FC163AA7-7B1C-4FD4-9AE7-891C68D4DDF5}"/>
    <cellStyle name="Note 2 2 3 3 2" xfId="5534" xr:uid="{EC11D850-475C-4EF6-933A-B1739B981895}"/>
    <cellStyle name="Note 2 2 3 4" xfId="4714" xr:uid="{4C3D5B67-FF7E-4742-BFB4-E132B9AFF480}"/>
    <cellStyle name="Note 2 2 4" xfId="2203" xr:uid="{F90C3ADD-3E30-4BD0-A7FA-D2D581D69F1D}"/>
    <cellStyle name="Note 2 2 4 2" xfId="4693" xr:uid="{63DA5137-022A-4D04-B689-6D35D2778D84}"/>
    <cellStyle name="Note 2 2 5" xfId="3210" xr:uid="{9DB6F5A5-0373-43C7-9A9B-86074C170CC7}"/>
    <cellStyle name="Note 2 2 5 2" xfId="5584" xr:uid="{E4812A82-FCC7-493D-B6DF-53CC072396EE}"/>
    <cellStyle name="Note 2 2 6" xfId="3306" xr:uid="{F95AA93A-4B3E-4624-B879-3A93FB5584F4}"/>
    <cellStyle name="Note 2 2 6 2" xfId="5680" xr:uid="{6928B00D-57D7-42D5-9ADA-822B3EDB06EA}"/>
    <cellStyle name="Note 2 2 7" xfId="4129" xr:uid="{EE9A03A0-2B98-4609-B37C-91D293D873E2}"/>
    <cellStyle name="Note 2 3" xfId="1544" xr:uid="{0645C1D6-5AD2-46FF-BF23-2DA6F7FAB7E9}"/>
    <cellStyle name="Note 2 3 2" xfId="3289" xr:uid="{5E301530-BA99-425E-9CB3-F17ABE9B97EE}"/>
    <cellStyle name="Note 2 3 2 2" xfId="5663" xr:uid="{1596C3B2-3222-4D16-89DD-BE028F9882F6}"/>
    <cellStyle name="Note 2 3 3" xfId="3305" xr:uid="{34AB6321-F0EC-4FCD-BF44-2AA822B372C2}"/>
    <cellStyle name="Note 2 3 3 2" xfId="5679" xr:uid="{13EE637E-805C-4338-9EE1-F2274CED4EF6}"/>
    <cellStyle name="Note 2 3 4" xfId="4130" xr:uid="{04913B86-D469-42EB-86EE-081ACEA403A6}"/>
    <cellStyle name="Note 2 4" xfId="1545" xr:uid="{1EAA1B1F-EC7E-4069-A206-D4A0A88FEA78}"/>
    <cellStyle name="Note 2 5" xfId="1546" xr:uid="{EABA095D-DB2E-4DFC-91E5-1FC903C36FE5}"/>
    <cellStyle name="Note 2 6" xfId="1547" xr:uid="{90A2C7B6-CD83-45B3-9A65-C73B7D6BD6E8}"/>
    <cellStyle name="Note 2 6 2" xfId="1973" xr:uid="{2003B62F-18C8-4764-A6E5-B6AF8231496A}"/>
    <cellStyle name="Note 2 6 2 2" xfId="2811" xr:uid="{70B0806F-E723-401F-8B4B-65A8E6CC5463}"/>
    <cellStyle name="Note 2 6 2 2 2" xfId="5246" xr:uid="{7CD24403-34FD-492E-9D3E-7F6D8685EEF4}"/>
    <cellStyle name="Note 2 6 2 3" xfId="4490" xr:uid="{AAB13C91-5A28-4815-B677-7076A705DEC3}"/>
    <cellStyle name="Note 2 6 3" xfId="2564" xr:uid="{032EE847-CA45-42B4-9F0B-1622EC1C1455}"/>
    <cellStyle name="Note 2 6 3 2" xfId="4999" xr:uid="{3D36B7A3-03D1-463F-AC64-EA1CD3A9590A}"/>
    <cellStyle name="Note 2 6 4" xfId="4131" xr:uid="{2BBDD420-393A-44B0-9C7A-75B626AC9E44}"/>
    <cellStyle name="Note 2 7" xfId="1803" xr:uid="{100940DF-780D-474C-967A-FCD47220126F}"/>
    <cellStyle name="Note 2 7 2" xfId="2641" xr:uid="{24ECF1FB-E188-4C3B-B897-2B8801A7A91C}"/>
    <cellStyle name="Note 2 7 2 2" xfId="5076" xr:uid="{4B2BE97C-8CC9-43ED-BC9E-07D76FE3EC6F}"/>
    <cellStyle name="Note 2 7 3" xfId="4320" xr:uid="{E4989896-F636-4CF2-8C66-A87AD117999D}"/>
    <cellStyle name="Note 2 8" xfId="2213" xr:uid="{00CD06D3-37B7-41F8-BC9A-5C51953D146F}"/>
    <cellStyle name="Note 2 8 2" xfId="4703" xr:uid="{9DAC332C-563B-4338-878F-3A8B4DF098A8}"/>
    <cellStyle name="Note 2 9" xfId="2563" xr:uid="{699D5530-6D92-432A-942C-76A25756B943}"/>
    <cellStyle name="Note 2 9 2" xfId="4998" xr:uid="{B3FA4D67-C686-4AA9-A9C2-29D386C6CA81}"/>
    <cellStyle name="Note 3" xfId="232" xr:uid="{00000000-0005-0000-0000-00000F030000}"/>
    <cellStyle name="Note 3 2" xfId="2968" xr:uid="{4A229F60-125B-4B8B-A7CE-A088A18AAFA5}"/>
    <cellStyle name="Note 3 2 2" xfId="5403" xr:uid="{F12FD567-A71F-4AE8-A6A9-17AE71B6EA8F}"/>
    <cellStyle name="Note 3 3" xfId="2130" xr:uid="{1A1B6121-D8F8-47C7-A8E2-14D921387F04}"/>
    <cellStyle name="Note 3 3 2" xfId="4647" xr:uid="{0D8B4CF8-6895-44BE-959A-F2EA42CA7A35}"/>
    <cellStyle name="Note 3 4" xfId="3375" xr:uid="{31628E5C-CB82-4707-96B5-B9843368ED39}"/>
    <cellStyle name="Note 4" xfId="278" xr:uid="{00000000-0005-0000-0000-000010030000}"/>
    <cellStyle name="Note 4 2" xfId="2159" xr:uid="{DE8DFE35-9B4C-461A-9270-8ECAFEE000C9}"/>
    <cellStyle name="Note 4 2 2" xfId="4660" xr:uid="{69A4029C-5F16-477A-9912-26FA212D48B3}"/>
    <cellStyle name="Note 4 3" xfId="3382" xr:uid="{95846E07-7F97-4E10-A014-EF5834578C30}"/>
    <cellStyle name="Note 5" xfId="327" xr:uid="{00000000-0005-0000-0000-000011030000}"/>
    <cellStyle name="Note 5 2" xfId="2173" xr:uid="{2274DBE0-5402-4F9D-A085-23875B90B9BB}"/>
    <cellStyle name="Note 5 2 2" xfId="4674" xr:uid="{D6D703A9-0112-4A92-A259-17077F883674}"/>
    <cellStyle name="Note 5 3" xfId="3391" xr:uid="{239F1857-685F-46E5-BEDA-285BB0EFCE41}"/>
    <cellStyle name="Note 6" xfId="391" xr:uid="{00000000-0005-0000-0000-000012030000}"/>
    <cellStyle name="Note 6 2" xfId="3041" xr:uid="{3F6746C8-F563-4E56-9BBA-CB064F8F92AE}"/>
    <cellStyle name="Note 6 2 2" xfId="5416" xr:uid="{D4B5EA21-2747-43B6-97F5-7203D3581C19}"/>
    <cellStyle name="Note 6 3" xfId="3414" xr:uid="{1536D08F-8F1B-48E7-9880-B20AE838BDB2}"/>
    <cellStyle name="Note 7" xfId="462" xr:uid="{00000000-0005-0000-0000-000013030000}"/>
    <cellStyle name="Note 7 2" xfId="2283" xr:uid="{111DE793-311B-421A-AD6B-DAAD01151306}"/>
    <cellStyle name="Note 7 2 2" xfId="4718" xr:uid="{8EB83275-1F12-4407-83F5-9A48F133C009}"/>
    <cellStyle name="Note 7 3" xfId="3445" xr:uid="{A70D53B6-81EC-46B1-9606-A04D9A549B31}"/>
    <cellStyle name="Note 8" xfId="566" xr:uid="{00000000-0005-0000-0000-000014030000}"/>
    <cellStyle name="Note 8 2" xfId="3503" xr:uid="{1D63B326-ED04-4CAA-945E-F855D7E9DE13}"/>
    <cellStyle name="Note 9" xfId="3316" xr:uid="{A57DF1FF-9DF2-440F-80B0-D90D0746E7BA}"/>
    <cellStyle name="Output" xfId="69" builtinId="21" customBuiltin="1"/>
    <cellStyle name="Output 10" xfId="3317" xr:uid="{CBB1D51C-4A51-4533-8B54-4A9CB8BD2961}"/>
    <cellStyle name="Output 2" xfId="187" xr:uid="{00000000-0005-0000-0000-000016030000}"/>
    <cellStyle name="Output 2 2" xfId="1549" xr:uid="{12332D61-2B52-4831-BDEB-9EB7A1EC4913}"/>
    <cellStyle name="Output 2 2 2" xfId="3082" xr:uid="{DCDC1C11-96FD-4E91-BF2E-D2719E759957}"/>
    <cellStyle name="Output 2 2 2 2" xfId="5456" xr:uid="{D4C744B8-4F27-4527-A920-636BC4162EF9}"/>
    <cellStyle name="Output 2 2 3" xfId="3134" xr:uid="{5B15CAFE-0139-4819-9FB4-2EB9BE49E2F3}"/>
    <cellStyle name="Output 2 2 3 2" xfId="5508" xr:uid="{AE2D56D2-ABCD-48ED-A9A2-35203977C317}"/>
    <cellStyle name="Output 2 2 4" xfId="4133" xr:uid="{DE94FC5B-F13D-44D4-8896-FF53222D5A50}"/>
    <cellStyle name="Output 2 3" xfId="3140" xr:uid="{4C75D20A-9A0C-4A20-85E5-76A759550F36}"/>
    <cellStyle name="Output 2 3 2" xfId="5514" xr:uid="{00AF7FC9-8CF7-4F06-B373-CD30B61A0713}"/>
    <cellStyle name="Output 2 4" xfId="3304" xr:uid="{46995F99-A8C1-4C47-8966-B59D09B1C165}"/>
    <cellStyle name="Output 2 4 2" xfId="5678" xr:uid="{9A5F289F-551B-4BDC-BA59-296E69B92F20}"/>
    <cellStyle name="Output 2 5" xfId="1548" xr:uid="{32837C36-1F56-484A-85CA-6C75B2E2C5DD}"/>
    <cellStyle name="Output 2 5 2" xfId="4132" xr:uid="{16A3633F-F7B1-47B2-AE62-140AA808AB4E}"/>
    <cellStyle name="Output 2 6" xfId="3370" xr:uid="{BAE2167A-AC6B-4DCE-9D82-0F4FC361A60A}"/>
    <cellStyle name="Output 3" xfId="233" xr:uid="{00000000-0005-0000-0000-000017030000}"/>
    <cellStyle name="Output 3 2" xfId="3376" xr:uid="{59AA6366-B6A4-4AE3-A2C4-EB8B910AAB39}"/>
    <cellStyle name="Output 4" xfId="279" xr:uid="{00000000-0005-0000-0000-000018030000}"/>
    <cellStyle name="Output 4 2" xfId="3383" xr:uid="{054C86AC-3002-4984-B767-C6634A32A54F}"/>
    <cellStyle name="Output 5" xfId="328" xr:uid="{00000000-0005-0000-0000-000019030000}"/>
    <cellStyle name="Output 5 2" xfId="3392" xr:uid="{18B54599-EA6F-4DD0-9DE9-C6DF2888D5FB}"/>
    <cellStyle name="Output 6" xfId="392" xr:uid="{00000000-0005-0000-0000-00001A030000}"/>
    <cellStyle name="Output 6 2" xfId="3415" xr:uid="{DB5398E8-DC74-4FAA-B14E-551D74CC7465}"/>
    <cellStyle name="Output 7" xfId="463" xr:uid="{00000000-0005-0000-0000-00001B030000}"/>
    <cellStyle name="Output 7 2" xfId="3446" xr:uid="{7432EEE5-A8D1-4FFB-970F-3DB4B67CB586}"/>
    <cellStyle name="Output 8" xfId="567" xr:uid="{00000000-0005-0000-0000-00001C030000}"/>
    <cellStyle name="Output 8 2" xfId="3504" xr:uid="{19D0B7CE-8134-4C7F-ACFD-CB6AE30E9BC6}"/>
    <cellStyle name="Output 9" xfId="987" xr:uid="{11AA6DC3-C581-4351-9A44-4F69B969AE09}"/>
    <cellStyle name="Percent" xfId="145" builtinId="5"/>
    <cellStyle name="Percent 10" xfId="1550" xr:uid="{D4DAB724-0A52-4A8E-AE02-61CB1B942485}"/>
    <cellStyle name="Percent 11" xfId="1551" xr:uid="{96C15CF8-9C43-4056-94B3-8007305697BC}"/>
    <cellStyle name="Percent 12" xfId="1552" xr:uid="{1C3DFD2B-827F-43B9-8799-31539230043D}"/>
    <cellStyle name="Percent 12 2" xfId="1553" xr:uid="{496127BC-A9D3-4B0E-AEBB-CEE4CAA1E761}"/>
    <cellStyle name="Percent 12 2 2" xfId="1554" xr:uid="{73CBFB8B-5066-4512-973B-651C955D8747}"/>
    <cellStyle name="Percent 12 3" xfId="1555" xr:uid="{B8DAE92C-771A-4418-BA20-0CE3A19594EF}"/>
    <cellStyle name="Percent 13" xfId="1556" xr:uid="{093453F1-3FDC-438B-8AA2-BD42B6A050FC}"/>
    <cellStyle name="Percent 13 2" xfId="1557" xr:uid="{BCE45CC4-3FF4-4087-90A4-D325958D9BBE}"/>
    <cellStyle name="Percent 14" xfId="1558" xr:uid="{088413F3-70D5-4434-9375-DCB005C2F4EF}"/>
    <cellStyle name="Percent 14 2" xfId="1559" xr:uid="{D4C252CE-DDE7-4F90-94BE-16757D141604}"/>
    <cellStyle name="Percent 15" xfId="1560" xr:uid="{F1DE624D-A2A7-4BB8-AF86-3F9E6ABB79D4}"/>
    <cellStyle name="Percent 15 2" xfId="1561" xr:uid="{98EBE407-CDCA-44BF-BBBB-9D9E5E5FD5A0}"/>
    <cellStyle name="Percent 16" xfId="1562" xr:uid="{6A4B7953-9EAE-4C67-8D25-388C24756C53}"/>
    <cellStyle name="Percent 16 2" xfId="1563" xr:uid="{76D0A8B6-D0C6-4C89-84D9-8C5A29DCACB8}"/>
    <cellStyle name="Percent 17" xfId="1564" xr:uid="{264B25C4-BDB1-4AEA-BE63-820037100440}"/>
    <cellStyle name="Percent 18" xfId="1565" xr:uid="{B3E59EF5-A9CF-434F-BB45-B44AAB034452}"/>
    <cellStyle name="Percent 2" xfId="70" xr:uid="{00000000-0005-0000-0000-00001E030000}"/>
    <cellStyle name="Percent 2 2" xfId="71" xr:uid="{00000000-0005-0000-0000-00001F030000}"/>
    <cellStyle name="Percent 2 2 2" xfId="1566" xr:uid="{3BB80B32-5647-4806-A86B-AC6DD6AACD7E}"/>
    <cellStyle name="Percent 2 2 3" xfId="1567" xr:uid="{3140239D-B432-4886-9633-66EEC9D1FA66}"/>
    <cellStyle name="Percent 2 2 4" xfId="1568" xr:uid="{341C110B-7E75-40E8-B154-D43BF167E460}"/>
    <cellStyle name="Percent 2 3" xfId="1569" xr:uid="{42F3B543-A991-431F-827E-CE56533D98F1}"/>
    <cellStyle name="Percent 2 3 2" xfId="1570" xr:uid="{1762FFA0-0BC1-4D99-A42C-1236A45D2EFD}"/>
    <cellStyle name="Percent 2 3 2 2" xfId="1571" xr:uid="{C79EB223-5805-426C-BB35-7706E5F7597B}"/>
    <cellStyle name="Percent 2 3 3" xfId="1572" xr:uid="{14113FDF-0D0A-4991-87B9-61C0A751C36B}"/>
    <cellStyle name="Percent 2 3 3 2" xfId="1573" xr:uid="{296DB058-A12A-4D86-BCD4-6A01A94CF388}"/>
    <cellStyle name="Percent 2 4" xfId="1574" xr:uid="{FCB857C3-51DD-4BEB-9E4A-1A73B4A2C531}"/>
    <cellStyle name="Percent 2 5" xfId="1575" xr:uid="{BCF03A6B-E5C7-44CA-AD3D-01456C3F2080}"/>
    <cellStyle name="Percent 2 6" xfId="1576" xr:uid="{3EFA2C8F-4E21-4BC9-B66E-B994FF7AB4FD}"/>
    <cellStyle name="Percent 2 7" xfId="1577" xr:uid="{6CFF4594-FD1E-46BC-BC49-74118D216CDB}"/>
    <cellStyle name="Percent 3" xfId="191" xr:uid="{00000000-0005-0000-0000-000020030000}"/>
    <cellStyle name="Percent 3 10" xfId="2565" xr:uid="{C78B9181-CB62-4D64-B701-D49EE1F9C918}"/>
    <cellStyle name="Percent 3 10 2" xfId="5000" xr:uid="{3CDC7995-77B5-49DC-B5AB-04AE36380683}"/>
    <cellStyle name="Percent 3 11" xfId="1578" xr:uid="{B88823E0-EA18-4E24-9830-B3B396632CA9}"/>
    <cellStyle name="Percent 3 11 2" xfId="4134" xr:uid="{54537BF8-1E4F-473C-A877-EB3085990C35}"/>
    <cellStyle name="Percent 3 2" xfId="1579" xr:uid="{999F96B5-2D6E-41B4-9734-419FAB92BD08}"/>
    <cellStyle name="Percent 3 3" xfId="1580" xr:uid="{2402D017-3F67-4BEB-B220-B9D90D240FBF}"/>
    <cellStyle name="Percent 3 4" xfId="1581" xr:uid="{E67718D6-67A6-4F3A-9DB3-4927D2C9BCAE}"/>
    <cellStyle name="Percent 3 5" xfId="1582" xr:uid="{4899E5ED-BC0C-408D-8CF5-7EB4169D4511}"/>
    <cellStyle name="Percent 3 6" xfId="1583" xr:uid="{0A25B061-394A-4B6F-8AED-4E869DB1CB9E}"/>
    <cellStyle name="Percent 3 7" xfId="1584" xr:uid="{0A63A3A5-9DBA-46BB-B317-E2274C733E7A}"/>
    <cellStyle name="Percent 3 7 2" xfId="1976" xr:uid="{92B89357-DFC8-4944-A889-0C99E39A4CCE}"/>
    <cellStyle name="Percent 3 7 2 2" xfId="2814" xr:uid="{EB7CC9A9-80E7-407E-A512-D5B423597609}"/>
    <cellStyle name="Percent 3 7 2 2 2" xfId="5249" xr:uid="{BA5286C2-C26E-45D0-9B67-8EDA42308595}"/>
    <cellStyle name="Percent 3 7 2 3" xfId="4493" xr:uid="{F9453441-6C11-4430-B033-5B0C4814E830}"/>
    <cellStyle name="Percent 3 7 3" xfId="2566" xr:uid="{31451742-7DC6-435C-B8B5-0303B32A3B89}"/>
    <cellStyle name="Percent 3 7 3 2" xfId="5001" xr:uid="{4059C6FB-9602-4D2C-A5F0-527EC38031B0}"/>
    <cellStyle name="Percent 3 7 4" xfId="4135" xr:uid="{5406BE76-76F4-4525-B47C-1F2AF98C990C}"/>
    <cellStyle name="Percent 3 8" xfId="1806" xr:uid="{20162927-A4C9-4D3E-BAC6-B316ADBBD940}"/>
    <cellStyle name="Percent 3 8 2" xfId="2644" xr:uid="{893CFA10-C85B-43C7-B2EA-6520240172C9}"/>
    <cellStyle name="Percent 3 8 2 2" xfId="5079" xr:uid="{E46F3D6C-6071-4543-BFDD-596224B7EF33}"/>
    <cellStyle name="Percent 3 8 3" xfId="4323" xr:uid="{F7E19EFC-333A-497F-A843-11FD33B6E3CB}"/>
    <cellStyle name="Percent 3 9" xfId="2215" xr:uid="{DEB76B9B-C753-4465-B22D-0DFE2C6F6013}"/>
    <cellStyle name="Percent 3 9 2" xfId="4705" xr:uid="{9E070AE3-5D4C-45F8-89D9-A29E4DF486ED}"/>
    <cellStyle name="Percent 4" xfId="237" xr:uid="{00000000-0005-0000-0000-000021030000}"/>
    <cellStyle name="Percent 4 2" xfId="1586" xr:uid="{E845FFA4-9F7A-4B13-A76E-E1DA8DDB8BF0}"/>
    <cellStyle name="Percent 4 3" xfId="1587" xr:uid="{65A582C6-7ABD-4D83-A7D2-DB14811CF821}"/>
    <cellStyle name="Percent 4 3 2" xfId="1588" xr:uid="{88B2A3E9-270C-4E66-A923-27A996B2E20C}"/>
    <cellStyle name="Percent 4 4" xfId="1589" xr:uid="{2A3ED891-65B2-4ABD-AA44-53F2E393EEE0}"/>
    <cellStyle name="Percent 4 5" xfId="1585" xr:uid="{A7C45049-355A-4F2B-94DF-3A477E616705}"/>
    <cellStyle name="Percent 5" xfId="283" xr:uid="{00000000-0005-0000-0000-000022030000}"/>
    <cellStyle name="Percent 5 2" xfId="1591" xr:uid="{1047F16F-B11C-42DF-B940-B3DD631E10F7}"/>
    <cellStyle name="Percent 5 3" xfId="1590" xr:uid="{86EDFBF1-C033-44B2-B06D-D72CF190409F}"/>
    <cellStyle name="Percent 6" xfId="332" xr:uid="{00000000-0005-0000-0000-000023030000}"/>
    <cellStyle name="Percent 6 2" xfId="1592" xr:uid="{4BE2B2F8-FDD8-43D9-8E57-A5FB435B64DC}"/>
    <cellStyle name="Percent 7" xfId="396" xr:uid="{00000000-0005-0000-0000-000024030000}"/>
    <cellStyle name="Percent 7 2" xfId="1593" xr:uid="{B81E2ED5-C055-4176-BA1D-50A910B3D2A3}"/>
    <cellStyle name="Percent 8" xfId="467" xr:uid="{00000000-0005-0000-0000-000025030000}"/>
    <cellStyle name="Percent 8 2" xfId="1594" xr:uid="{B4D578DB-71B3-4788-988D-28411C0B2491}"/>
    <cellStyle name="Percent 9" xfId="571" xr:uid="{00000000-0005-0000-0000-000026030000}"/>
    <cellStyle name="Percent 9 2" xfId="1595" xr:uid="{B103B797-D880-487F-B144-E6FF9F61D911}"/>
    <cellStyle name="Percent 9 2 2" xfId="1596" xr:uid="{1723523E-9338-4974-B02A-FD6AC26F7DEF}"/>
    <cellStyle name="Percent 9 3" xfId="1597" xr:uid="{18F2D73E-10B7-4342-AB35-9BA5E880F549}"/>
    <cellStyle name="SAPBEXaggData" xfId="72" xr:uid="{00000000-0005-0000-0000-000027030000}"/>
    <cellStyle name="SAPBEXaggData 2" xfId="1599" xr:uid="{8246A67F-2A2E-4183-A796-E0211397F995}"/>
    <cellStyle name="SAPBEXaggData 2 2" xfId="1600" xr:uid="{D598F2F7-2BC3-4315-B0EA-FB2B2CB63970}"/>
    <cellStyle name="SAPBEXaggData 2 2 2" xfId="1601" xr:uid="{A928C33D-E4B1-4272-A26E-29EAD33D305B}"/>
    <cellStyle name="SAPBEXaggData 2 2 2 2" xfId="3110" xr:uid="{F00A338C-4D75-4652-B483-FB53E17E402C}"/>
    <cellStyle name="SAPBEXaggData 2 2 2 2 2" xfId="5484" xr:uid="{DBE70EDC-47E1-4687-9061-BBE5C4816D37}"/>
    <cellStyle name="SAPBEXaggData 2 2 2 3" xfId="3191" xr:uid="{52A4C16A-2013-4D9A-A647-047877D1DE65}"/>
    <cellStyle name="SAPBEXaggData 2 2 2 3 2" xfId="5565" xr:uid="{BFBB723A-B761-4FFE-928A-2E3C443D2683}"/>
    <cellStyle name="SAPBEXaggData 2 2 2 4" xfId="4139" xr:uid="{4F266409-3C0E-454B-B0D6-B8F29F36B483}"/>
    <cellStyle name="SAPBEXaggData 2 2 3" xfId="3070" xr:uid="{13B672F4-90F9-412C-BD17-1BA21522297F}"/>
    <cellStyle name="SAPBEXaggData 2 2 3 2" xfId="5444" xr:uid="{65192020-07B6-4D1D-A72D-525C54A91E20}"/>
    <cellStyle name="SAPBEXaggData 2 2 4" xfId="3103" xr:uid="{DF52D1D5-9E00-4C7E-8FEF-C0C6E9D7BEF9}"/>
    <cellStyle name="SAPBEXaggData 2 2 4 2" xfId="5477" xr:uid="{F483D353-B1BB-4EF3-BB8A-ECF612A0E987}"/>
    <cellStyle name="SAPBEXaggData 2 2 5" xfId="4138" xr:uid="{EB642C2F-5076-477A-97E5-47B9DFDEE99E}"/>
    <cellStyle name="SAPBEXaggData 2 3" xfId="1602" xr:uid="{500FFBCD-24C1-458B-9F59-B59DAF1DAE96}"/>
    <cellStyle name="SAPBEXaggData 2 3 2" xfId="3273" xr:uid="{F4229EF9-3DD2-4F90-8C8C-90C0CDEBFD49}"/>
    <cellStyle name="SAPBEXaggData 2 3 2 2" xfId="5647" xr:uid="{7009EA8F-71D5-4055-85C3-6C2F63768DF9}"/>
    <cellStyle name="SAPBEXaggData 2 3 3" xfId="3293" xr:uid="{6BB1E32A-778B-4B86-8D88-B9C2B0D402CA}"/>
    <cellStyle name="SAPBEXaggData 2 3 3 2" xfId="5667" xr:uid="{F2B05211-4A1B-4136-BDEC-DCD9D6CF7C4E}"/>
    <cellStyle name="SAPBEXaggData 2 3 4" xfId="4140" xr:uid="{D9DA38A4-E8CC-43CD-A684-79178C3A5A46}"/>
    <cellStyle name="SAPBEXaggData 2 4" xfId="3287" xr:uid="{6CFF288F-39BB-434A-8C98-2805E73512EE}"/>
    <cellStyle name="SAPBEXaggData 2 4 2" xfId="5661" xr:uid="{DEAAA1D5-1179-4A19-8CCB-201A61EE22AB}"/>
    <cellStyle name="SAPBEXaggData 2 5" xfId="3206" xr:uid="{644FED61-BA6B-4A5E-AA33-6205814F5D8F}"/>
    <cellStyle name="SAPBEXaggData 2 5 2" xfId="5580" xr:uid="{9DBDE194-0D4B-4B47-A15A-093BFABE871B}"/>
    <cellStyle name="SAPBEXaggData 2 6" xfId="4137" xr:uid="{023123F2-D554-413C-984E-644933CF42A0}"/>
    <cellStyle name="SAPBEXaggData 3" xfId="3245" xr:uid="{728242AD-8B5D-4E50-BBB5-B065C83FF2EE}"/>
    <cellStyle name="SAPBEXaggData 3 2" xfId="5619" xr:uid="{84766C5C-B799-45B9-8F0A-9F842BA30F89}"/>
    <cellStyle name="SAPBEXaggData 4" xfId="3201" xr:uid="{A77C71DD-4570-4BAC-9C05-724CB39E2C5E}"/>
    <cellStyle name="SAPBEXaggData 4 2" xfId="5575" xr:uid="{1A6B2210-328F-4D79-A842-641DFC43E3FA}"/>
    <cellStyle name="SAPBEXaggData 5" xfId="1598" xr:uid="{E1FF5564-FEF7-4C2A-9B27-BBAE215AFEFF}"/>
    <cellStyle name="SAPBEXaggData 5 2" xfId="4136" xr:uid="{F7A6A2A7-C3E2-4725-AE5C-6736EB5069F5}"/>
    <cellStyle name="SAPBEXaggData 6" xfId="3318" xr:uid="{A1A3278E-9E35-4E74-9D0D-25C38B42A77C}"/>
    <cellStyle name="SAPBEXaggDataEmph" xfId="73" xr:uid="{00000000-0005-0000-0000-000028030000}"/>
    <cellStyle name="SAPBEXaggDataEmph 2" xfId="1604" xr:uid="{C041ED9C-9F28-4468-B5C1-72D22BA10D02}"/>
    <cellStyle name="SAPBEXaggDataEmph 2 2" xfId="3190" xr:uid="{C46E27BB-C29E-48C2-868A-A6DAA4F6D3C0}"/>
    <cellStyle name="SAPBEXaggDataEmph 2 2 2" xfId="5564" xr:uid="{844CB2D9-1EE6-4817-BB36-D769C731DFF0}"/>
    <cellStyle name="SAPBEXaggDataEmph 2 3" xfId="3192" xr:uid="{28E75EBD-981B-4129-AF7C-B29C2D926D14}"/>
    <cellStyle name="SAPBEXaggDataEmph 2 3 2" xfId="5566" xr:uid="{F97D6117-ABE4-4BAF-B5F7-AB2499AB0109}"/>
    <cellStyle name="SAPBEXaggDataEmph 2 4" xfId="4142" xr:uid="{0DC72068-C25E-4E3C-9251-6C15159176D7}"/>
    <cellStyle name="SAPBEXaggDataEmph 3" xfId="3099" xr:uid="{C7C2DC3E-DA4E-49E4-B079-0049D0BC31C3}"/>
    <cellStyle name="SAPBEXaggDataEmph 3 2" xfId="5473" xr:uid="{A73ECF67-2D64-4138-B95C-A4086A07E8DB}"/>
    <cellStyle name="SAPBEXaggDataEmph 4" xfId="3049" xr:uid="{7BA57EA1-81D4-4E58-8420-89E45FC00D4D}"/>
    <cellStyle name="SAPBEXaggDataEmph 4 2" xfId="5423" xr:uid="{011434C3-E39E-441B-BB67-47F30F550629}"/>
    <cellStyle name="SAPBEXaggDataEmph 5" xfId="1603" xr:uid="{881C820C-6178-48F3-8E60-54F1F6C97600}"/>
    <cellStyle name="SAPBEXaggDataEmph 5 2" xfId="4141" xr:uid="{0F7DEEB8-A957-4B2A-B49F-EE0767B7FD5E}"/>
    <cellStyle name="SAPBEXaggDataEmph 6" xfId="3319" xr:uid="{46A96FB7-8A79-4D24-8975-823AC9262E59}"/>
    <cellStyle name="SAPBEXaggItem" xfId="74" xr:uid="{00000000-0005-0000-0000-000029030000}"/>
    <cellStyle name="SAPBEXaggItem 2" xfId="1606" xr:uid="{7BFCD200-A5E0-4675-ACF8-F6B9DA2DE596}"/>
    <cellStyle name="SAPBEXaggItem 2 2" xfId="1607" xr:uid="{E655ACAC-0E18-4853-A15C-1BC8852DACB6}"/>
    <cellStyle name="SAPBEXaggItem 2 2 2" xfId="3195" xr:uid="{42BED1E7-B47C-4E0F-A1FB-F12223F5957D}"/>
    <cellStyle name="SAPBEXaggItem 2 2 2 2" xfId="5569" xr:uid="{DBE799E3-ADBC-4E79-BA70-C050A26E8879}"/>
    <cellStyle name="SAPBEXaggItem 2 2 3" xfId="3275" xr:uid="{52BC7399-2DCD-43D4-96B1-2DD8659D8774}"/>
    <cellStyle name="SAPBEXaggItem 2 2 3 2" xfId="5649" xr:uid="{E420124E-4610-4233-8B29-59EDF2680EB2}"/>
    <cellStyle name="SAPBEXaggItem 2 2 4" xfId="4145" xr:uid="{5C29070E-F1E8-490C-8847-3F8DF5547EEF}"/>
    <cellStyle name="SAPBEXaggItem 2 3" xfId="1608" xr:uid="{0D70B0D1-0AB2-4DCD-BBBD-EEF863038142}"/>
    <cellStyle name="SAPBEXaggItem 2 3 2" xfId="3119" xr:uid="{96313354-8F6E-4030-A465-08A04381CA26}"/>
    <cellStyle name="SAPBEXaggItem 2 3 2 2" xfId="5493" xr:uid="{FA8070C6-6E1B-4F25-AE36-17DEAA1350BB}"/>
    <cellStyle name="SAPBEXaggItem 2 3 3" xfId="3218" xr:uid="{52A69C1D-CF43-4B46-AE33-262E1E8B76AB}"/>
    <cellStyle name="SAPBEXaggItem 2 3 3 2" xfId="5592" xr:uid="{29D4EF10-01B4-43F7-81D5-5B10C58610FC}"/>
    <cellStyle name="SAPBEXaggItem 2 3 4" xfId="4146" xr:uid="{1C368E5E-B80E-42CE-A288-3FDA046728A1}"/>
    <cellStyle name="SAPBEXaggItem 2 4" xfId="3286" xr:uid="{90EB2062-5725-4275-9176-EA15E68E4BD0}"/>
    <cellStyle name="SAPBEXaggItem 2 4 2" xfId="5660" xr:uid="{FA9EE14D-2338-4AE3-AA21-DB940E6ED584}"/>
    <cellStyle name="SAPBEXaggItem 2 5" xfId="3288" xr:uid="{6146BE98-F930-40D7-83DD-818D855143CE}"/>
    <cellStyle name="SAPBEXaggItem 2 5 2" xfId="5662" xr:uid="{8B3F4782-086B-479B-BAEA-3420964B4F35}"/>
    <cellStyle name="SAPBEXaggItem 2 6" xfId="4144" xr:uid="{9D1AC21F-57AB-485F-B393-25A843DF3014}"/>
    <cellStyle name="SAPBEXaggItem 3" xfId="3128" xr:uid="{832246E8-D2F0-4761-9E6F-60BDD76BE216}"/>
    <cellStyle name="SAPBEXaggItem 3 2" xfId="5502" xr:uid="{B57EF528-8F46-41E2-A79D-6C9E289E450D}"/>
    <cellStyle name="SAPBEXaggItem 4" xfId="3126" xr:uid="{F26EE3E6-78C9-4121-AE8A-C4A698B326F1}"/>
    <cellStyle name="SAPBEXaggItem 4 2" xfId="5500" xr:uid="{973FFD63-A2BF-457D-B5FA-7A55097211B9}"/>
    <cellStyle name="SAPBEXaggItem 5" xfId="1605" xr:uid="{56610863-AF68-4AE6-BF11-A4BD265899BB}"/>
    <cellStyle name="SAPBEXaggItem 5 2" xfId="4143" xr:uid="{CA9C29E7-39D9-452F-9A08-5888D95BF865}"/>
    <cellStyle name="SAPBEXaggItem 6" xfId="3320" xr:uid="{6545D050-61C3-41DF-BAD4-880E28702F82}"/>
    <cellStyle name="SAPBEXaggItemX" xfId="75" xr:uid="{00000000-0005-0000-0000-00002A030000}"/>
    <cellStyle name="SAPBEXaggItemX 2" xfId="925" xr:uid="{94140530-6253-443E-BEEF-2F6537F93C3D}"/>
    <cellStyle name="SAPBEXaggItemX 2 2" xfId="3059" xr:uid="{E1E2A984-7B7E-4BF0-914F-0E0475E4691D}"/>
    <cellStyle name="SAPBEXaggItemX 2 2 2" xfId="5433" xr:uid="{E0C5529B-3CE8-4559-9B41-9C76E399B148}"/>
    <cellStyle name="SAPBEXaggItemX 2 3" xfId="3292" xr:uid="{8C7FE456-BCBD-40C2-9D1E-07210A2B7076}"/>
    <cellStyle name="SAPBEXaggItemX 2 3 2" xfId="5666" xr:uid="{A805003E-4087-4830-B8EA-9CA32375D000}"/>
    <cellStyle name="SAPBEXaggItemX 2 4" xfId="1610" xr:uid="{79F2AB99-60C5-4453-812C-D9484583766E}"/>
    <cellStyle name="SAPBEXaggItemX 2 4 2" xfId="4148" xr:uid="{B0F65E54-90AE-4EBC-B81E-2A8963630F80}"/>
    <cellStyle name="SAPBEXaggItemX 2 5" xfId="3829" xr:uid="{4B00D63F-371D-4C3A-B16B-3B5E2D0DB7EB}"/>
    <cellStyle name="SAPBEXaggItemX 3" xfId="3256" xr:uid="{BEAAB0CF-0165-445B-ACC7-D34A21FE21D0}"/>
    <cellStyle name="SAPBEXaggItemX 3 2" xfId="5630" xr:uid="{45AF94A7-A16A-4178-9C6D-52F05B31EE56}"/>
    <cellStyle name="SAPBEXaggItemX 4" xfId="3055" xr:uid="{A311F2D3-7405-4FC7-B9CA-0078AD4F458D}"/>
    <cellStyle name="SAPBEXaggItemX 4 2" xfId="5429" xr:uid="{3B8F74AF-85B7-4747-993A-11DAA99F0030}"/>
    <cellStyle name="SAPBEXaggItemX 5" xfId="1609" xr:uid="{FF30BE45-0C67-4CD2-9708-14B84A38B8C2}"/>
    <cellStyle name="SAPBEXaggItemX 5 2" xfId="4147" xr:uid="{CF56A25A-D487-49EA-9176-70A567EDAA9A}"/>
    <cellStyle name="SAPBEXaggItemX 6" xfId="3321" xr:uid="{C764CD59-E567-4474-95F6-6FB115264233}"/>
    <cellStyle name="SAPBEXchaText" xfId="76" xr:uid="{00000000-0005-0000-0000-00002B030000}"/>
    <cellStyle name="SAPBEXchaText 2" xfId="1612" xr:uid="{84FB8BC1-2706-46F0-A936-B722561534E7}"/>
    <cellStyle name="SAPBEXchaText 2 2" xfId="1613" xr:uid="{D21F7AEE-D36A-4319-ACC4-58BC7C887E37}"/>
    <cellStyle name="SAPBEXchaText 2 2 2" xfId="3089" xr:uid="{7AE4E3BE-5910-4127-8673-A5C841D7D275}"/>
    <cellStyle name="SAPBEXchaText 2 2 2 2" xfId="5463" xr:uid="{77D4952D-97AD-4E5C-9A91-CCD344A2CFBC}"/>
    <cellStyle name="SAPBEXchaText 2 2 3" xfId="3149" xr:uid="{18AE778D-965A-4980-9673-7706BC315CC5}"/>
    <cellStyle name="SAPBEXchaText 2 2 3 2" xfId="5523" xr:uid="{F9ADA6E4-4AA7-49B2-B814-247486CEF7D9}"/>
    <cellStyle name="SAPBEXchaText 2 2 4" xfId="4151" xr:uid="{8EE5AA18-5DC0-47E7-B707-AD76953C8CF0}"/>
    <cellStyle name="SAPBEXchaText 2 3" xfId="1614" xr:uid="{8FFE5D26-7913-4563-8BE2-5527E54DD550}"/>
    <cellStyle name="SAPBEXchaText 2 3 2" xfId="3177" xr:uid="{33E7CD87-A4DB-466A-9CAC-C5297343D0DD}"/>
    <cellStyle name="SAPBEXchaText 2 3 2 2" xfId="5551" xr:uid="{867AD6F0-1A2B-4DA2-A081-F51D36FF9367}"/>
    <cellStyle name="SAPBEXchaText 2 3 3" xfId="3135" xr:uid="{9A8C1388-A755-45A6-912B-457B4D74FAF8}"/>
    <cellStyle name="SAPBEXchaText 2 3 3 2" xfId="5509" xr:uid="{FD04C7DC-A1F2-4BA0-9128-44A4F88A1457}"/>
    <cellStyle name="SAPBEXchaText 2 3 4" xfId="4152" xr:uid="{09FABA00-C27F-42D7-A19B-14BA5800A1D4}"/>
    <cellStyle name="SAPBEXchaText 2 4" xfId="3183" xr:uid="{2B17602C-0541-4D71-94D4-150C8794DA3D}"/>
    <cellStyle name="SAPBEXchaText 2 4 2" xfId="5557" xr:uid="{6AF9C5DC-8C15-4A69-AB35-07BE80B27894}"/>
    <cellStyle name="SAPBEXchaText 2 5" xfId="3166" xr:uid="{39AEFDB2-3B1C-4232-A2C4-572257BD3634}"/>
    <cellStyle name="SAPBEXchaText 2 5 2" xfId="5540" xr:uid="{4D538514-9A55-49D0-8797-7503CCA045FE}"/>
    <cellStyle name="SAPBEXchaText 2 6" xfId="4150" xr:uid="{B1F53302-C89F-41DB-A6A2-3CE5DFECC3CC}"/>
    <cellStyle name="SAPBEXchaText 3" xfId="3200" xr:uid="{98A03DA7-1924-4C0F-8EB3-A9254319D46B}"/>
    <cellStyle name="SAPBEXchaText 3 2" xfId="5574" xr:uid="{311822A1-E793-4B88-BDF9-827BC9709DC1}"/>
    <cellStyle name="SAPBEXchaText 4" xfId="3153" xr:uid="{06A7AF2E-BCE0-4615-BAF0-79F94D6EC11B}"/>
    <cellStyle name="SAPBEXchaText 4 2" xfId="5527" xr:uid="{7AE3AE90-87E4-40B3-B6E6-00B248463BB5}"/>
    <cellStyle name="SAPBEXchaText 5" xfId="1611" xr:uid="{A97E2B4A-7B68-4429-9D31-5E2783B1DFCD}"/>
    <cellStyle name="SAPBEXchaText 5 2" xfId="4149" xr:uid="{15A715FD-D5C5-444B-8AC9-394851DA9B05}"/>
    <cellStyle name="SAPBEXchaText_BW Data" xfId="1615" xr:uid="{7FFAB1AD-AA1B-4BF8-BB16-DBD9B148D02D}"/>
    <cellStyle name="SAPBEXexcBad7" xfId="77" xr:uid="{00000000-0005-0000-0000-00002C030000}"/>
    <cellStyle name="SAPBEXexcBad7 2" xfId="128" xr:uid="{00000000-0005-0000-0000-00002D030000}"/>
    <cellStyle name="SAPBEXexcBad7 2 2" xfId="1618" xr:uid="{DD63D90E-9B66-4028-97E9-A8746000F7B5}"/>
    <cellStyle name="SAPBEXexcBad7 2 2 2" xfId="3173" xr:uid="{CEFA27C0-CE54-4660-B23E-7EC6EB3A3EEB}"/>
    <cellStyle name="SAPBEXexcBad7 2 2 2 2" xfId="5547" xr:uid="{7411AE61-FC7B-48E9-B0BC-D46F5DC07A61}"/>
    <cellStyle name="SAPBEXexcBad7 2 2 3" xfId="3133" xr:uid="{8AB29BB9-2152-49A9-A6A8-0DD25EF6B026}"/>
    <cellStyle name="SAPBEXexcBad7 2 2 3 2" xfId="5507" xr:uid="{61B90D7C-DF2B-45EC-86D5-120C7FF2775A}"/>
    <cellStyle name="SAPBEXexcBad7 2 2 4" xfId="4155" xr:uid="{9D6E77E2-30C0-40C1-BA1D-345C96F9CF44}"/>
    <cellStyle name="SAPBEXexcBad7 2 3" xfId="1619" xr:uid="{B440BB55-A191-412F-ABD4-6DA0F247668A}"/>
    <cellStyle name="SAPBEXexcBad7 2 3 2" xfId="3176" xr:uid="{E6138790-1B52-4FC8-B7BA-72F0D822A019}"/>
    <cellStyle name="SAPBEXexcBad7 2 3 2 2" xfId="5550" xr:uid="{70BE522E-8A45-4DAC-A3EE-4915A67F9144}"/>
    <cellStyle name="SAPBEXexcBad7 2 3 3" xfId="3291" xr:uid="{A3A266D0-C75B-42AF-823E-465BEB283F26}"/>
    <cellStyle name="SAPBEXexcBad7 2 3 3 2" xfId="5665" xr:uid="{60955CC2-D649-4D2D-AA09-4D2FF2E821E7}"/>
    <cellStyle name="SAPBEXexcBad7 2 3 4" xfId="4156" xr:uid="{987077A3-10D1-42B4-9A63-B0F637CD92FE}"/>
    <cellStyle name="SAPBEXexcBad7 2 4" xfId="3260" xr:uid="{27F249D8-5F00-40F1-87E3-C3300D3D2620}"/>
    <cellStyle name="SAPBEXexcBad7 2 4 2" xfId="5634" xr:uid="{0EB3FBF2-891A-40E5-A74D-0791191C6F48}"/>
    <cellStyle name="SAPBEXexcBad7 2 5" xfId="3272" xr:uid="{C0A00A8B-00F3-4202-B398-6491A2BE9DD7}"/>
    <cellStyle name="SAPBEXexcBad7 2 5 2" xfId="5646" xr:uid="{95BAFCD6-3C36-4E04-B826-56876F7D4221}"/>
    <cellStyle name="SAPBEXexcBad7 2 6" xfId="1617" xr:uid="{11C11065-CC76-433C-B359-D6C2715CC790}"/>
    <cellStyle name="SAPBEXexcBad7 2 6 2" xfId="4154" xr:uid="{33493737-0BDA-4A08-BAC2-855059C49793}"/>
    <cellStyle name="SAPBEXexcBad7 2 7" xfId="3350" xr:uid="{DB8192A9-36DA-4E21-B9D6-0EB98F93B140}"/>
    <cellStyle name="SAPBEXexcBad7 3" xfId="3211" xr:uid="{F3C8E92E-8819-4743-BCE1-0AD817F7E52E}"/>
    <cellStyle name="SAPBEXexcBad7 3 2" xfId="5585" xr:uid="{D83B2F63-A4D9-4A4D-B4BD-92F41DDA1AB5}"/>
    <cellStyle name="SAPBEXexcBad7 4" xfId="3088" xr:uid="{7A13A822-974D-4F2D-84C1-7207B518D1F4}"/>
    <cellStyle name="SAPBEXexcBad7 4 2" xfId="5462" xr:uid="{497401D4-B6F1-4A06-8A07-E8417FDE595A}"/>
    <cellStyle name="SAPBEXexcBad7 5" xfId="1616" xr:uid="{3A61B751-877F-441F-B6DC-F467DDD1AD75}"/>
    <cellStyle name="SAPBEXexcBad7 5 2" xfId="4153" xr:uid="{DEC08A06-B179-4047-89B8-420D1DDA9E84}"/>
    <cellStyle name="SAPBEXexcBad7 6" xfId="3322" xr:uid="{CF411293-02E2-4A9F-9C7C-58FE16E4684F}"/>
    <cellStyle name="SAPBEXexcBad8" xfId="78" xr:uid="{00000000-0005-0000-0000-00002E030000}"/>
    <cellStyle name="SAPBEXexcBad8 2" xfId="129" xr:uid="{00000000-0005-0000-0000-00002F030000}"/>
    <cellStyle name="SAPBEXexcBad8 2 2" xfId="1622" xr:uid="{13380745-8945-4C2C-834F-4F345A49BDA1}"/>
    <cellStyle name="SAPBEXexcBad8 2 2 2" xfId="3175" xr:uid="{643C3F85-DEC1-4961-AE16-30B86F2BFDBA}"/>
    <cellStyle name="SAPBEXexcBad8 2 2 2 2" xfId="5549" xr:uid="{B1ABA2D2-93C2-40AE-AAAB-386D2535201F}"/>
    <cellStyle name="SAPBEXexcBad8 2 2 3" xfId="3178" xr:uid="{2F09CD3F-CCCF-4864-AEA1-8FD637D63063}"/>
    <cellStyle name="SAPBEXexcBad8 2 2 3 2" xfId="5552" xr:uid="{F6FD215B-1C99-4C6B-A384-BD9CBBFB678D}"/>
    <cellStyle name="SAPBEXexcBad8 2 2 4" xfId="4159" xr:uid="{7E807083-A3A4-419E-BB19-73B9EA627026}"/>
    <cellStyle name="SAPBEXexcBad8 2 3" xfId="1623" xr:uid="{F07D32CC-997D-4CCD-8AB5-D8E1AE1FF1F3}"/>
    <cellStyle name="SAPBEXexcBad8 2 3 2" xfId="3255" xr:uid="{2D5676DF-AD12-4C52-AD2E-5035FD2CA0CB}"/>
    <cellStyle name="SAPBEXexcBad8 2 3 2 2" xfId="5629" xr:uid="{412FD524-FACE-4FF5-BF2C-AA44D9CD2504}"/>
    <cellStyle name="SAPBEXexcBad8 2 3 3" xfId="3122" xr:uid="{23BDE68F-7F44-416C-A9DA-B39651F352B0}"/>
    <cellStyle name="SAPBEXexcBad8 2 3 3 2" xfId="5496" xr:uid="{013D7F11-DD6B-41FE-8763-6C02AD668650}"/>
    <cellStyle name="SAPBEXexcBad8 2 3 4" xfId="4160" xr:uid="{C45F7CBD-23B9-4222-BDE8-7453E0E27361}"/>
    <cellStyle name="SAPBEXexcBad8 2 4" xfId="3263" xr:uid="{DF67F1D5-9768-4AF7-B64D-74F16281090B}"/>
    <cellStyle name="SAPBEXexcBad8 2 4 2" xfId="5637" xr:uid="{3083C649-65AB-4DA9-9307-939AADAC22A5}"/>
    <cellStyle name="SAPBEXexcBad8 2 5" xfId="3232" xr:uid="{84D2290F-C3A7-4364-8181-AFC6E88EEE71}"/>
    <cellStyle name="SAPBEXexcBad8 2 5 2" xfId="5606" xr:uid="{12467F6E-DC0A-44C9-B612-F058855E9F81}"/>
    <cellStyle name="SAPBEXexcBad8 2 6" xfId="1621" xr:uid="{2CBC5F18-CC01-441A-9BA4-8850DE3C6A63}"/>
    <cellStyle name="SAPBEXexcBad8 2 6 2" xfId="4158" xr:uid="{6E09DA94-3012-4858-A32B-B828EC76228B}"/>
    <cellStyle name="SAPBEXexcBad8 2 7" xfId="3351" xr:uid="{5AC8E919-2FB5-47CA-953D-28E1A82BFA7A}"/>
    <cellStyle name="SAPBEXexcBad8 3" xfId="3093" xr:uid="{B5F4DB96-7581-421F-BE09-085EC0F0D422}"/>
    <cellStyle name="SAPBEXexcBad8 3 2" xfId="5467" xr:uid="{AB9F3F85-6717-404E-9875-02F0A013653A}"/>
    <cellStyle name="SAPBEXexcBad8 4" xfId="3253" xr:uid="{7F53D327-E6AA-414E-AF67-41CB62F1C57F}"/>
    <cellStyle name="SAPBEXexcBad8 4 2" xfId="5627" xr:uid="{0B5C0A8A-124B-4077-AF1D-FF727237990B}"/>
    <cellStyle name="SAPBEXexcBad8 5" xfId="1620" xr:uid="{7C76A88E-D8F6-437D-B967-FD0321CF2DFC}"/>
    <cellStyle name="SAPBEXexcBad8 5 2" xfId="4157" xr:uid="{C7DAA98C-638B-4F5E-854D-B0AA4EFEF9D0}"/>
    <cellStyle name="SAPBEXexcBad8 6" xfId="3323" xr:uid="{932EE967-FEE0-42A3-90CF-FF69D8228312}"/>
    <cellStyle name="SAPBEXexcBad9" xfId="79" xr:uid="{00000000-0005-0000-0000-000030030000}"/>
    <cellStyle name="SAPBEXexcBad9 2" xfId="130" xr:uid="{00000000-0005-0000-0000-000031030000}"/>
    <cellStyle name="SAPBEXexcBad9 2 2" xfId="1626" xr:uid="{5C4F350D-CCC4-4BF2-986B-FC6598C20584}"/>
    <cellStyle name="SAPBEXexcBad9 2 2 2" xfId="3171" xr:uid="{3929BEA3-AE48-4168-8238-62625FB0BBE2}"/>
    <cellStyle name="SAPBEXexcBad9 2 2 2 2" xfId="5545" xr:uid="{A5417E88-A30B-413D-A8B3-14F7CCDB3C68}"/>
    <cellStyle name="SAPBEXexcBad9 2 2 3" xfId="3220" xr:uid="{C9BBD975-B4ED-4AAF-A4D0-99B1B2C50227}"/>
    <cellStyle name="SAPBEXexcBad9 2 2 3 2" xfId="5594" xr:uid="{86A2F71A-CF4F-4512-BA03-47522EF046CB}"/>
    <cellStyle name="SAPBEXexcBad9 2 2 4" xfId="4163" xr:uid="{8C46B01D-ED6E-43EB-8CDB-B9B63F16EE92}"/>
    <cellStyle name="SAPBEXexcBad9 2 3" xfId="1627" xr:uid="{B02961CA-EFCB-4875-AFAE-C08457194207}"/>
    <cellStyle name="SAPBEXexcBad9 2 3 2" xfId="3046" xr:uid="{D4DB5D2D-EDAD-4D3B-A534-63D2532E558B}"/>
    <cellStyle name="SAPBEXexcBad9 2 3 2 2" xfId="5420" xr:uid="{5E8155E5-CDD7-4E86-BAEC-A3D8A9B1A370}"/>
    <cellStyle name="SAPBEXexcBad9 2 3 3" xfId="3217" xr:uid="{86329FE1-FA2B-4E75-8555-8B5DCC80DCAF}"/>
    <cellStyle name="SAPBEXexcBad9 2 3 3 2" xfId="5591" xr:uid="{5AD12DCD-0CF0-491E-8439-E9D061A0C4D3}"/>
    <cellStyle name="SAPBEXexcBad9 2 3 4" xfId="4164" xr:uid="{1233F1B9-EC1F-454F-9EDF-C6F3D594AD3D}"/>
    <cellStyle name="SAPBEXexcBad9 2 4" xfId="3194" xr:uid="{1940D20D-E2D4-489E-B1D3-F424609D0027}"/>
    <cellStyle name="SAPBEXexcBad9 2 4 2" xfId="5568" xr:uid="{A9A88F24-9620-4FB8-BEB8-95CD181A0074}"/>
    <cellStyle name="SAPBEXexcBad9 2 5" xfId="3143" xr:uid="{6BCA57DD-4702-4E1B-BC80-9F3FF7697D26}"/>
    <cellStyle name="SAPBEXexcBad9 2 5 2" xfId="5517" xr:uid="{F666FAFA-9EDB-4E87-8656-595D8A3ECD1C}"/>
    <cellStyle name="SAPBEXexcBad9 2 6" xfId="1625" xr:uid="{47586EEB-70F0-4882-B95A-2A769B61D794}"/>
    <cellStyle name="SAPBEXexcBad9 2 6 2" xfId="4162" xr:uid="{D4C04A88-2D1E-4ADD-BD3E-82331B95125B}"/>
    <cellStyle name="SAPBEXexcBad9 2 7" xfId="3352" xr:uid="{4FE3963E-E0AF-4E87-87E8-CABFADC44818}"/>
    <cellStyle name="SAPBEXexcBad9 3" xfId="3156" xr:uid="{A05ACD26-1CF0-4752-821E-66F478506893}"/>
    <cellStyle name="SAPBEXexcBad9 3 2" xfId="5530" xr:uid="{BA3D6E38-222A-4412-84A7-E491E380C6C8}"/>
    <cellStyle name="SAPBEXexcBad9 4" xfId="3243" xr:uid="{9BAED454-5EFB-4E5B-9CFE-4FDFA10E8EB9}"/>
    <cellStyle name="SAPBEXexcBad9 4 2" xfId="5617" xr:uid="{83D6D51E-A760-42F9-8E21-CBA14523FC2B}"/>
    <cellStyle name="SAPBEXexcBad9 5" xfId="1624" xr:uid="{5066F295-F30D-4B4C-AF46-3D02AA7F123C}"/>
    <cellStyle name="SAPBEXexcBad9 5 2" xfId="4161" xr:uid="{94F4AA66-8C36-4E3B-B7F8-774B1C791D49}"/>
    <cellStyle name="SAPBEXexcBad9 6" xfId="3324" xr:uid="{D4ED05C1-BDCF-4308-9919-E829128B71C0}"/>
    <cellStyle name="SAPBEXexcCritical4" xfId="80" xr:uid="{00000000-0005-0000-0000-000032030000}"/>
    <cellStyle name="SAPBEXexcCritical4 2" xfId="131" xr:uid="{00000000-0005-0000-0000-000033030000}"/>
    <cellStyle name="SAPBEXexcCritical4 2 2" xfId="1630" xr:uid="{E92D181D-F0AC-42C1-9D58-0527A7D0B764}"/>
    <cellStyle name="SAPBEXexcCritical4 2 2 2" xfId="3187" xr:uid="{241E9D0C-B01D-4533-B837-CA7B96B730BA}"/>
    <cellStyle name="SAPBEXexcCritical4 2 2 2 2" xfId="5561" xr:uid="{88DFEE4F-006F-4B71-A29B-D04428E23793}"/>
    <cellStyle name="SAPBEXexcCritical4 2 2 3" xfId="3279" xr:uid="{41D66534-15D0-4034-A7DC-8453030307C9}"/>
    <cellStyle name="SAPBEXexcCritical4 2 2 3 2" xfId="5653" xr:uid="{857770B3-AE97-4ECC-A6B5-A206681A7034}"/>
    <cellStyle name="SAPBEXexcCritical4 2 2 4" xfId="4167" xr:uid="{E44A9745-B29B-4CB7-BB55-853AC1F00305}"/>
    <cellStyle name="SAPBEXexcCritical4 2 3" xfId="1631" xr:uid="{10D59B6A-608F-4E0B-8EB9-046D8EEBFC21}"/>
    <cellStyle name="SAPBEXexcCritical4 2 3 2" xfId="3064" xr:uid="{8966A808-A7DA-4CF9-B3A9-B1FDDE7FB29B}"/>
    <cellStyle name="SAPBEXexcCritical4 2 3 2 2" xfId="5438" xr:uid="{AF7E31BA-01E8-494B-85C1-B15180C6AE6B}"/>
    <cellStyle name="SAPBEXexcCritical4 2 3 3" xfId="3058" xr:uid="{AF78A8B6-35C7-4136-9FE8-46F501FF0A92}"/>
    <cellStyle name="SAPBEXexcCritical4 2 3 3 2" xfId="5432" xr:uid="{DCD4D7C8-2336-449C-A138-CEFAF0D0F075}"/>
    <cellStyle name="SAPBEXexcCritical4 2 3 4" xfId="4168" xr:uid="{E5A4F7F9-47D1-46D8-8950-F853021F12A3}"/>
    <cellStyle name="SAPBEXexcCritical4 2 4" xfId="3157" xr:uid="{C265D26E-82EE-4E15-B6AC-2AB6FE9865E1}"/>
    <cellStyle name="SAPBEXexcCritical4 2 4 2" xfId="5531" xr:uid="{E67FE5A0-9FB1-4D3A-87DB-30628BC43A10}"/>
    <cellStyle name="SAPBEXexcCritical4 2 5" xfId="3131" xr:uid="{6E9BD25D-CA92-4C64-9A46-13F61EFAD820}"/>
    <cellStyle name="SAPBEXexcCritical4 2 5 2" xfId="5505" xr:uid="{E4EDA921-CCC2-4053-A3D7-417D260945DC}"/>
    <cellStyle name="SAPBEXexcCritical4 2 6" xfId="1629" xr:uid="{1EF9C3D3-1C30-4722-A998-9835764EF207}"/>
    <cellStyle name="SAPBEXexcCritical4 2 6 2" xfId="4166" xr:uid="{B8780D74-E7E2-4FCD-A007-B8AC3A775119}"/>
    <cellStyle name="SAPBEXexcCritical4 2 7" xfId="3353" xr:uid="{BAF03FC3-D881-49D3-B882-DBFEB58BD0EA}"/>
    <cellStyle name="SAPBEXexcCritical4 3" xfId="3117" xr:uid="{D04F99AD-0B26-4CC0-846F-700B31D6007A}"/>
    <cellStyle name="SAPBEXexcCritical4 3 2" xfId="5491" xr:uid="{2DE948B0-BB2E-43E8-94E9-D742A384BE4C}"/>
    <cellStyle name="SAPBEXexcCritical4 4" xfId="3084" xr:uid="{A09043AB-8DE8-4C4C-845E-69BEB47AAA5D}"/>
    <cellStyle name="SAPBEXexcCritical4 4 2" xfId="5458" xr:uid="{CD356C44-A11B-4DC8-BE69-FC1728F6FE4F}"/>
    <cellStyle name="SAPBEXexcCritical4 5" xfId="1628" xr:uid="{6C11D61F-CCF3-4C6C-B295-E691AD9A335C}"/>
    <cellStyle name="SAPBEXexcCritical4 5 2" xfId="4165" xr:uid="{6912ED93-F1AF-40E2-818C-FC32C021AC0B}"/>
    <cellStyle name="SAPBEXexcCritical4 6" xfId="3325" xr:uid="{05A865A3-C0F3-4CB0-B8DF-8A8A906A6701}"/>
    <cellStyle name="SAPBEXexcCritical5" xfId="81" xr:uid="{00000000-0005-0000-0000-000034030000}"/>
    <cellStyle name="SAPBEXexcCritical5 2" xfId="132" xr:uid="{00000000-0005-0000-0000-000035030000}"/>
    <cellStyle name="SAPBEXexcCritical5 2 2" xfId="1634" xr:uid="{4E3EC300-E844-44B7-BF16-E60E448A91E2}"/>
    <cellStyle name="SAPBEXexcCritical5 2 2 2" xfId="3170" xr:uid="{535A7E0D-4708-4E12-AB09-A96068CA4669}"/>
    <cellStyle name="SAPBEXexcCritical5 2 2 2 2" xfId="5544" xr:uid="{CBCA7948-A564-4896-BCA2-4E1496059957}"/>
    <cellStyle name="SAPBEXexcCritical5 2 2 3" xfId="3268" xr:uid="{639076DC-F045-46B7-8A64-C408B796BA5A}"/>
    <cellStyle name="SAPBEXexcCritical5 2 2 3 2" xfId="5642" xr:uid="{75452D6C-C1F9-4FC2-AF3F-0A18D43B7822}"/>
    <cellStyle name="SAPBEXexcCritical5 2 2 4" xfId="4171" xr:uid="{6F0E7D19-4BB2-42ED-993A-037B0F5288D9}"/>
    <cellStyle name="SAPBEXexcCritical5 2 3" xfId="1635" xr:uid="{0444B89F-6AAD-4FFD-9380-24C96D8E632A}"/>
    <cellStyle name="SAPBEXexcCritical5 2 3 2" xfId="3181" xr:uid="{8DA2C76D-3603-43E3-B9B9-9A3A3EAAD459}"/>
    <cellStyle name="SAPBEXexcCritical5 2 3 2 2" xfId="5555" xr:uid="{66DCDC63-C60F-4A0C-9B58-096EC37A38F0}"/>
    <cellStyle name="SAPBEXexcCritical5 2 3 3" xfId="3186" xr:uid="{91A26455-F53A-4D4F-8568-EEBB3671584F}"/>
    <cellStyle name="SAPBEXexcCritical5 2 3 3 2" xfId="5560" xr:uid="{BB235A62-A872-499F-8AE0-1627B36683E4}"/>
    <cellStyle name="SAPBEXexcCritical5 2 3 4" xfId="4172" xr:uid="{48E59927-4CB3-4BD9-A84A-E7DA9F989D41}"/>
    <cellStyle name="SAPBEXexcCritical5 2 4" xfId="3120" xr:uid="{7DA2E082-ABA2-4B0B-B5DD-046FB52CFF04}"/>
    <cellStyle name="SAPBEXexcCritical5 2 4 2" xfId="5494" xr:uid="{A0DA2A8D-BA17-4C5A-9094-6DC095307C70}"/>
    <cellStyle name="SAPBEXexcCritical5 2 5" xfId="3202" xr:uid="{3E60FAA2-355A-4F2B-A11E-936342ABBA02}"/>
    <cellStyle name="SAPBEXexcCritical5 2 5 2" xfId="5576" xr:uid="{EBDBC85F-99C6-41F8-8ED6-AEB952F8EFA9}"/>
    <cellStyle name="SAPBEXexcCritical5 2 6" xfId="1633" xr:uid="{76AF7256-7E04-42B0-B1CB-A1B62B2D939E}"/>
    <cellStyle name="SAPBEXexcCritical5 2 6 2" xfId="4170" xr:uid="{B1805BE6-974B-43C2-B9D1-F73A59E535B0}"/>
    <cellStyle name="SAPBEXexcCritical5 2 7" xfId="3354" xr:uid="{E91D675A-FEAB-4503-8719-C1F7F976F02A}"/>
    <cellStyle name="SAPBEXexcCritical5 3" xfId="3278" xr:uid="{B9776818-624A-4106-9868-0C1A0C4AD335}"/>
    <cellStyle name="SAPBEXexcCritical5 3 2" xfId="5652" xr:uid="{DEFF48EB-FE88-4DA5-AC8F-9D597FF444F7}"/>
    <cellStyle name="SAPBEXexcCritical5 4" xfId="3066" xr:uid="{6F98B9B1-EB13-4F84-84CE-5132936C4AFA}"/>
    <cellStyle name="SAPBEXexcCritical5 4 2" xfId="5440" xr:uid="{E812C69D-D1CA-4285-BAE4-D98FC6EF1B0A}"/>
    <cellStyle name="SAPBEXexcCritical5 5" xfId="1632" xr:uid="{520696D9-1288-4A60-AB3D-7A8520C9C81B}"/>
    <cellStyle name="SAPBEXexcCritical5 5 2" xfId="4169" xr:uid="{FD613DE3-A09B-4BF8-ADA0-5D3646439CFD}"/>
    <cellStyle name="SAPBEXexcCritical5 6" xfId="3326" xr:uid="{71A5B541-1EEB-4070-AD63-148411EE0493}"/>
    <cellStyle name="SAPBEXexcCritical6" xfId="82" xr:uid="{00000000-0005-0000-0000-000036030000}"/>
    <cellStyle name="SAPBEXexcCritical6 2" xfId="133" xr:uid="{00000000-0005-0000-0000-000037030000}"/>
    <cellStyle name="SAPBEXexcCritical6 2 2" xfId="1638" xr:uid="{5FB35506-5396-4FFC-9D16-04B678A10D1D}"/>
    <cellStyle name="SAPBEXexcCritical6 2 2 2" xfId="3048" xr:uid="{4F5BA76D-AED3-4011-AB4D-23AF2B0C54F9}"/>
    <cellStyle name="SAPBEXexcCritical6 2 2 2 2" xfId="5422" xr:uid="{1B0F262A-1ACE-46D7-8653-270D6F271017}"/>
    <cellStyle name="SAPBEXexcCritical6 2 2 3" xfId="3138" xr:uid="{91DB0BFB-B6F2-43AF-B9D7-6DEDC46C1789}"/>
    <cellStyle name="SAPBEXexcCritical6 2 2 3 2" xfId="5512" xr:uid="{A7DE4DAD-5FD5-4F11-89A9-786577012A36}"/>
    <cellStyle name="SAPBEXexcCritical6 2 2 4" xfId="4175" xr:uid="{9EEA5C87-E582-46D5-85CE-14567D98BB23}"/>
    <cellStyle name="SAPBEXexcCritical6 2 3" xfId="1639" xr:uid="{AA9489A8-F72C-4664-A223-F36D56B4804F}"/>
    <cellStyle name="SAPBEXexcCritical6 2 3 2" xfId="3074" xr:uid="{D8C71C81-57F3-4977-BCF1-3B6BDBC8CEFE}"/>
    <cellStyle name="SAPBEXexcCritical6 2 3 2 2" xfId="5448" xr:uid="{DF9960BA-FC1C-4F5C-8785-211211EBEE97}"/>
    <cellStyle name="SAPBEXexcCritical6 2 3 3" xfId="3051" xr:uid="{FC0A2E2B-027B-4878-BDE3-E5EB94D8453F}"/>
    <cellStyle name="SAPBEXexcCritical6 2 3 3 2" xfId="5425" xr:uid="{4A1225AA-3993-40DD-B2F2-690BD9DA1259}"/>
    <cellStyle name="SAPBEXexcCritical6 2 3 4" xfId="4176" xr:uid="{E1470DD5-8C3F-4186-9979-E5BA65E53E1D}"/>
    <cellStyle name="SAPBEXexcCritical6 2 4" xfId="3106" xr:uid="{B258FCF1-CF81-45FF-8856-75FCD82EBD51}"/>
    <cellStyle name="SAPBEXexcCritical6 2 4 2" xfId="5480" xr:uid="{4BE7666C-0A92-4DA0-9830-804EA3D1F538}"/>
    <cellStyle name="SAPBEXexcCritical6 2 5" xfId="3071" xr:uid="{B397E12C-61C1-4BF4-A31D-7DB15391DD9F}"/>
    <cellStyle name="SAPBEXexcCritical6 2 5 2" xfId="5445" xr:uid="{3B720C15-A9EE-44C5-A9F4-1E1D0FF563B9}"/>
    <cellStyle name="SAPBEXexcCritical6 2 6" xfId="1637" xr:uid="{DBADD464-E9D8-4FFA-8C6F-6C9E07397993}"/>
    <cellStyle name="SAPBEXexcCritical6 2 6 2" xfId="4174" xr:uid="{EF77C0BF-B3D8-49BC-9475-2130886E812B}"/>
    <cellStyle name="SAPBEXexcCritical6 2 7" xfId="3355" xr:uid="{998FC712-C609-4936-9B4D-E40B22C74833}"/>
    <cellStyle name="SAPBEXexcCritical6 3" xfId="3209" xr:uid="{6120F2CA-1115-4675-B1BA-F246C8B822EC}"/>
    <cellStyle name="SAPBEXexcCritical6 3 2" xfId="5583" xr:uid="{A25D4061-B44C-4432-A64D-7A68609ADD44}"/>
    <cellStyle name="SAPBEXexcCritical6 4" xfId="3169" xr:uid="{CE2F60A9-6DC1-41E2-AFCF-AF6F320C4523}"/>
    <cellStyle name="SAPBEXexcCritical6 4 2" xfId="5543" xr:uid="{8C943CDE-9301-4D99-A7AA-0BAFE7E47A3B}"/>
    <cellStyle name="SAPBEXexcCritical6 5" xfId="1636" xr:uid="{42AAD9FE-5F43-4F0B-856A-815D1319F75D}"/>
    <cellStyle name="SAPBEXexcCritical6 5 2" xfId="4173" xr:uid="{7D368F3B-6A25-4C2D-A9E3-97338C5453CB}"/>
    <cellStyle name="SAPBEXexcCritical6 6" xfId="3327" xr:uid="{FC118B92-247B-4304-8199-5EA193755A9C}"/>
    <cellStyle name="SAPBEXexcGood1" xfId="83" xr:uid="{00000000-0005-0000-0000-000038030000}"/>
    <cellStyle name="SAPBEXexcGood1 2" xfId="134" xr:uid="{00000000-0005-0000-0000-000039030000}"/>
    <cellStyle name="SAPBEXexcGood1 2 2" xfId="1642" xr:uid="{CCCF8DD3-48A9-48E2-9B13-FED6DC2EAB88}"/>
    <cellStyle name="SAPBEXexcGood1 2 2 2" xfId="3168" xr:uid="{8DD7E45E-2712-4C63-8FCD-3B641107FB68}"/>
    <cellStyle name="SAPBEXexcGood1 2 2 2 2" xfId="5542" xr:uid="{7A3207AC-843B-4A02-8080-65882766DBAD}"/>
    <cellStyle name="SAPBEXexcGood1 2 2 3" xfId="3250" xr:uid="{3A462838-BEAD-47B2-92C8-962EF0BB8034}"/>
    <cellStyle name="SAPBEXexcGood1 2 2 3 2" xfId="5624" xr:uid="{8B397900-3B47-4955-A20C-5C08FC27847D}"/>
    <cellStyle name="SAPBEXexcGood1 2 2 4" xfId="4179" xr:uid="{8A937F81-A36D-437A-99BB-EBE8FE639102}"/>
    <cellStyle name="SAPBEXexcGood1 2 3" xfId="1643" xr:uid="{4E0ACAC5-6094-48CB-9F1F-DEB6B6399A8B}"/>
    <cellStyle name="SAPBEXexcGood1 2 3 2" xfId="3269" xr:uid="{17283035-CAFC-4D01-8F1B-5321BB5B72F4}"/>
    <cellStyle name="SAPBEXexcGood1 2 3 2 2" xfId="5643" xr:uid="{D7F1286B-75A0-4FBB-83A6-CA4F7A220BE5}"/>
    <cellStyle name="SAPBEXexcGood1 2 3 3" xfId="3236" xr:uid="{07AF9F8C-8D92-4B42-9763-2477AB3960EB}"/>
    <cellStyle name="SAPBEXexcGood1 2 3 3 2" xfId="5610" xr:uid="{06E7995B-46B6-47E1-A9D0-17642BD5454F}"/>
    <cellStyle name="SAPBEXexcGood1 2 3 4" xfId="4180" xr:uid="{AAACA7D2-73D3-42C7-828C-C3E887500A36}"/>
    <cellStyle name="SAPBEXexcGood1 2 4" xfId="3076" xr:uid="{BA228D25-8D11-4FA9-9745-E16A0C0CB133}"/>
    <cellStyle name="SAPBEXexcGood1 2 4 2" xfId="5450" xr:uid="{F0C52F41-1034-43E6-B1D0-BF85CFB9ECF7}"/>
    <cellStyle name="SAPBEXexcGood1 2 5" xfId="3212" xr:uid="{B460CD2F-80BC-4E54-BDEB-F4904EF1E9E2}"/>
    <cellStyle name="SAPBEXexcGood1 2 5 2" xfId="5586" xr:uid="{8C5A2DDD-73CF-4458-BD02-99F0B50DA563}"/>
    <cellStyle name="SAPBEXexcGood1 2 6" xfId="1641" xr:uid="{0E826CEF-3713-44D0-B5EB-803196A32B33}"/>
    <cellStyle name="SAPBEXexcGood1 2 6 2" xfId="4178" xr:uid="{81227BD5-F338-4492-89C2-A0A0B2143FCC}"/>
    <cellStyle name="SAPBEXexcGood1 2 7" xfId="3356" xr:uid="{A95EBBEC-4CFC-47C3-9528-FEBEDA759BBC}"/>
    <cellStyle name="SAPBEXexcGood1 3" xfId="3249" xr:uid="{7F68F78E-2F43-4C6C-988E-2CCFC1F91307}"/>
    <cellStyle name="SAPBEXexcGood1 3 2" xfId="5623" xr:uid="{FC46A674-54CA-4143-8066-4A73CBDDB29A}"/>
    <cellStyle name="SAPBEXexcGood1 4" xfId="3127" xr:uid="{B0318D05-E042-40AF-AE42-2308ACCE50A3}"/>
    <cellStyle name="SAPBEXexcGood1 4 2" xfId="5501" xr:uid="{BBF72E8A-950E-4FA1-AB34-FAFDFC5A3E87}"/>
    <cellStyle name="SAPBEXexcGood1 5" xfId="1640" xr:uid="{6544DC32-F387-41D8-9B3E-EB9BF2725F9B}"/>
    <cellStyle name="SAPBEXexcGood1 5 2" xfId="4177" xr:uid="{8F7CF46A-A543-458A-B91C-4663283BCDCD}"/>
    <cellStyle name="SAPBEXexcGood1 6" xfId="3328" xr:uid="{46ECF049-B470-46FC-9AA4-922561F79820}"/>
    <cellStyle name="SAPBEXexcGood2" xfId="84" xr:uid="{00000000-0005-0000-0000-00003A030000}"/>
    <cellStyle name="SAPBEXexcGood2 2" xfId="135" xr:uid="{00000000-0005-0000-0000-00003B030000}"/>
    <cellStyle name="SAPBEXexcGood2 2 2" xfId="1646" xr:uid="{B056D4DD-07CF-4183-A50B-DD778ED03B78}"/>
    <cellStyle name="SAPBEXexcGood2 2 2 2" xfId="3154" xr:uid="{1F34EF5A-A9CF-435D-963D-81F45DA5E8B9}"/>
    <cellStyle name="SAPBEXexcGood2 2 2 2 2" xfId="5528" xr:uid="{2F1DC876-2FE1-4477-89AC-0B8A8A1F9AF4}"/>
    <cellStyle name="SAPBEXexcGood2 2 2 3" xfId="3118" xr:uid="{FE8306C3-A9C1-4246-9161-697E30C9FB54}"/>
    <cellStyle name="SAPBEXexcGood2 2 2 3 2" xfId="5492" xr:uid="{6CEA24C8-452A-42AA-BF8C-7BFD7F5C77DF}"/>
    <cellStyle name="SAPBEXexcGood2 2 2 4" xfId="4183" xr:uid="{CAD4FA70-642F-4AA9-801E-9F4CFD90D89A}"/>
    <cellStyle name="SAPBEXexcGood2 2 3" xfId="1647" xr:uid="{2473FCFE-E1DC-453F-8181-03FD9E3BDE54}"/>
    <cellStyle name="SAPBEXexcGood2 2 3 2" xfId="3270" xr:uid="{B2174A8E-A5DD-4A69-8530-1AAA321F4D91}"/>
    <cellStyle name="SAPBEXexcGood2 2 3 2 2" xfId="5644" xr:uid="{03815C29-5547-4285-8D8B-FCAF5F0A8AEB}"/>
    <cellStyle name="SAPBEXexcGood2 2 3 3" xfId="3225" xr:uid="{5777397E-8956-4ADC-9053-991FB2497404}"/>
    <cellStyle name="SAPBEXexcGood2 2 3 3 2" xfId="5599" xr:uid="{9471E41C-02D7-432F-87E7-74C5E70C42F1}"/>
    <cellStyle name="SAPBEXexcGood2 2 3 4" xfId="4184" xr:uid="{E2274566-BCF0-4D83-8C4C-F95873F11BD6}"/>
    <cellStyle name="SAPBEXexcGood2 2 4" xfId="3129" xr:uid="{4E4D8A40-14DB-4FDE-B241-D5E1A3BEAF28}"/>
    <cellStyle name="SAPBEXexcGood2 2 4 2" xfId="5503" xr:uid="{670FF6B5-69F2-42C9-9929-158B075ADB03}"/>
    <cellStyle name="SAPBEXexcGood2 2 5" xfId="3087" xr:uid="{8E4F3D60-E7E9-42FA-ADF5-7CAD1946D1A9}"/>
    <cellStyle name="SAPBEXexcGood2 2 5 2" xfId="5461" xr:uid="{75DF8946-298F-4072-92FB-FF3A14AB3371}"/>
    <cellStyle name="SAPBEXexcGood2 2 6" xfId="1645" xr:uid="{E5C11307-DEB0-4D1E-8A3F-851ABD93C9E2}"/>
    <cellStyle name="SAPBEXexcGood2 2 6 2" xfId="4182" xr:uid="{AF210221-3C4E-4AB8-85A3-109E598AFB23}"/>
    <cellStyle name="SAPBEXexcGood2 2 7" xfId="3357" xr:uid="{24267C96-15E6-4B6E-ABED-0955E740FB20}"/>
    <cellStyle name="SAPBEXexcGood2 3" xfId="3267" xr:uid="{6125C4BE-304B-499E-BEB6-74E44473E6C9}"/>
    <cellStyle name="SAPBEXexcGood2 3 2" xfId="5641" xr:uid="{11F3D0C2-1EBA-47CB-BF32-CD5222C15CAF}"/>
    <cellStyle name="SAPBEXexcGood2 4" xfId="3205" xr:uid="{6A59D1C4-82F1-478C-AD0F-0CA4FBBC8A9E}"/>
    <cellStyle name="SAPBEXexcGood2 4 2" xfId="5579" xr:uid="{DEB77ED5-5F7A-48F7-B604-6D321B1A6B3E}"/>
    <cellStyle name="SAPBEXexcGood2 5" xfId="1644" xr:uid="{C01ECB1E-F108-4707-BAA2-21BB02687559}"/>
    <cellStyle name="SAPBEXexcGood2 5 2" xfId="4181" xr:uid="{03DCBBEE-DE8B-4501-A57D-0C486E4B67A0}"/>
    <cellStyle name="SAPBEXexcGood2 6" xfId="3329" xr:uid="{906DAD6D-5458-4A1C-9568-BF2F558808ED}"/>
    <cellStyle name="SAPBEXexcGood3" xfId="85" xr:uid="{00000000-0005-0000-0000-00003C030000}"/>
    <cellStyle name="SAPBEXexcGood3 2" xfId="136" xr:uid="{00000000-0005-0000-0000-00003D030000}"/>
    <cellStyle name="SAPBEXexcGood3 2 2" xfId="1650" xr:uid="{A4D61156-F851-4404-970E-002F2FCD6746}"/>
    <cellStyle name="SAPBEXexcGood3 2 2 2" xfId="3282" xr:uid="{50320BD0-FF99-40DE-9491-AC71E0B71E54}"/>
    <cellStyle name="SAPBEXexcGood3 2 2 2 2" xfId="5656" xr:uid="{1A300843-3EEA-4A94-AE9A-06AE82F0B7B1}"/>
    <cellStyle name="SAPBEXexcGood3 2 2 3" xfId="3251" xr:uid="{E331FDCF-DEE1-4B87-AF4F-33BBDDE408DD}"/>
    <cellStyle name="SAPBEXexcGood3 2 2 3 2" xfId="5625" xr:uid="{22983CC6-C5A5-4DD1-A64C-BEE7DFDF0BB0}"/>
    <cellStyle name="SAPBEXexcGood3 2 2 4" xfId="4187" xr:uid="{66839DB0-6299-40AB-849C-DA1991A2CBB9}"/>
    <cellStyle name="SAPBEXexcGood3 2 3" xfId="1651" xr:uid="{7E1C8BD4-697A-40D3-BD28-0513C712BF87}"/>
    <cellStyle name="SAPBEXexcGood3 2 3 2" xfId="3246" xr:uid="{980396A0-5E14-4DAA-ADD7-B32E9CD680E2}"/>
    <cellStyle name="SAPBEXexcGood3 2 3 2 2" xfId="5620" xr:uid="{62B57022-0278-4C34-823D-5546C67FC23F}"/>
    <cellStyle name="SAPBEXexcGood3 2 3 3" xfId="3124" xr:uid="{846BD0DA-2A4F-4A27-A3D1-222BABF0A339}"/>
    <cellStyle name="SAPBEXexcGood3 2 3 3 2" xfId="5498" xr:uid="{FAC9D116-4CA1-42DA-9178-33804783C0F2}"/>
    <cellStyle name="SAPBEXexcGood3 2 3 4" xfId="4188" xr:uid="{7FE7AC29-2509-4136-A931-9F26A5504DB7}"/>
    <cellStyle name="SAPBEXexcGood3 2 4" xfId="3063" xr:uid="{31E110BC-DAA4-4F81-82B2-0DC73FDD6A7A}"/>
    <cellStyle name="SAPBEXexcGood3 2 4 2" xfId="5437" xr:uid="{320CB6DB-26E7-4714-833B-5015D8DFB608}"/>
    <cellStyle name="SAPBEXexcGood3 2 5" xfId="3115" xr:uid="{5EF2567F-B64C-4B48-9894-B9E058A273D4}"/>
    <cellStyle name="SAPBEXexcGood3 2 5 2" xfId="5489" xr:uid="{B621CCF8-9A0A-4F35-88D5-C7A5D5B7D421}"/>
    <cellStyle name="SAPBEXexcGood3 2 6" xfId="1649" xr:uid="{E35BCF35-6DC0-4F6D-86AE-A309F77FA97A}"/>
    <cellStyle name="SAPBEXexcGood3 2 6 2" xfId="4186" xr:uid="{C3CCB38D-0EAA-4A66-B430-D78697D94A59}"/>
    <cellStyle name="SAPBEXexcGood3 2 7" xfId="3358" xr:uid="{FB6E062E-B69F-4A81-8BE5-6E8646FD04C4}"/>
    <cellStyle name="SAPBEXexcGood3 3" xfId="3069" xr:uid="{6407E7F9-5EB6-4C10-BAFD-1C8AF442B495}"/>
    <cellStyle name="SAPBEXexcGood3 3 2" xfId="5443" xr:uid="{7BE3B646-06D3-4111-8367-DAE5937D5B70}"/>
    <cellStyle name="SAPBEXexcGood3 4" xfId="3164" xr:uid="{1CC7D2F6-EB72-4CBD-BD6B-1D8CE0A52C24}"/>
    <cellStyle name="SAPBEXexcGood3 4 2" xfId="5538" xr:uid="{3EF6B874-47E8-427C-A9EB-42BBF0D6E69C}"/>
    <cellStyle name="SAPBEXexcGood3 5" xfId="1648" xr:uid="{8F14273A-1D45-488C-B08E-57660CD41D2B}"/>
    <cellStyle name="SAPBEXexcGood3 5 2" xfId="4185" xr:uid="{F48DE49A-F62A-42B6-BA3B-32456A3FC4AB}"/>
    <cellStyle name="SAPBEXexcGood3 6" xfId="3330" xr:uid="{BC41B650-A88D-45EE-BB95-9115F42084AC}"/>
    <cellStyle name="SAPBEXfilterDrill" xfId="86" xr:uid="{00000000-0005-0000-0000-00003E030000}"/>
    <cellStyle name="SAPBEXfilterDrill 2" xfId="1653" xr:uid="{AA0948EE-2C35-48BE-B8DA-B4A3832DF3DE}"/>
    <cellStyle name="SAPBEXfilterDrill 2 2" xfId="1654" xr:uid="{8709A415-A95F-4A84-9C6C-568443C19589}"/>
    <cellStyle name="SAPBEXfilterDrill 2 2 2" xfId="3222" xr:uid="{5352647C-02F9-4C50-BA02-4FC69A4DDCBD}"/>
    <cellStyle name="SAPBEXfilterDrill 2 2 2 2" xfId="5596" xr:uid="{7053E96B-B29C-4C17-99B1-1310557A8857}"/>
    <cellStyle name="SAPBEXfilterDrill 2 2 3" xfId="3101" xr:uid="{3B442078-63BE-4AEE-96D0-E928A0737388}"/>
    <cellStyle name="SAPBEXfilterDrill 2 2 3 2" xfId="5475" xr:uid="{3BE18AD4-45DF-40F0-8004-4CE00D4BA6C5}"/>
    <cellStyle name="SAPBEXfilterDrill 2 2 4" xfId="4191" xr:uid="{ED18476B-5750-4FEE-AC15-FA08093A0C11}"/>
    <cellStyle name="SAPBEXfilterDrill 2 3" xfId="1655" xr:uid="{E4714BA9-B7CE-431B-90D2-7B5837BD2C35}"/>
    <cellStyle name="SAPBEXfilterDrill 2 3 2" xfId="3047" xr:uid="{46AD5C18-16D2-4345-9C19-F0F99E64C55C}"/>
    <cellStyle name="SAPBEXfilterDrill 2 3 2 2" xfId="5421" xr:uid="{4CFBF9A6-C1D9-4125-A32B-9A5CA1555E83}"/>
    <cellStyle name="SAPBEXfilterDrill 2 3 3" xfId="3174" xr:uid="{09822ECA-A373-4A99-9E60-20A853CC7107}"/>
    <cellStyle name="SAPBEXfilterDrill 2 3 3 2" xfId="5548" xr:uid="{F4975F0F-C316-4060-8D00-12E354E303FA}"/>
    <cellStyle name="SAPBEXfilterDrill 2 3 4" xfId="4192" xr:uid="{0E786D51-0CA6-4F4F-A83A-22CC4F26AFAD}"/>
    <cellStyle name="SAPBEXfilterDrill 2 4" xfId="3136" xr:uid="{DF46AE6B-73F0-43A0-8548-4B85734E9A24}"/>
    <cellStyle name="SAPBEXfilterDrill 2 4 2" xfId="5510" xr:uid="{86D29935-3708-485A-ADBB-D1B1CBB7E7FE}"/>
    <cellStyle name="SAPBEXfilterDrill 2 5" xfId="3112" xr:uid="{C076FA5F-BF2D-4DF0-8B92-561EB2BD1C7D}"/>
    <cellStyle name="SAPBEXfilterDrill 2 5 2" xfId="5486" xr:uid="{2EDD4B0B-D394-4E56-8ED2-183668E6949C}"/>
    <cellStyle name="SAPBEXfilterDrill 2 6" xfId="4190" xr:uid="{55961F2E-9553-4299-87A9-E9B3900164F2}"/>
    <cellStyle name="SAPBEXfilterDrill 3" xfId="3075" xr:uid="{442107BC-4A92-4792-B707-2B4E74AC37AC}"/>
    <cellStyle name="SAPBEXfilterDrill 3 2" xfId="5449" xr:uid="{422B98E0-FC46-4A04-A67E-727A455A4FA3}"/>
    <cellStyle name="SAPBEXfilterDrill 4" xfId="3204" xr:uid="{512064FE-81AE-4DED-AC66-7294DEF7C46A}"/>
    <cellStyle name="SAPBEXfilterDrill 4 2" xfId="5578" xr:uid="{83853B67-C0F6-435C-8610-61C05FD90FD2}"/>
    <cellStyle name="SAPBEXfilterDrill 5" xfId="1652" xr:uid="{CA55BA2E-CB05-434B-99BA-681A7FBE4E84}"/>
    <cellStyle name="SAPBEXfilterDrill 5 2" xfId="4189" xr:uid="{80BBCFE2-E247-44FE-852B-23A842F0CC61}"/>
    <cellStyle name="SAPBEXfilterItem" xfId="87" xr:uid="{00000000-0005-0000-0000-00003F030000}"/>
    <cellStyle name="SAPBEXfilterItem 2" xfId="137" xr:uid="{00000000-0005-0000-0000-000040030000}"/>
    <cellStyle name="SAPBEXfilterItem 2 2" xfId="3196" xr:uid="{26DDC478-4B83-40C9-A39F-3DFB8178C2FD}"/>
    <cellStyle name="SAPBEXfilterItem 2 2 2" xfId="5570" xr:uid="{CB3B5C81-7E4D-4A85-99A3-A3E07ACDBA76}"/>
    <cellStyle name="SAPBEXfilterItem 2 3" xfId="3198" xr:uid="{18D34F26-06AC-4E81-8EBB-36EE3DB2368F}"/>
    <cellStyle name="SAPBEXfilterItem 2 3 2" xfId="5572" xr:uid="{773F0752-3C13-4350-8BA2-F84B3FA426BB}"/>
    <cellStyle name="SAPBEXfilterItem 2 4" xfId="1657" xr:uid="{B3C68D2B-7FF0-4A4F-BE6C-452FFD3B9A86}"/>
    <cellStyle name="SAPBEXfilterItem 2 4 2" xfId="4194" xr:uid="{BADF643C-7B1F-47DC-AAD9-36DBF43F6CB7}"/>
    <cellStyle name="SAPBEXfilterItem 3" xfId="3056" xr:uid="{55CFED75-56D0-456E-A9BC-2CB3D061E5F6}"/>
    <cellStyle name="SAPBEXfilterItem 3 2" xfId="5430" xr:uid="{0B6E4E49-5243-468F-827D-FFF4F5855A6D}"/>
    <cellStyle name="SAPBEXfilterItem 4" xfId="1656" xr:uid="{7BC29FEA-E576-4E4F-B57E-5D6DE5502520}"/>
    <cellStyle name="SAPBEXfilterItem 4 2" xfId="4193" xr:uid="{2B7614F3-829F-48A3-B1AB-23DA9A31AB70}"/>
    <cellStyle name="SAPBEXfilterText" xfId="88" xr:uid="{00000000-0005-0000-0000-000041030000}"/>
    <cellStyle name="SAPBEXfilterText 2" xfId="1659" xr:uid="{2EAFFB29-3F08-4266-9241-CF3B4D1C05DF}"/>
    <cellStyle name="SAPBEXfilterText 2 2" xfId="3203" xr:uid="{EBF5D647-6FFC-4536-B73D-A6D2CE56CD38}"/>
    <cellStyle name="SAPBEXfilterText 2 2 2" xfId="5577" xr:uid="{5DE59176-53CC-48B1-86F4-19B02BA80C12}"/>
    <cellStyle name="SAPBEXfilterText 2 3" xfId="3280" xr:uid="{202CDC45-E8FE-4DD6-B36E-5ABA6ED71F2F}"/>
    <cellStyle name="SAPBEXfilterText 2 3 2" xfId="5654" xr:uid="{CF9B5040-88CA-4ABE-802C-1089F4EA4FB3}"/>
    <cellStyle name="SAPBEXfilterText 2 4" xfId="4195" xr:uid="{74510BFB-F991-44D6-937A-B7CA0C9CCE57}"/>
    <cellStyle name="SAPBEXfilterText 3" xfId="1658" xr:uid="{2EFFD2FB-4EFF-4BB5-9ECE-E19E93844D9E}"/>
    <cellStyle name="SAPBEXformats" xfId="89" xr:uid="{00000000-0005-0000-0000-000042030000}"/>
    <cellStyle name="SAPBEXformats 2" xfId="138" xr:uid="{00000000-0005-0000-0000-000043030000}"/>
    <cellStyle name="SAPBEXformats 2 2" xfId="1662" xr:uid="{B940E059-2B50-4168-B331-DDEAB57A1B61}"/>
    <cellStyle name="SAPBEXformats 2 2 2" xfId="3240" xr:uid="{5EC3A3D7-F8FF-4731-8DC3-F171D47924F4}"/>
    <cellStyle name="SAPBEXformats 2 2 2 2" xfId="5614" xr:uid="{61461216-0E43-4C68-9E3D-2A464F6EF117}"/>
    <cellStyle name="SAPBEXformats 2 2 3" xfId="3223" xr:uid="{C685FAC2-D748-4A2A-BF82-05F7B49B2697}"/>
    <cellStyle name="SAPBEXformats 2 2 3 2" xfId="5597" xr:uid="{DB843D10-7BB6-46F8-BD10-DBC323980825}"/>
    <cellStyle name="SAPBEXformats 2 2 4" xfId="4198" xr:uid="{F4FC0D95-A6F1-466D-915D-3C1B6D079996}"/>
    <cellStyle name="SAPBEXformats 2 3" xfId="1663" xr:uid="{4ECBCEA1-C1DE-43CA-9D78-A002EE25FEF8}"/>
    <cellStyle name="SAPBEXformats 2 3 2" xfId="3155" xr:uid="{23FFB165-B6F0-4581-893D-729ED88952E7}"/>
    <cellStyle name="SAPBEXformats 2 3 2 2" xfId="5529" xr:uid="{060C118E-308D-4055-917C-98A4F4C339CA}"/>
    <cellStyle name="SAPBEXformats 2 3 3" xfId="3237" xr:uid="{892E4439-009D-4C49-9C82-117EE0905FB5}"/>
    <cellStyle name="SAPBEXformats 2 3 3 2" xfId="5611" xr:uid="{6998E6D8-AF2C-4DFA-966E-8D67361B595B}"/>
    <cellStyle name="SAPBEXformats 2 3 4" xfId="4199" xr:uid="{C4B4DB4D-ABE7-4AAB-A923-70CE0ED01437}"/>
    <cellStyle name="SAPBEXformats 2 4" xfId="3091" xr:uid="{4EE5D656-9808-4C75-8783-D09910C08B48}"/>
    <cellStyle name="SAPBEXformats 2 4 2" xfId="5465" xr:uid="{4E9E46AD-0A06-40FC-87CE-0D746DF72377}"/>
    <cellStyle name="SAPBEXformats 2 5" xfId="3182" xr:uid="{9E6AC1C4-FDF9-439F-9C11-65E3810FBF29}"/>
    <cellStyle name="SAPBEXformats 2 5 2" xfId="5556" xr:uid="{2258ED9B-459A-4C28-B529-2EA1F86BE229}"/>
    <cellStyle name="SAPBEXformats 2 6" xfId="1661" xr:uid="{917D38CA-E680-4611-95E8-770B9227277A}"/>
    <cellStyle name="SAPBEXformats 2 6 2" xfId="4197" xr:uid="{6DD99085-EBE9-42BF-8306-8DF0051632E8}"/>
    <cellStyle name="SAPBEXformats 2 7" xfId="3359" xr:uid="{67282BB5-1606-4917-8684-1E5585FD27D7}"/>
    <cellStyle name="SAPBEXformats 3" xfId="3092" xr:uid="{F8490C7C-FD25-42A3-932C-E6CF57BAE55A}"/>
    <cellStyle name="SAPBEXformats 3 2" xfId="5466" xr:uid="{7942C92D-6291-4D06-8DD7-3654AEE528B9}"/>
    <cellStyle name="SAPBEXformats 4" xfId="3185" xr:uid="{099559A9-2D0B-434F-A77C-A1E934A5D2B3}"/>
    <cellStyle name="SAPBEXformats 4 2" xfId="5559" xr:uid="{70B640DA-1EB5-4CDA-9988-1B2528A5DC34}"/>
    <cellStyle name="SAPBEXformats 5" xfId="1660" xr:uid="{EAD56A5B-43C3-43B1-8B8E-3A885F87B1DF}"/>
    <cellStyle name="SAPBEXformats 5 2" xfId="4196" xr:uid="{5D64FC15-9DCE-4B9B-BF08-FD3B17C1DEF7}"/>
    <cellStyle name="SAPBEXformats 6" xfId="3331" xr:uid="{5FCAA5D1-3DD9-4D9A-BD23-0F19E7716CF7}"/>
    <cellStyle name="SAPBEXheaderItem" xfId="90" xr:uid="{00000000-0005-0000-0000-000044030000}"/>
    <cellStyle name="SAPBEXheaderItem 2" xfId="1665" xr:uid="{7BCED91B-E93B-4279-A022-5C096C0E258B}"/>
    <cellStyle name="SAPBEXheaderItem 2 2" xfId="1666" xr:uid="{A110E022-D11E-420C-866B-F2A9DA8C20D3}"/>
    <cellStyle name="SAPBEXheaderItem 2 2 2" xfId="3125" xr:uid="{CDBB871A-AE43-4D8C-9720-6AE11DF21208}"/>
    <cellStyle name="SAPBEXheaderItem 2 2 2 2" xfId="5499" xr:uid="{FF42C634-587E-449C-93A8-14D549956B01}"/>
    <cellStyle name="SAPBEXheaderItem 2 2 3" xfId="3277" xr:uid="{CEF6A255-19E9-4B31-B11E-448113DEA785}"/>
    <cellStyle name="SAPBEXheaderItem 2 2 3 2" xfId="5651" xr:uid="{35074C82-2305-49C0-9B70-96C6DD9640A9}"/>
    <cellStyle name="SAPBEXheaderItem 2 2 4" xfId="4202" xr:uid="{03F1D92C-A186-4D33-9DBA-3690E7E5274C}"/>
    <cellStyle name="SAPBEXheaderItem 2 3" xfId="1667" xr:uid="{73365FD4-F9FB-4AD2-BE01-15C597FDED53}"/>
    <cellStyle name="SAPBEXheaderItem 2 3 2" xfId="3121" xr:uid="{AD57CECD-DB90-43DE-942B-3E41AFAD88EA}"/>
    <cellStyle name="SAPBEXheaderItem 2 3 2 2" xfId="5495" xr:uid="{76278D70-69E2-4A9D-AE43-8A3F7EADA814}"/>
    <cellStyle name="SAPBEXheaderItem 2 3 3" xfId="3096" xr:uid="{40DAB32C-61C6-447C-86D5-175D4A8DB09C}"/>
    <cellStyle name="SAPBEXheaderItem 2 3 3 2" xfId="5470" xr:uid="{7D75FC85-98F1-4FAF-B742-1A13BE3B8185}"/>
    <cellStyle name="SAPBEXheaderItem 2 3 4" xfId="4203" xr:uid="{A9A9D296-7004-4036-A68A-16F192BC8166}"/>
    <cellStyle name="SAPBEXheaderItem 2 4" xfId="3146" xr:uid="{8EBE583F-0268-48B3-ABB7-26D48B03AA82}"/>
    <cellStyle name="SAPBEXheaderItem 2 4 2" xfId="5520" xr:uid="{D97CD8EA-F0D9-49B1-9DEE-28B7053DCEF8}"/>
    <cellStyle name="SAPBEXheaderItem 2 5" xfId="3079" xr:uid="{82072485-BD4E-442E-BEDF-A8749C5A7F18}"/>
    <cellStyle name="SAPBEXheaderItem 2 5 2" xfId="5453" xr:uid="{310C2548-118F-4D52-AF32-53416FB1B3FB}"/>
    <cellStyle name="SAPBEXheaderItem 2 6" xfId="4201" xr:uid="{0056D81F-A7E7-4DDE-979C-1DB9460DDFBD}"/>
    <cellStyle name="SAPBEXheaderItem 3" xfId="3235" xr:uid="{D53ABB5E-3643-42E6-9B21-08EEA69DE1EA}"/>
    <cellStyle name="SAPBEXheaderItem 3 2" xfId="5609" xr:uid="{3FA59EDC-C35D-492A-A1E5-E2C345BEE200}"/>
    <cellStyle name="SAPBEXheaderItem 4" xfId="3158" xr:uid="{3DB807E6-BD30-4779-92F2-3B6DCECDC804}"/>
    <cellStyle name="SAPBEXheaderItem 4 2" xfId="5532" xr:uid="{6474D8F1-7D40-4021-AE98-F47F34D6C3A3}"/>
    <cellStyle name="SAPBEXheaderItem 5" xfId="1664" xr:uid="{3FC98029-37DE-49A6-AC7E-ABAEE4420013}"/>
    <cellStyle name="SAPBEXheaderItem 5 2" xfId="4200" xr:uid="{76086955-234F-4136-9B84-B2A917BAB332}"/>
    <cellStyle name="SAPBEXheaderText" xfId="91" xr:uid="{00000000-0005-0000-0000-000045030000}"/>
    <cellStyle name="SAPBEXheaderText 2" xfId="1669" xr:uid="{0E4D9BB7-34C9-4A28-82FD-D244AA8F9CA5}"/>
    <cellStyle name="SAPBEXheaderText 2 2" xfId="1670" xr:uid="{A3FEF62C-79E7-430A-B5C7-5CCE5033C9C2}"/>
    <cellStyle name="SAPBEXheaderText 2 2 2" xfId="3283" xr:uid="{842DAEAC-72B0-4CF8-8AD6-72689CFC7EF5}"/>
    <cellStyle name="SAPBEXheaderText 2 2 2 2" xfId="5657" xr:uid="{414D8BB8-CFD0-4093-ABE5-B230F01524A8}"/>
    <cellStyle name="SAPBEXheaderText 2 2 3" xfId="3130" xr:uid="{9A8FBC6B-CCFC-4273-B4B0-3A71ACAE7F34}"/>
    <cellStyle name="SAPBEXheaderText 2 2 3 2" xfId="5504" xr:uid="{68B6D192-6265-4206-B800-6461CE810633}"/>
    <cellStyle name="SAPBEXheaderText 2 2 4" xfId="4206" xr:uid="{73159E38-3E44-42D4-90F8-7CE32DDD6D65}"/>
    <cellStyle name="SAPBEXheaderText 2 3" xfId="1671" xr:uid="{FEA0F069-5E53-45FC-B583-57DCFC6F8D64}"/>
    <cellStyle name="SAPBEXheaderText 2 3 2" xfId="3285" xr:uid="{A25D66E2-9BCA-4761-95A1-FFC09244C22A}"/>
    <cellStyle name="SAPBEXheaderText 2 3 2 2" xfId="5659" xr:uid="{CF1ECA2C-9F8B-4C2A-80D8-7DE6C27F9706}"/>
    <cellStyle name="SAPBEXheaderText 2 3 3" xfId="3123" xr:uid="{ED5E1908-D043-40D6-B3FE-C7C82E1ED9ED}"/>
    <cellStyle name="SAPBEXheaderText 2 3 3 2" xfId="5497" xr:uid="{C6C4D615-4000-4D89-B223-4571C24EC008}"/>
    <cellStyle name="SAPBEXheaderText 2 3 4" xfId="4207" xr:uid="{AA5DFB8A-CF90-4295-BECD-2D4FC8662B8A}"/>
    <cellStyle name="SAPBEXheaderText 2 4" xfId="3233" xr:uid="{1DB7A1FF-F92F-4D76-B70B-C94F977E8EDB}"/>
    <cellStyle name="SAPBEXheaderText 2 4 2" xfId="5607" xr:uid="{2F5E3676-ECC9-4ECC-BBD0-60C24C6B4617}"/>
    <cellStyle name="SAPBEXheaderText 2 5" xfId="3221" xr:uid="{7D6BF8C5-3C2A-483B-9B40-F49916D94FD9}"/>
    <cellStyle name="SAPBEXheaderText 2 5 2" xfId="5595" xr:uid="{6B268ADE-4B28-4829-A717-CD84B50FF19D}"/>
    <cellStyle name="SAPBEXheaderText 2 6" xfId="4205" xr:uid="{E6342F36-CE35-47B4-981D-E57A7C13B659}"/>
    <cellStyle name="SAPBEXheaderText 3" xfId="3144" xr:uid="{7B55D53C-9EA3-4CF5-8157-D2F5E09B5BC5}"/>
    <cellStyle name="SAPBEXheaderText 3 2" xfId="5518" xr:uid="{4AABACDB-15FD-4D53-81ED-54DEF692B57A}"/>
    <cellStyle name="SAPBEXheaderText 4" xfId="3073" xr:uid="{FD02BF4F-842A-408B-8730-FBFD970C2019}"/>
    <cellStyle name="SAPBEXheaderText 4 2" xfId="5447" xr:uid="{5BB37F44-B6EC-4B48-883B-1C857B6C8E7E}"/>
    <cellStyle name="SAPBEXheaderText 5" xfId="1668" xr:uid="{6B0897FD-BAE9-4299-B132-3D800C1B68F2}"/>
    <cellStyle name="SAPBEXheaderText 5 2" xfId="4204" xr:uid="{941FF39E-0ACD-4884-9315-BD8014E4EBCF}"/>
    <cellStyle name="SAPBEXHLevel0" xfId="92" xr:uid="{00000000-0005-0000-0000-000046030000}"/>
    <cellStyle name="SAPBEXHLevel0 2" xfId="933" xr:uid="{138A92E3-7D55-4952-AEFB-C1782E9DFF2F}"/>
    <cellStyle name="SAPBEXHLevel0 2 2" xfId="1674" xr:uid="{36D9D267-5281-46A4-A1DA-573AF10B6BAA}"/>
    <cellStyle name="SAPBEXHLevel0 2 2 2" xfId="3276" xr:uid="{2B5579B0-D920-4A1E-9D1F-6CAA37193063}"/>
    <cellStyle name="SAPBEXHLevel0 2 2 2 2" xfId="5650" xr:uid="{67C54598-EA0C-4A8E-8E78-522D91B16776}"/>
    <cellStyle name="SAPBEXHLevel0 2 2 3" xfId="3065" xr:uid="{E914C898-D2BD-4BBF-BB68-AB6CC65734FD}"/>
    <cellStyle name="SAPBEXHLevel0 2 2 3 2" xfId="5439" xr:uid="{22420A2A-5B0E-4498-81BF-C3FCF8DF09C6}"/>
    <cellStyle name="SAPBEXHLevel0 2 2 4" xfId="4210" xr:uid="{4D2D2032-CD87-4438-A872-7A01B9E76135}"/>
    <cellStyle name="SAPBEXHLevel0 2 3" xfId="1675" xr:uid="{B27FC2F0-F263-4D18-879B-CF196FB0A6DE}"/>
    <cellStyle name="SAPBEXHLevel0 2 3 2" xfId="3057" xr:uid="{157B5CCA-3C69-47DC-9831-7EB07731AB6B}"/>
    <cellStyle name="SAPBEXHLevel0 2 3 2 2" xfId="5431" xr:uid="{98DD41C2-3EF9-48BA-9CEF-3CE9FEAAC7D4}"/>
    <cellStyle name="SAPBEXHLevel0 2 3 3" xfId="3067" xr:uid="{F6C17396-4025-4F47-9D88-B4D2F7AC8553}"/>
    <cellStyle name="SAPBEXHLevel0 2 3 3 2" xfId="5441" xr:uid="{6AF87A54-8310-4CD2-916C-989E45D03941}"/>
    <cellStyle name="SAPBEXHLevel0 2 3 4" xfId="4211" xr:uid="{1E425DBC-497B-488F-B450-7A39EE11CEF7}"/>
    <cellStyle name="SAPBEXHLevel0 2 4" xfId="3163" xr:uid="{C7A02F57-6BF0-4D0F-A1EF-52AB2D4AC8AD}"/>
    <cellStyle name="SAPBEXHLevel0 2 4 2" xfId="5537" xr:uid="{F15E12A2-C7BA-4164-B6E5-0AED0D55DCBC}"/>
    <cellStyle name="SAPBEXHLevel0 2 5" xfId="3234" xr:uid="{37AA15B5-E5C6-44D9-BCE9-E15CB5D70551}"/>
    <cellStyle name="SAPBEXHLevel0 2 5 2" xfId="5608" xr:uid="{546F3025-87DE-42C2-9D8D-8166404DE6A6}"/>
    <cellStyle name="SAPBEXHLevel0 2 6" xfId="1673" xr:uid="{4FFD3559-416C-4418-913E-589139F47BC8}"/>
    <cellStyle name="SAPBEXHLevel0 2 6 2" xfId="4209" xr:uid="{1E34678E-500A-48BF-A05B-21D1AC0CA4C2}"/>
    <cellStyle name="SAPBEXHLevel0 2 7" xfId="3831" xr:uid="{10861CCE-96AA-436F-8123-73632B7080AE}"/>
    <cellStyle name="SAPBEXHLevel0 3" xfId="3054" xr:uid="{5482EA0F-F472-4C49-9A3B-40D951BDFCC5}"/>
    <cellStyle name="SAPBEXHLevel0 3 2" xfId="5428" xr:uid="{E371F977-85F5-4832-B8D4-A1DB094B50F7}"/>
    <cellStyle name="SAPBEXHLevel0 4" xfId="3086" xr:uid="{7D43D4A9-CF33-4142-92D2-E01DEE52393D}"/>
    <cellStyle name="SAPBEXHLevel0 4 2" xfId="5460" xr:uid="{CE9E4384-1910-450D-B6D8-4CEDE851F24F}"/>
    <cellStyle name="SAPBEXHLevel0 5" xfId="1672" xr:uid="{260F3BE1-1942-46A2-A562-B5B766064538}"/>
    <cellStyle name="SAPBEXHLevel0 5 2" xfId="4208" xr:uid="{A23D882A-90AE-4A45-AF82-1161667287CC}"/>
    <cellStyle name="SAPBEXHLevel0 6" xfId="3332" xr:uid="{F3F976E6-7CF9-44FB-8D7E-4ADF0B963DA8}"/>
    <cellStyle name="SAPBEXHLevel0X" xfId="93" xr:uid="{00000000-0005-0000-0000-000047030000}"/>
    <cellStyle name="SAPBEXHLevel0X 2" xfId="934" xr:uid="{813EE4E2-02AD-4BA4-B4E0-FB3EBA2FA67B}"/>
    <cellStyle name="SAPBEXHLevel0X 2 2" xfId="3224" xr:uid="{8F8CCF87-FF13-4FCF-8670-1B867124CC4C}"/>
    <cellStyle name="SAPBEXHLevel0X 2 2 2" xfId="5598" xr:uid="{93707180-4E41-4695-86AA-9258B552ACEA}"/>
    <cellStyle name="SAPBEXHLevel0X 2 3" xfId="3219" xr:uid="{D8C54BDF-2670-4CE5-B37F-B38527CA0278}"/>
    <cellStyle name="SAPBEXHLevel0X 2 3 2" xfId="5593" xr:uid="{41B27FAC-2F4B-454D-9C00-FDFE2E2788FB}"/>
    <cellStyle name="SAPBEXHLevel0X 2 4" xfId="1677" xr:uid="{32B63010-329F-4D76-8A7F-9FD229022CDF}"/>
    <cellStyle name="SAPBEXHLevel0X 2 4 2" xfId="4213" xr:uid="{3A448438-42D0-413C-AAA4-3538A5A2A881}"/>
    <cellStyle name="SAPBEXHLevel0X 2 5" xfId="3832" xr:uid="{59FDBCFC-53B4-4141-BECF-756F00B25457}"/>
    <cellStyle name="SAPBEXHLevel0X 3" xfId="3199" xr:uid="{EEAFB0A1-DEB3-4A98-875C-62B4CB6B81A9}"/>
    <cellStyle name="SAPBEXHLevel0X 3 2" xfId="5573" xr:uid="{2F620243-F1BE-4A4B-A50C-BAC29950D417}"/>
    <cellStyle name="SAPBEXHLevel0X 4" xfId="3193" xr:uid="{DCBA5B0E-57AA-4F1F-944D-44CB4BBA7ECC}"/>
    <cellStyle name="SAPBEXHLevel0X 4 2" xfId="5567" xr:uid="{FD762F34-C532-4821-AF39-F44AD444FB20}"/>
    <cellStyle name="SAPBEXHLevel0X 5" xfId="1676" xr:uid="{2B51D8E9-D1A4-403B-B2D6-36E138A0549F}"/>
    <cellStyle name="SAPBEXHLevel0X 5 2" xfId="4212" xr:uid="{B2398A4B-4FBD-4021-B9DF-43FE3BE8297B}"/>
    <cellStyle name="SAPBEXHLevel0X 6" xfId="3333" xr:uid="{3CA242C7-29FF-43C4-93C8-8237320BEBB9}"/>
    <cellStyle name="SAPBEXHLevel1" xfId="94" xr:uid="{00000000-0005-0000-0000-000048030000}"/>
    <cellStyle name="SAPBEXHLevel1 2" xfId="935" xr:uid="{1E5748E1-CCDE-447F-A92D-3D37BD09F332}"/>
    <cellStyle name="SAPBEXHLevel1 2 2" xfId="1680" xr:uid="{C106B658-C5B2-4B1E-B2C3-D9120C3D9AC1}"/>
    <cellStyle name="SAPBEXHLevel1 2 2 2" xfId="3188" xr:uid="{A8E64A5C-F606-4A78-8DF1-F7A3EC7F9343}"/>
    <cellStyle name="SAPBEXHLevel1 2 2 2 2" xfId="5562" xr:uid="{C05670E2-8557-4329-A35F-B2CB9C8977B3}"/>
    <cellStyle name="SAPBEXHLevel1 2 2 3" xfId="3216" xr:uid="{D96BDD4F-CBA9-41F6-AFCD-C9E5F4E88061}"/>
    <cellStyle name="SAPBEXHLevel1 2 2 3 2" xfId="5590" xr:uid="{4B98FEE1-E63E-42DE-A728-A17C2392D67A}"/>
    <cellStyle name="SAPBEXHLevel1 2 2 4" xfId="4216" xr:uid="{C503C903-EF2D-4CE5-8CF0-60915A1849C1}"/>
    <cellStyle name="SAPBEXHLevel1 2 3" xfId="1681" xr:uid="{81F47840-BE41-487F-8D39-AC08035EE070}"/>
    <cellStyle name="SAPBEXHLevel1 2 3 2" xfId="3061" xr:uid="{DC77A17B-E078-43F2-8B44-84E2BEF2B92B}"/>
    <cellStyle name="SAPBEXHLevel1 2 3 2 2" xfId="5435" xr:uid="{847C2E62-C60A-41D5-A260-087FD74DB7A6}"/>
    <cellStyle name="SAPBEXHLevel1 2 3 3" xfId="3179" xr:uid="{1B4A4CE9-03F6-48EE-8A89-03514D11A30B}"/>
    <cellStyle name="SAPBEXHLevel1 2 3 3 2" xfId="5553" xr:uid="{FAFFB840-C00D-40FE-8EAB-3713BF2DAB3E}"/>
    <cellStyle name="SAPBEXHLevel1 2 3 4" xfId="4217" xr:uid="{D0219CC4-9FFA-41D3-8883-6E6FD828D63E}"/>
    <cellStyle name="SAPBEXHLevel1 2 4" xfId="3226" xr:uid="{8ABAB0FD-D553-443E-A739-3BCA558E441E}"/>
    <cellStyle name="SAPBEXHLevel1 2 4 2" xfId="5600" xr:uid="{85407F7F-98BC-40E0-8AC7-AF5B0FB7678A}"/>
    <cellStyle name="SAPBEXHLevel1 2 5" xfId="3072" xr:uid="{6A09DDA2-6E4D-409D-962E-F08B34156114}"/>
    <cellStyle name="SAPBEXHLevel1 2 5 2" xfId="5446" xr:uid="{F44605D7-3459-4E22-A41F-008BA6B8B497}"/>
    <cellStyle name="SAPBEXHLevel1 2 6" xfId="1679" xr:uid="{B67C742D-F57F-428E-985D-E5EAFEE208DC}"/>
    <cellStyle name="SAPBEXHLevel1 2 6 2" xfId="4215" xr:uid="{828776C1-509B-4ABE-8BED-4F6EBF21ED2B}"/>
    <cellStyle name="SAPBEXHLevel1 2 7" xfId="3833" xr:uid="{B103F903-BAE2-4AE8-8E68-8E73ED73E25F}"/>
    <cellStyle name="SAPBEXHLevel1 3" xfId="3281" xr:uid="{BA804709-4A62-4CB3-BA1A-E9A6DDE4BCBF}"/>
    <cellStyle name="SAPBEXHLevel1 3 2" xfId="5655" xr:uid="{91C5EA0F-4F11-4D36-B0E1-B0B387E9720B}"/>
    <cellStyle name="SAPBEXHLevel1 4" xfId="3242" xr:uid="{F31E819A-0659-483B-8D96-6110D3190870}"/>
    <cellStyle name="SAPBEXHLevel1 4 2" xfId="5616" xr:uid="{2907E35E-5ECF-44ED-B12D-F1703BC9ECB3}"/>
    <cellStyle name="SAPBEXHLevel1 5" xfId="1678" xr:uid="{62258D7D-8031-45D0-90DB-1C1F40C782D3}"/>
    <cellStyle name="SAPBEXHLevel1 5 2" xfId="4214" xr:uid="{2F4A9481-9E6A-4F97-B4F3-B169FE04D6AA}"/>
    <cellStyle name="SAPBEXHLevel1 6" xfId="3334" xr:uid="{F2DE6417-491D-41F8-8ED7-F4751EAE75B6}"/>
    <cellStyle name="SAPBEXHLevel1X" xfId="95" xr:uid="{00000000-0005-0000-0000-000049030000}"/>
    <cellStyle name="SAPBEXHLevel1X 2" xfId="936" xr:uid="{4198AE00-CB9B-4A91-9629-87766F783E40}"/>
    <cellStyle name="SAPBEXHLevel1X 2 2" xfId="3132" xr:uid="{F6549A4C-F75A-40FC-A0C6-95A2F56842B1}"/>
    <cellStyle name="SAPBEXHLevel1X 2 2 2" xfId="5506" xr:uid="{DBBAAEF4-E339-4A4D-B28A-9A21B98FBBE6}"/>
    <cellStyle name="SAPBEXHLevel1X 2 3" xfId="3102" xr:uid="{D401DEA8-3682-4F5A-9E5C-43DD484DBCA8}"/>
    <cellStyle name="SAPBEXHLevel1X 2 3 2" xfId="5476" xr:uid="{72EDAC8F-2CC7-405D-99EB-8802383E58E4}"/>
    <cellStyle name="SAPBEXHLevel1X 2 4" xfId="1683" xr:uid="{EB5E3A6F-DCF9-4D74-81D2-AB8762A7BC6A}"/>
    <cellStyle name="SAPBEXHLevel1X 2 4 2" xfId="4219" xr:uid="{EDDE5062-6C15-42B9-B5CE-E96F8A9505E0}"/>
    <cellStyle name="SAPBEXHLevel1X 2 5" xfId="3834" xr:uid="{294E6A77-0425-410C-9907-794F42C9D273}"/>
    <cellStyle name="SAPBEXHLevel1X 3" xfId="3085" xr:uid="{F2A2836D-3FDF-4231-8FF4-02AB8ECB1EBB}"/>
    <cellStyle name="SAPBEXHLevel1X 3 2" xfId="5459" xr:uid="{11497F1E-4B8C-4C24-8875-966C5931BC66}"/>
    <cellStyle name="SAPBEXHLevel1X 4" xfId="3264" xr:uid="{63D45063-636F-489B-8378-B22C4F0AD139}"/>
    <cellStyle name="SAPBEXHLevel1X 4 2" xfId="5638" xr:uid="{A795B233-653E-4C8E-97E1-17B9B016D817}"/>
    <cellStyle name="SAPBEXHLevel1X 5" xfId="1682" xr:uid="{7AA82E9D-E1D7-4196-894E-EC1CD17581F1}"/>
    <cellStyle name="SAPBEXHLevel1X 5 2" xfId="4218" xr:uid="{BEE03B4C-2FC9-42A2-BBFE-5AC636401789}"/>
    <cellStyle name="SAPBEXHLevel1X 6" xfId="3335" xr:uid="{31D5C3FD-8E9E-4C29-BAAE-3A20BBE22289}"/>
    <cellStyle name="SAPBEXHLevel2" xfId="96" xr:uid="{00000000-0005-0000-0000-00004A030000}"/>
    <cellStyle name="SAPBEXHLevel2 2" xfId="937" xr:uid="{112184E3-3731-4B01-B8BE-C6F1F802D2B8}"/>
    <cellStyle name="SAPBEXHLevel2 2 2" xfId="1686" xr:uid="{714145B0-5052-4C76-BFCA-3BD9D4B8FFBF}"/>
    <cellStyle name="SAPBEXHLevel2 2 2 2" xfId="3189" xr:uid="{EE676274-4697-4607-9CAF-9A1815999F54}"/>
    <cellStyle name="SAPBEXHLevel2 2 2 2 2" xfId="5563" xr:uid="{E88E69B4-FF6E-41D8-B889-A040036B4841}"/>
    <cellStyle name="SAPBEXHLevel2 2 2 3" xfId="3266" xr:uid="{3EF86291-25F5-4611-B950-C58FB3E48C6B}"/>
    <cellStyle name="SAPBEXHLevel2 2 2 3 2" xfId="5640" xr:uid="{B2316DDC-4572-4D63-A615-7C32308608E1}"/>
    <cellStyle name="SAPBEXHLevel2 2 2 4" xfId="4222" xr:uid="{5E128F58-B43F-405F-AF9B-25445ADE457F}"/>
    <cellStyle name="SAPBEXHLevel2 2 3" xfId="1687" xr:uid="{F3A6212E-BBDC-41EB-AE04-C8C0D8FB7DD3}"/>
    <cellStyle name="SAPBEXHLevel2 2 3 2" xfId="3152" xr:uid="{7BC8A612-3A88-44FD-BD08-93C1BB2DEDD8}"/>
    <cellStyle name="SAPBEXHLevel2 2 3 2 2" xfId="5526" xr:uid="{CC58880A-7E69-4CE8-B8DF-ECA3DD796FF0}"/>
    <cellStyle name="SAPBEXHLevel2 2 3 3" xfId="3077" xr:uid="{1C8FA20C-B05D-4A71-9B83-0926A2EB85AF}"/>
    <cellStyle name="SAPBEXHLevel2 2 3 3 2" xfId="5451" xr:uid="{26D2DD2A-35B5-426D-A957-E3D7B259203A}"/>
    <cellStyle name="SAPBEXHLevel2 2 3 4" xfId="4223" xr:uid="{3520AE4C-F75E-4B47-8A17-AEAE975D1F34}"/>
    <cellStyle name="SAPBEXHLevel2 2 4" xfId="3094" xr:uid="{2187196E-C82C-47D1-84EA-3DF46AABC06A}"/>
    <cellStyle name="SAPBEXHLevel2 2 4 2" xfId="5468" xr:uid="{9CA45251-E5ED-47E0-923A-EFAFF46F275D}"/>
    <cellStyle name="SAPBEXHLevel2 2 5" xfId="3197" xr:uid="{12B87643-93D9-4BF2-8E1C-D6B4D2EAD30F}"/>
    <cellStyle name="SAPBEXHLevel2 2 5 2" xfId="5571" xr:uid="{DD81B9A2-E5BB-4969-B408-3F39E5E837D3}"/>
    <cellStyle name="SAPBEXHLevel2 2 6" xfId="1685" xr:uid="{2D80E795-DAC9-46F1-B95C-C10036BC1501}"/>
    <cellStyle name="SAPBEXHLevel2 2 6 2" xfId="4221" xr:uid="{864D8988-4A80-4744-925F-84A66B7DB089}"/>
    <cellStyle name="SAPBEXHLevel2 2 7" xfId="3835" xr:uid="{B1D10EC1-6262-4B66-BCF4-60A8275FB038}"/>
    <cellStyle name="SAPBEXHLevel2 3" xfId="3258" xr:uid="{CD214021-66A2-4D77-9F80-FA952FB153DD}"/>
    <cellStyle name="SAPBEXHLevel2 3 2" xfId="5632" xr:uid="{D7C5CDA5-0410-4CFC-813C-D37681F2C024}"/>
    <cellStyle name="SAPBEXHLevel2 4" xfId="3214" xr:uid="{4461AEE9-A85A-443E-BE2A-40891D7BE9F5}"/>
    <cellStyle name="SAPBEXHLevel2 4 2" xfId="5588" xr:uid="{B9348CC0-2B83-4E8D-9CBF-6FA39A089771}"/>
    <cellStyle name="SAPBEXHLevel2 5" xfId="1684" xr:uid="{2D1B3528-73AD-4F5B-98F1-AAD6A1F325EB}"/>
    <cellStyle name="SAPBEXHLevel2 5 2" xfId="4220" xr:uid="{7C4C8ED6-4497-4B77-A1DB-F86071B08271}"/>
    <cellStyle name="SAPBEXHLevel2 6" xfId="3336" xr:uid="{5A6C6A95-81A8-4D56-BF1B-C1457391BA84}"/>
    <cellStyle name="SAPBEXHLevel2X" xfId="97" xr:uid="{00000000-0005-0000-0000-00004B030000}"/>
    <cellStyle name="SAPBEXHLevel2X 2" xfId="938" xr:uid="{A67F28C8-8B88-4CF6-963E-478BFA3751FA}"/>
    <cellStyle name="SAPBEXHLevel2X 2 2" xfId="3231" xr:uid="{C1CA2D7D-33F5-4B52-B31C-3511AAFC3784}"/>
    <cellStyle name="SAPBEXHLevel2X 2 2 2" xfId="5605" xr:uid="{21CD9EE5-8364-4A53-B3F3-D89BF0D4E24F}"/>
    <cellStyle name="SAPBEXHLevel2X 2 3" xfId="3161" xr:uid="{47EB5110-FB10-4FB0-B4FB-DAD9B141F86B}"/>
    <cellStyle name="SAPBEXHLevel2X 2 3 2" xfId="5535" xr:uid="{1A1DDD78-426F-4A66-8A86-6CAA53908265}"/>
    <cellStyle name="SAPBEXHLevel2X 2 4" xfId="1689" xr:uid="{BDAA82C9-BCFF-408F-9D6B-51E125A3265C}"/>
    <cellStyle name="SAPBEXHLevel2X 2 4 2" xfId="4225" xr:uid="{3EEE0C88-04D1-48C2-AB70-9A4DBE2B576F}"/>
    <cellStyle name="SAPBEXHLevel2X 2 5" xfId="3836" xr:uid="{536E0248-1CD0-4C82-AA71-79C9F5BC9524}"/>
    <cellStyle name="SAPBEXHLevel2X 3" xfId="3139" xr:uid="{BBF79FAF-D7FA-4F3D-AFB8-A253EAB0BBEE}"/>
    <cellStyle name="SAPBEXHLevel2X 3 2" xfId="5513" xr:uid="{7AE0BC09-4275-42CE-9A2C-69CB9FF055DC}"/>
    <cellStyle name="SAPBEXHLevel2X 4" xfId="3167" xr:uid="{85558F91-DA11-4406-A70E-BFF59C320976}"/>
    <cellStyle name="SAPBEXHLevel2X 4 2" xfId="5541" xr:uid="{3903588A-50A4-4DF7-8BD5-D0E427AFC13A}"/>
    <cellStyle name="SAPBEXHLevel2X 5" xfId="1688" xr:uid="{F72307C4-13D2-4B84-8999-A0614543A787}"/>
    <cellStyle name="SAPBEXHLevel2X 5 2" xfId="4224" xr:uid="{10A0FB65-B1F9-4E42-B07C-D2DFFAF910F3}"/>
    <cellStyle name="SAPBEXHLevel2X 6" xfId="3337" xr:uid="{E399A763-B999-45DC-B044-7BA0F070C7AE}"/>
    <cellStyle name="SAPBEXHLevel3" xfId="98" xr:uid="{00000000-0005-0000-0000-00004C030000}"/>
    <cellStyle name="SAPBEXHLevel3 2" xfId="939" xr:uid="{7777D467-0747-40AA-9F66-1D866D47CBF4}"/>
    <cellStyle name="SAPBEXHLevel3 2 2" xfId="1692" xr:uid="{C5AB1ED3-EB95-4D64-A7BF-F3FA712E0883}"/>
    <cellStyle name="SAPBEXHLevel3 2 2 2" xfId="3053" xr:uid="{0A628118-39AB-46FC-B219-0D99E3BC4D1B}"/>
    <cellStyle name="SAPBEXHLevel3 2 2 2 2" xfId="5427" xr:uid="{93879C2C-F563-468A-8A9C-BC3E5484DED3}"/>
    <cellStyle name="SAPBEXHLevel3 2 2 3" xfId="3090" xr:uid="{7835B5FF-CBBC-471F-841D-A7E421953FC2}"/>
    <cellStyle name="SAPBEXHLevel3 2 2 3 2" xfId="5464" xr:uid="{851E7CB1-8D52-4AA5-8A2D-83DE5397B6D0}"/>
    <cellStyle name="SAPBEXHLevel3 2 2 4" xfId="4228" xr:uid="{73056ECB-676D-4AEB-A9AE-35D66F75E7DA}"/>
    <cellStyle name="SAPBEXHLevel3 2 3" xfId="1693" xr:uid="{EEC42B18-8434-4A9C-8573-47B77FB10DB1}"/>
    <cellStyle name="SAPBEXHLevel3 2 3 2" xfId="3147" xr:uid="{79AA4573-92F1-4125-AA13-F58437461D4A}"/>
    <cellStyle name="SAPBEXHLevel3 2 3 2 2" xfId="5521" xr:uid="{D22F378C-6803-49C8-A65C-8C589D64BDB1}"/>
    <cellStyle name="SAPBEXHLevel3 2 3 3" xfId="3215" xr:uid="{20608DAD-DC2E-468B-8444-938DDE98C1C1}"/>
    <cellStyle name="SAPBEXHLevel3 2 3 3 2" xfId="5589" xr:uid="{4182BC22-81C1-4912-86D0-C9AB0990D2E6}"/>
    <cellStyle name="SAPBEXHLevel3 2 3 4" xfId="4229" xr:uid="{9BE93428-DA7B-44DA-8326-9D51E208A732}"/>
    <cellStyle name="SAPBEXHLevel3 2 4" xfId="3238" xr:uid="{F81D12E0-72B9-4A7C-A99E-4C90C4A6772A}"/>
    <cellStyle name="SAPBEXHLevel3 2 4 2" xfId="5612" xr:uid="{42A12FBD-EA5F-4104-8BCB-C9494ADE8ED5}"/>
    <cellStyle name="SAPBEXHLevel3 2 5" xfId="3248" xr:uid="{C7E5924D-95F4-4D23-B446-41703BF07A32}"/>
    <cellStyle name="SAPBEXHLevel3 2 5 2" xfId="5622" xr:uid="{51442A61-18FB-4A3E-AAE5-57BEA19ADC2E}"/>
    <cellStyle name="SAPBEXHLevel3 2 6" xfId="1691" xr:uid="{38D6B4A2-C277-49D6-A7DD-DF7D6215FF46}"/>
    <cellStyle name="SAPBEXHLevel3 2 6 2" xfId="4227" xr:uid="{7F763750-FAE2-4BBA-BD0C-A2E9785C09D9}"/>
    <cellStyle name="SAPBEXHLevel3 2 7" xfId="3837" xr:uid="{07C7C0F2-0DEE-4008-A72F-A12B43223F81}"/>
    <cellStyle name="SAPBEXHLevel3 3" xfId="3050" xr:uid="{194FD71D-4B6A-45DD-B082-5E5267BCB116}"/>
    <cellStyle name="SAPBEXHLevel3 3 2" xfId="5424" xr:uid="{8CA14961-AB86-4EF5-BCA4-2D0AC3043194}"/>
    <cellStyle name="SAPBEXHLevel3 4" xfId="3252" xr:uid="{3002B438-73DC-41D3-ABBB-FA217E67C2B0}"/>
    <cellStyle name="SAPBEXHLevel3 4 2" xfId="5626" xr:uid="{12BFA2FC-A92D-4A71-9E1D-57BAC462DB0A}"/>
    <cellStyle name="SAPBEXHLevel3 5" xfId="1690" xr:uid="{8B81F412-77FC-4173-9B40-8D37A3A8E7E9}"/>
    <cellStyle name="SAPBEXHLevel3 5 2" xfId="4226" xr:uid="{EF6B7FAF-9FF3-4BD9-A1CD-D459ADE22901}"/>
    <cellStyle name="SAPBEXHLevel3 6" xfId="3338" xr:uid="{3F68943A-8C04-43FC-82FE-EBBB74874617}"/>
    <cellStyle name="SAPBEXHLevel3X" xfId="99" xr:uid="{00000000-0005-0000-0000-00004D030000}"/>
    <cellStyle name="SAPBEXHLevel3X 2" xfId="940" xr:uid="{16EE4387-87B1-4194-BBF1-16E8DA5257CE}"/>
    <cellStyle name="SAPBEXHLevel3X 2 2" xfId="3137" xr:uid="{062B4B9E-5E32-4305-9261-4C98C71F730F}"/>
    <cellStyle name="SAPBEXHLevel3X 2 2 2" xfId="5511" xr:uid="{36F4BC2A-99F3-4C12-B398-8794E5ED9AB8}"/>
    <cellStyle name="SAPBEXHLevel3X 2 3" xfId="3062" xr:uid="{B74864E9-5A7E-4129-9466-C1FC17D3F159}"/>
    <cellStyle name="SAPBEXHLevel3X 2 3 2" xfId="5436" xr:uid="{86D097EE-7D68-4033-8FD7-B81A03480E59}"/>
    <cellStyle name="SAPBEXHLevel3X 2 4" xfId="1695" xr:uid="{97CC3850-8912-44A7-AECC-9B7D5CBE139B}"/>
    <cellStyle name="SAPBEXHLevel3X 2 4 2" xfId="4231" xr:uid="{5D101530-DF46-4C6E-A20D-A34DB3159139}"/>
    <cellStyle name="SAPBEXHLevel3X 2 5" xfId="3838" xr:uid="{03033A44-CE05-43B4-8820-32A49FF15A53}"/>
    <cellStyle name="SAPBEXHLevel3X 3" xfId="3111" xr:uid="{0BA86707-23F3-4FF7-B9DD-0B363DA9B6C7}"/>
    <cellStyle name="SAPBEXHLevel3X 3 2" xfId="5485" xr:uid="{4021B919-FFF4-4F2C-A1F1-C027A61EC350}"/>
    <cellStyle name="SAPBEXHLevel3X 4" xfId="3150" xr:uid="{E96530CB-15B7-4064-A42B-A5CC62FB4C40}"/>
    <cellStyle name="SAPBEXHLevel3X 4 2" xfId="5524" xr:uid="{A691ACCD-A71D-4A43-B6D2-40725994FEBA}"/>
    <cellStyle name="SAPBEXHLevel3X 5" xfId="1694" xr:uid="{59CD1ED2-1588-4CDF-B9BC-DE2D6DB8967E}"/>
    <cellStyle name="SAPBEXHLevel3X 5 2" xfId="4230" xr:uid="{28BFA658-AD8E-4870-BF1C-9275F7F801FC}"/>
    <cellStyle name="SAPBEXHLevel3X 6" xfId="3339" xr:uid="{D86B91FE-C9AE-479B-BF00-715290AB56AA}"/>
    <cellStyle name="SAPBEXinputData" xfId="100" xr:uid="{00000000-0005-0000-0000-00004E030000}"/>
    <cellStyle name="SAPBEXinputData 10" xfId="2567" xr:uid="{AAF63542-08EA-4DE3-B8EC-4EEC7ECD119E}"/>
    <cellStyle name="SAPBEXinputData 10 2" xfId="5002" xr:uid="{40BBF454-2344-42D9-8BDD-C08AFCFE26F5}"/>
    <cellStyle name="SAPBEXinputData 11" xfId="1696" xr:uid="{1A579113-A5AE-4617-B77A-69AB844094E5}"/>
    <cellStyle name="SAPBEXinputData 11 2" xfId="4232" xr:uid="{3922B5AA-7000-45D0-A53E-C0274740EBF3}"/>
    <cellStyle name="SAPBEXinputData 2" xfId="941" xr:uid="{0148C0AB-2C94-485E-8FA3-50BFBF1A297C}"/>
    <cellStyle name="SAPBEXinputData 2 2" xfId="1697" xr:uid="{6FC52AA1-B276-4D4A-BF9A-EEE5C27D1103}"/>
    <cellStyle name="SAPBEXinputData 3" xfId="1698" xr:uid="{B1194430-3E4E-4135-917A-1C0AE77D20E6}"/>
    <cellStyle name="SAPBEXinputData 3 2" xfId="1699" xr:uid="{04F2F544-8439-4F37-8E79-33428810D98E}"/>
    <cellStyle name="SAPBEXinputData 3 2 2" xfId="1700" xr:uid="{7C25E428-B92B-49A9-BB73-C492C79F518F}"/>
    <cellStyle name="SAPBEXinputData 3 2 2 2" xfId="1701" xr:uid="{B8E33FD1-AF59-4792-BDB9-20A1EB58F4CF}"/>
    <cellStyle name="SAPBEXinputData 3 2 2 2 2" xfId="1702" xr:uid="{1F25D1F0-D7A5-4FB0-958E-0FF43633001C}"/>
    <cellStyle name="SAPBEXinputData 3 2 2 2 2 2" xfId="2099" xr:uid="{C0A9C0AD-64AE-4D49-A50B-4F2890F833E8}"/>
    <cellStyle name="SAPBEXinputData 3 2 2 2 2 2 2" xfId="2937" xr:uid="{B57229BB-9EF3-4DC3-A3B9-0DF9F263BF37}"/>
    <cellStyle name="SAPBEXinputData 3 2 2 2 2 2 2 2" xfId="5372" xr:uid="{DDCEC28C-1640-40A5-A37C-36B58BBAE962}"/>
    <cellStyle name="SAPBEXinputData 3 2 2 2 2 2 3" xfId="4616" xr:uid="{C0CAE623-7AB2-4916-8DAE-6397F20999A4}"/>
    <cellStyle name="SAPBEXinputData 3 2 2 2 2 3" xfId="2572" xr:uid="{DDF15937-116F-432B-9703-DA44E538CD8C}"/>
    <cellStyle name="SAPBEXinputData 3 2 2 2 2 3 2" xfId="5007" xr:uid="{FD562959-C2F8-40A4-A6F8-1C87B4175A9E}"/>
    <cellStyle name="SAPBEXinputData 3 2 2 2 2 4" xfId="4237" xr:uid="{277F3E23-D12E-4FA7-9EA7-9A0C20DD5BE4}"/>
    <cellStyle name="SAPBEXinputData 3 2 2 2 3" xfId="1929" xr:uid="{49B078E0-2BC9-4B68-AA2D-1BF2B55605CA}"/>
    <cellStyle name="SAPBEXinputData 3 2 2 2 3 2" xfId="2767" xr:uid="{96195523-41E3-4534-8D1C-3B8A9D18A796}"/>
    <cellStyle name="SAPBEXinputData 3 2 2 2 3 2 2" xfId="5202" xr:uid="{45D6AB71-934F-441F-8E21-3CC6BC25ECD9}"/>
    <cellStyle name="SAPBEXinputData 3 2 2 2 3 3" xfId="4446" xr:uid="{5014F3C8-4235-4236-88C1-5BCE6198C13E}"/>
    <cellStyle name="SAPBEXinputData 3 2 2 2 4" xfId="2571" xr:uid="{4F49B3A6-CE7E-4BB1-84C6-F1422AD08AD9}"/>
    <cellStyle name="SAPBEXinputData 3 2 2 2 4 2" xfId="5006" xr:uid="{6A8EBEBB-3E4D-46EB-A061-C8E5F2EB75AC}"/>
    <cellStyle name="SAPBEXinputData 3 2 2 2 5" xfId="4236" xr:uid="{4BBABC54-B07C-4B9F-8B98-4AD95E165BAD}"/>
    <cellStyle name="SAPBEXinputData 3 2 2 3" xfId="1703" xr:uid="{17893D3B-CD40-4749-9F28-188A502AA394}"/>
    <cellStyle name="SAPBEXinputData 3 2 2 3 2" xfId="1704" xr:uid="{0FD30FC4-EE41-4FE7-A1C9-B17D013D38B6}"/>
    <cellStyle name="SAPBEXinputData 3 2 2 3 2 2" xfId="2100" xr:uid="{19D45336-758F-4709-9259-396471067A13}"/>
    <cellStyle name="SAPBEXinputData 3 2 2 3 2 2 2" xfId="2938" xr:uid="{73118DEC-DD9F-439B-8A5D-807838BF9A74}"/>
    <cellStyle name="SAPBEXinputData 3 2 2 3 2 2 2 2" xfId="5373" xr:uid="{B0404280-37D3-4F23-B2C8-04BE2818D5B4}"/>
    <cellStyle name="SAPBEXinputData 3 2 2 3 2 2 3" xfId="4617" xr:uid="{A6BEF6DC-749A-4D71-9186-5B9BB8BBEB2C}"/>
    <cellStyle name="SAPBEXinputData 3 2 2 3 2 3" xfId="2574" xr:uid="{E089D064-D85F-48D3-AD62-2DDD538D7EAD}"/>
    <cellStyle name="SAPBEXinputData 3 2 2 3 2 3 2" xfId="5009" xr:uid="{30EF3464-27AF-4BC0-8AB0-298504C27121}"/>
    <cellStyle name="SAPBEXinputData 3 2 2 3 2 4" xfId="4239" xr:uid="{1CD1E717-D5C2-475C-9548-355A0DA68F52}"/>
    <cellStyle name="SAPBEXinputData 3 2 2 3 3" xfId="1930" xr:uid="{E589F60E-E408-40EF-9D5D-2D815D389A79}"/>
    <cellStyle name="SAPBEXinputData 3 2 2 3 3 2" xfId="2768" xr:uid="{71A7BD67-A496-4D25-8D8F-8DD2DE6537D9}"/>
    <cellStyle name="SAPBEXinputData 3 2 2 3 3 2 2" xfId="5203" xr:uid="{CAF18B6C-772A-4814-9127-09308595FD0E}"/>
    <cellStyle name="SAPBEXinputData 3 2 2 3 3 3" xfId="4447" xr:uid="{E289F265-8249-4A53-B1FB-91725068B0C3}"/>
    <cellStyle name="SAPBEXinputData 3 2 2 3 4" xfId="2573" xr:uid="{EA3EEF08-16BD-4672-8273-2462D1EC20A8}"/>
    <cellStyle name="SAPBEXinputData 3 2 2 3 4 2" xfId="5008" xr:uid="{835FEAB2-C8CD-487A-9EBE-5432BA231791}"/>
    <cellStyle name="SAPBEXinputData 3 2 2 3 5" xfId="4238" xr:uid="{5FF0F830-6FBE-4442-B60D-B8B18299EFF3}"/>
    <cellStyle name="SAPBEXinputData 3 2 2 4" xfId="1705" xr:uid="{668D6E70-9F13-464B-BE69-869AF50516A9}"/>
    <cellStyle name="SAPBEXinputData 3 2 2 4 2" xfId="2098" xr:uid="{2CD84618-8D71-48BC-A158-0F8F6B36432E}"/>
    <cellStyle name="SAPBEXinputData 3 2 2 4 2 2" xfId="2936" xr:uid="{463E53C9-C3F2-4D75-B829-A1C263A4E096}"/>
    <cellStyle name="SAPBEXinputData 3 2 2 4 2 2 2" xfId="5371" xr:uid="{3BBED34C-48DD-419B-8884-33839BCE7F34}"/>
    <cellStyle name="SAPBEXinputData 3 2 2 4 2 3" xfId="4615" xr:uid="{C2D32AE8-8BDB-405E-9E58-6301724E09AC}"/>
    <cellStyle name="SAPBEXinputData 3 2 2 4 3" xfId="2575" xr:uid="{99635248-C55F-4E76-A7E0-4B72064230DB}"/>
    <cellStyle name="SAPBEXinputData 3 2 2 4 3 2" xfId="5010" xr:uid="{92230EFB-8ED3-4940-8F2F-C6BFE3AEB6E7}"/>
    <cellStyle name="SAPBEXinputData 3 2 2 4 4" xfId="4240" xr:uid="{F0E69322-ABA2-48BE-BBBA-2ABF2F5AE142}"/>
    <cellStyle name="SAPBEXinputData 3 2 2 5" xfId="1928" xr:uid="{09E99A3D-B8EA-4B58-B0AC-44996109097B}"/>
    <cellStyle name="SAPBEXinputData 3 2 2 5 2" xfId="2766" xr:uid="{47821799-FA36-45BE-AC38-9F0F527D012D}"/>
    <cellStyle name="SAPBEXinputData 3 2 2 5 2 2" xfId="5201" xr:uid="{95B6E774-D7BC-450E-8FD1-C8AE0BCBCAA4}"/>
    <cellStyle name="SAPBEXinputData 3 2 2 5 3" xfId="4445" xr:uid="{5AACCB15-39F8-46E0-A61A-3C698746D268}"/>
    <cellStyle name="SAPBEXinputData 3 2 2 6" xfId="2570" xr:uid="{0A2A4471-46F4-443C-B9E9-695CB7C0620E}"/>
    <cellStyle name="SAPBEXinputData 3 2 2 6 2" xfId="5005" xr:uid="{0A3FE3F9-1DA1-444F-AF10-E57F35D4718A}"/>
    <cellStyle name="SAPBEXinputData 3 2 2 7" xfId="4235" xr:uid="{DAEE97A7-95D4-4661-83C9-BCEA2E4E18A2}"/>
    <cellStyle name="SAPBEXinputData 3 2 3" xfId="1706" xr:uid="{78A5B5CD-52E1-48F1-A1F2-E339A4C07EA4}"/>
    <cellStyle name="SAPBEXinputData 3 2 3 2" xfId="1707" xr:uid="{18A44AE7-20EA-4235-AFCC-EF3746BB92F0}"/>
    <cellStyle name="SAPBEXinputData 3 2 3 2 2" xfId="2101" xr:uid="{CD497E80-4461-4D4D-BD1B-E634A0767D37}"/>
    <cellStyle name="SAPBEXinputData 3 2 3 2 2 2" xfId="2939" xr:uid="{788B0D04-3541-4D0F-BC33-942821D4A027}"/>
    <cellStyle name="SAPBEXinputData 3 2 3 2 2 2 2" xfId="5374" xr:uid="{8F5ED226-3E97-4137-8AEC-9EE5760573A8}"/>
    <cellStyle name="SAPBEXinputData 3 2 3 2 2 3" xfId="4618" xr:uid="{742A945F-3681-44AB-9E0B-358790743963}"/>
    <cellStyle name="SAPBEXinputData 3 2 3 2 3" xfId="2577" xr:uid="{FCC10257-E003-4A50-8083-40E0B47C3C8C}"/>
    <cellStyle name="SAPBEXinputData 3 2 3 2 3 2" xfId="5012" xr:uid="{BC2FE3D1-8385-481A-86DC-2E9E101B3B26}"/>
    <cellStyle name="SAPBEXinputData 3 2 3 2 4" xfId="4242" xr:uid="{66CB0AE3-05C5-4A4B-9BF1-072609AE29FA}"/>
    <cellStyle name="SAPBEXinputData 3 2 3 3" xfId="1931" xr:uid="{39C9F305-08C7-4C07-830C-59EBC22A23AC}"/>
    <cellStyle name="SAPBEXinputData 3 2 3 3 2" xfId="2769" xr:uid="{77B45266-43A8-46A3-910E-3DA7B6CA3299}"/>
    <cellStyle name="SAPBEXinputData 3 2 3 3 2 2" xfId="5204" xr:uid="{35E3867F-BA9E-434E-8528-6F003398E209}"/>
    <cellStyle name="SAPBEXinputData 3 2 3 3 3" xfId="4448" xr:uid="{0525F4D4-60FE-4C76-BBD1-69E662231B57}"/>
    <cellStyle name="SAPBEXinputData 3 2 3 4" xfId="2576" xr:uid="{810C84F1-F424-46AE-ACB8-B5F0DEE1CADC}"/>
    <cellStyle name="SAPBEXinputData 3 2 3 4 2" xfId="5011" xr:uid="{B71B0A76-4AFF-4CCC-90C2-63CA134DE916}"/>
    <cellStyle name="SAPBEXinputData 3 2 3 5" xfId="4241" xr:uid="{18BD5A5F-9317-4F6A-8890-94E0F1611864}"/>
    <cellStyle name="SAPBEXinputData 3 2 4" xfId="1708" xr:uid="{6AF6BF63-7BCB-462B-8232-7BDAE20AE0AF}"/>
    <cellStyle name="SAPBEXinputData 3 2 4 2" xfId="1709" xr:uid="{243A1E57-7656-4E30-BF9D-424C53E55B1E}"/>
    <cellStyle name="SAPBEXinputData 3 2 4 2 2" xfId="2102" xr:uid="{CF7D1051-7367-4054-BFB8-BB906A626636}"/>
    <cellStyle name="SAPBEXinputData 3 2 4 2 2 2" xfId="2940" xr:uid="{708A2E5D-F964-41B1-B67E-C7A128B34DB5}"/>
    <cellStyle name="SAPBEXinputData 3 2 4 2 2 2 2" xfId="5375" xr:uid="{9DE719EC-53A0-4FF9-B27A-FC3CE6AB3593}"/>
    <cellStyle name="SAPBEXinputData 3 2 4 2 2 3" xfId="4619" xr:uid="{67CC101B-8DD3-455B-A949-F67012BB6D15}"/>
    <cellStyle name="SAPBEXinputData 3 2 4 2 3" xfId="2579" xr:uid="{3BEF5AEF-669D-4116-B83F-8AA92404E331}"/>
    <cellStyle name="SAPBEXinputData 3 2 4 2 3 2" xfId="5014" xr:uid="{558987F3-8B21-49F3-9064-106349F1B068}"/>
    <cellStyle name="SAPBEXinputData 3 2 4 2 4" xfId="4244" xr:uid="{191D661A-AB83-4B3B-9DC8-E8B387D29018}"/>
    <cellStyle name="SAPBEXinputData 3 2 4 3" xfId="1932" xr:uid="{33DDD796-3835-4DA9-995F-E1B96575DB61}"/>
    <cellStyle name="SAPBEXinputData 3 2 4 3 2" xfId="2770" xr:uid="{B4F57D7E-B15A-4C22-9C6F-26301AD4503C}"/>
    <cellStyle name="SAPBEXinputData 3 2 4 3 2 2" xfId="5205" xr:uid="{B43F42DA-2899-49FB-A19A-FE100259EDDF}"/>
    <cellStyle name="SAPBEXinputData 3 2 4 3 3" xfId="4449" xr:uid="{3A5728AB-B5F2-4F8E-A106-41B36DA71F3F}"/>
    <cellStyle name="SAPBEXinputData 3 2 4 4" xfId="2578" xr:uid="{A8D59F88-9AB3-4A96-A2EF-D66360185B84}"/>
    <cellStyle name="SAPBEXinputData 3 2 4 4 2" xfId="5013" xr:uid="{29666E23-3035-4B57-A296-EDE2D0DCC1EC}"/>
    <cellStyle name="SAPBEXinputData 3 2 4 5" xfId="4243" xr:uid="{C30B0778-9A29-4E48-A94B-59491973F739}"/>
    <cellStyle name="SAPBEXinputData 3 2 5" xfId="1710" xr:uid="{7AA6126F-332E-40D7-8BA8-994F8E2EDC98}"/>
    <cellStyle name="SAPBEXinputData 3 2 5 2" xfId="2097" xr:uid="{1FF4BD47-D98D-4F6B-9612-765A2ABD413A}"/>
    <cellStyle name="SAPBEXinputData 3 2 5 2 2" xfId="2935" xr:uid="{7823D7AF-2470-4345-B628-926266C299D5}"/>
    <cellStyle name="SAPBEXinputData 3 2 5 2 2 2" xfId="5370" xr:uid="{49B6AD80-CA01-4D4B-BC28-325395101598}"/>
    <cellStyle name="SAPBEXinputData 3 2 5 2 3" xfId="4614" xr:uid="{F3D9255A-0898-4EC6-A276-F8542C3AA563}"/>
    <cellStyle name="SAPBEXinputData 3 2 5 3" xfId="2580" xr:uid="{EC90F5FD-D4F5-4F91-B837-532FAEECA4CB}"/>
    <cellStyle name="SAPBEXinputData 3 2 5 3 2" xfId="5015" xr:uid="{D7158EA9-BBFD-4ED0-9AB4-B331E64F3D29}"/>
    <cellStyle name="SAPBEXinputData 3 2 5 4" xfId="4245" xr:uid="{56424AA1-2A39-4898-BC17-920ECF0DE06F}"/>
    <cellStyle name="SAPBEXinputData 3 2 6" xfId="1927" xr:uid="{2DCAAEF4-3A18-4631-A305-AF391C47E61D}"/>
    <cellStyle name="SAPBEXinputData 3 2 6 2" xfId="2765" xr:uid="{0D56C213-040A-48FF-B6D8-A286984A10AA}"/>
    <cellStyle name="SAPBEXinputData 3 2 6 2 2" xfId="5200" xr:uid="{F22678BA-2B47-4A10-93CA-6F85AA44929F}"/>
    <cellStyle name="SAPBEXinputData 3 2 6 3" xfId="4444" xr:uid="{586B3576-219B-499E-951B-A1A9A16C7C4F}"/>
    <cellStyle name="SAPBEXinputData 3 2 7" xfId="2569" xr:uid="{3C9E0BEB-F2FC-4601-9BD9-9976393D77A1}"/>
    <cellStyle name="SAPBEXinputData 3 2 7 2" xfId="5004" xr:uid="{D324CAF6-7D73-4F48-A1C4-BBCC508D2A2D}"/>
    <cellStyle name="SAPBEXinputData 3 2 8" xfId="4234" xr:uid="{AD23C2D4-DF61-467D-A06F-47EA196AE0E1}"/>
    <cellStyle name="SAPBEXinputData 3 3" xfId="1711" xr:uid="{91996F28-14AE-4835-B37C-0E933BE052B5}"/>
    <cellStyle name="SAPBEXinputData 3 3 2" xfId="1712" xr:uid="{E267E28A-1EB7-41D0-A906-17C08C79854F}"/>
    <cellStyle name="SAPBEXinputData 3 3 2 2" xfId="1713" xr:uid="{CB9CDCEE-BDFF-43C6-BD48-83334761FFFD}"/>
    <cellStyle name="SAPBEXinputData 3 3 2 2 2" xfId="2104" xr:uid="{8DBF22E0-83E6-417B-8705-D819110FF003}"/>
    <cellStyle name="SAPBEXinputData 3 3 2 2 2 2" xfId="2942" xr:uid="{D23364FC-685F-4EC3-828A-EFB00BD9ADA1}"/>
    <cellStyle name="SAPBEXinputData 3 3 2 2 2 2 2" xfId="5377" xr:uid="{BAFA45DD-5923-496F-8CB3-5505177BB969}"/>
    <cellStyle name="SAPBEXinputData 3 3 2 2 2 3" xfId="4621" xr:uid="{F9D30D69-B85D-4EEA-B5B6-E0521D81FE57}"/>
    <cellStyle name="SAPBEXinputData 3 3 2 2 3" xfId="2583" xr:uid="{2FB5F220-EEFB-44FE-98CB-3131F12155B0}"/>
    <cellStyle name="SAPBEXinputData 3 3 2 2 3 2" xfId="5018" xr:uid="{8F5334EF-A364-4879-B512-91B9B4690F50}"/>
    <cellStyle name="SAPBEXinputData 3 3 2 2 4" xfId="4248" xr:uid="{6F812BE6-06CD-44F5-A1EF-6F5520AB757C}"/>
    <cellStyle name="SAPBEXinputData 3 3 2 3" xfId="1934" xr:uid="{1ECFBDC3-44E8-4C5D-A86F-CE39CFCF9D1D}"/>
    <cellStyle name="SAPBEXinputData 3 3 2 3 2" xfId="2772" xr:uid="{F5716692-C209-413B-B8E9-2B44814AF0FD}"/>
    <cellStyle name="SAPBEXinputData 3 3 2 3 2 2" xfId="5207" xr:uid="{22B9B60C-420A-405A-8012-1FF82D90E104}"/>
    <cellStyle name="SAPBEXinputData 3 3 2 3 3" xfId="4451" xr:uid="{B0DAC841-BDC1-4C39-B2C2-2E5B85234BB0}"/>
    <cellStyle name="SAPBEXinputData 3 3 2 4" xfId="2582" xr:uid="{6B97D162-B437-46BE-A40A-228959DE96BA}"/>
    <cellStyle name="SAPBEXinputData 3 3 2 4 2" xfId="5017" xr:uid="{B4EE16FA-5B18-466D-B74F-2E3A564D0EF9}"/>
    <cellStyle name="SAPBEXinputData 3 3 2 5" xfId="4247" xr:uid="{2C137BAA-D27D-40D8-A92B-3A1EF393B717}"/>
    <cellStyle name="SAPBEXinputData 3 3 3" xfId="1714" xr:uid="{2BF9BE9D-4FAB-43CB-855B-C7865BD38BE0}"/>
    <cellStyle name="SAPBEXinputData 3 3 3 2" xfId="1715" xr:uid="{3CAC144B-5D74-428C-82A0-0A24E95A957A}"/>
    <cellStyle name="SAPBEXinputData 3 3 3 2 2" xfId="2105" xr:uid="{8A637E50-982D-4125-B29C-70C494F4B933}"/>
    <cellStyle name="SAPBEXinputData 3 3 3 2 2 2" xfId="2943" xr:uid="{3367BC72-3A10-4B85-9BC7-4C5D793A9A3C}"/>
    <cellStyle name="SAPBEXinputData 3 3 3 2 2 2 2" xfId="5378" xr:uid="{65EDA595-DA97-4DE3-86AC-36228A0416EE}"/>
    <cellStyle name="SAPBEXinputData 3 3 3 2 2 3" xfId="4622" xr:uid="{37DEDC46-02C9-46FC-8A86-CA2F738FB79D}"/>
    <cellStyle name="SAPBEXinputData 3 3 3 2 3" xfId="2585" xr:uid="{79481D60-6783-4AB2-877E-B0985AE06EDC}"/>
    <cellStyle name="SAPBEXinputData 3 3 3 2 3 2" xfId="5020" xr:uid="{6D45E1CF-8888-43FB-8793-406AFBBE6D22}"/>
    <cellStyle name="SAPBEXinputData 3 3 3 2 4" xfId="4250" xr:uid="{B8195268-A1AA-41E2-8AFE-6CFD6772EB91}"/>
    <cellStyle name="SAPBEXinputData 3 3 3 3" xfId="1935" xr:uid="{27ADB23A-A418-4A14-AC22-A4E8A8C4F24C}"/>
    <cellStyle name="SAPBEXinputData 3 3 3 3 2" xfId="2773" xr:uid="{E22F1A86-4D5C-4D34-93B2-953F68ED9945}"/>
    <cellStyle name="SAPBEXinputData 3 3 3 3 2 2" xfId="5208" xr:uid="{990B18E2-238C-45FD-B92A-8E52D5DDC8F3}"/>
    <cellStyle name="SAPBEXinputData 3 3 3 3 3" xfId="4452" xr:uid="{9389F7A5-FD50-412C-A235-6D656FEF72FB}"/>
    <cellStyle name="SAPBEXinputData 3 3 3 4" xfId="2584" xr:uid="{A9A9F4E4-E5C1-4FFF-A799-76F15328A3F7}"/>
    <cellStyle name="SAPBEXinputData 3 3 3 4 2" xfId="5019" xr:uid="{0C85DBA7-7A19-487C-A403-E74C06D9434B}"/>
    <cellStyle name="SAPBEXinputData 3 3 3 5" xfId="4249" xr:uid="{B47C5001-576A-4B60-BAEF-3E57E7B83CE5}"/>
    <cellStyle name="SAPBEXinputData 3 3 4" xfId="1716" xr:uid="{4D408A54-B5ED-40E4-923A-D8467199F613}"/>
    <cellStyle name="SAPBEXinputData 3 3 4 2" xfId="2103" xr:uid="{8F93ED7B-ECC5-4FFB-AE7B-E7D4E848FF5A}"/>
    <cellStyle name="SAPBEXinputData 3 3 4 2 2" xfId="2941" xr:uid="{10465F02-F2E7-4FCE-86CD-FDFAB56EFA2E}"/>
    <cellStyle name="SAPBEXinputData 3 3 4 2 2 2" xfId="5376" xr:uid="{CD5AABA8-A491-4EB0-934B-6654CBAC758E}"/>
    <cellStyle name="SAPBEXinputData 3 3 4 2 3" xfId="4620" xr:uid="{33F07994-5014-4C5A-AF55-ABACB651182D}"/>
    <cellStyle name="SAPBEXinputData 3 3 4 3" xfId="2586" xr:uid="{0AB524D2-C6E2-435F-8C75-99AC390E6EEA}"/>
    <cellStyle name="SAPBEXinputData 3 3 4 3 2" xfId="5021" xr:uid="{C9119ED5-20D8-4A66-B065-2E8F5F87244B}"/>
    <cellStyle name="SAPBEXinputData 3 3 4 4" xfId="4251" xr:uid="{81C586F6-62E9-4A61-9A4B-E447EB4FDA90}"/>
    <cellStyle name="SAPBEXinputData 3 3 5" xfId="1933" xr:uid="{82E14327-FC2E-42F1-A990-3EA35D112C92}"/>
    <cellStyle name="SAPBEXinputData 3 3 5 2" xfId="2771" xr:uid="{5BF0BF84-C591-4C44-AB95-50AE4CE8BA6D}"/>
    <cellStyle name="SAPBEXinputData 3 3 5 2 2" xfId="5206" xr:uid="{298C2A0F-DEE3-4662-A741-6F00991DB950}"/>
    <cellStyle name="SAPBEXinputData 3 3 5 3" xfId="4450" xr:uid="{339EA93A-475F-4BBB-9C15-261CA323E7DA}"/>
    <cellStyle name="SAPBEXinputData 3 3 6" xfId="2581" xr:uid="{762A5257-34DD-4611-B4D5-CB2B981C6F48}"/>
    <cellStyle name="SAPBEXinputData 3 3 6 2" xfId="5016" xr:uid="{6CDF7C48-ED0B-4D6A-8EF2-9C357D48C6E9}"/>
    <cellStyle name="SAPBEXinputData 3 3 7" xfId="4246" xr:uid="{46C5EE81-3784-4312-9B2D-A78D3E92F8DB}"/>
    <cellStyle name="SAPBEXinputData 3 4" xfId="1717" xr:uid="{DED8D001-BFA1-4383-B8A0-E990A6A3E58C}"/>
    <cellStyle name="SAPBEXinputData 3 4 2" xfId="1718" xr:uid="{B93EAE69-F8E5-4083-ABD2-51DB61B3220F}"/>
    <cellStyle name="SAPBEXinputData 3 4 2 2" xfId="2106" xr:uid="{93862EDE-D185-48BB-869D-8D4D6E48F987}"/>
    <cellStyle name="SAPBEXinputData 3 4 2 2 2" xfId="2944" xr:uid="{09729F31-54AD-4830-B976-8EF6367B70A4}"/>
    <cellStyle name="SAPBEXinputData 3 4 2 2 2 2" xfId="5379" xr:uid="{85627A21-6D5A-440D-94FE-11CE132F4A12}"/>
    <cellStyle name="SAPBEXinputData 3 4 2 2 3" xfId="4623" xr:uid="{D2ED13E9-13E2-4399-82E9-9B1FCFBB7CFC}"/>
    <cellStyle name="SAPBEXinputData 3 4 2 3" xfId="2588" xr:uid="{E42E7BEE-5108-493C-9706-BBC294382E90}"/>
    <cellStyle name="SAPBEXinputData 3 4 2 3 2" xfId="5023" xr:uid="{AF21F321-9E16-41E0-968F-5CD90BEC3E8A}"/>
    <cellStyle name="SAPBEXinputData 3 4 2 4" xfId="4253" xr:uid="{A2A23581-F397-4E50-9529-40DC3DCA039D}"/>
    <cellStyle name="SAPBEXinputData 3 4 3" xfId="1936" xr:uid="{F1C7D784-5A72-41BB-8BE1-52DF61EE07FA}"/>
    <cellStyle name="SAPBEXinputData 3 4 3 2" xfId="2774" xr:uid="{701F95A4-0EDA-41F0-B6E2-8FBB9351C097}"/>
    <cellStyle name="SAPBEXinputData 3 4 3 2 2" xfId="5209" xr:uid="{AEE03905-7F0E-461B-B992-E0FBA6D101D8}"/>
    <cellStyle name="SAPBEXinputData 3 4 3 3" xfId="4453" xr:uid="{85C6664D-AA62-46B0-B731-F815F59D857E}"/>
    <cellStyle name="SAPBEXinputData 3 4 4" xfId="2587" xr:uid="{E56333AD-37C3-426D-8AB9-AD73E2B0DAE9}"/>
    <cellStyle name="SAPBEXinputData 3 4 4 2" xfId="5022" xr:uid="{8EB0932C-C033-4E2B-A753-803EC4876EDC}"/>
    <cellStyle name="SAPBEXinputData 3 4 5" xfId="4252" xr:uid="{26DDA670-9357-447E-9137-89B91F7E30E3}"/>
    <cellStyle name="SAPBEXinputData 3 5" xfId="1719" xr:uid="{16BFFB29-3A13-4DF1-BD21-094AE0AEDF19}"/>
    <cellStyle name="SAPBEXinputData 3 5 2" xfId="1720" xr:uid="{498D8D6B-70E9-4394-9E38-DC350F4BDB90}"/>
    <cellStyle name="SAPBEXinputData 3 5 2 2" xfId="2107" xr:uid="{956C48D7-A560-4631-9A69-5990542694D3}"/>
    <cellStyle name="SAPBEXinputData 3 5 2 2 2" xfId="2945" xr:uid="{D000C9E1-9011-4E7D-8907-B6847999FE91}"/>
    <cellStyle name="SAPBEXinputData 3 5 2 2 2 2" xfId="5380" xr:uid="{85C2270B-3E6B-448C-AE79-91032951C3DD}"/>
    <cellStyle name="SAPBEXinputData 3 5 2 2 3" xfId="4624" xr:uid="{F6422E0D-5714-4885-AB46-6625534ECA44}"/>
    <cellStyle name="SAPBEXinputData 3 5 2 3" xfId="2590" xr:uid="{4D66178D-F3EC-45C6-93BD-D35A7A050298}"/>
    <cellStyle name="SAPBEXinputData 3 5 2 3 2" xfId="5025" xr:uid="{146E2E40-16FD-4582-9934-AB09A0D5A769}"/>
    <cellStyle name="SAPBEXinputData 3 5 2 4" xfId="4255" xr:uid="{65B9FAFF-6B30-458E-B065-79B51421F138}"/>
    <cellStyle name="SAPBEXinputData 3 5 3" xfId="1937" xr:uid="{8478C87B-EA67-47D7-8E48-4F864B5B9C06}"/>
    <cellStyle name="SAPBEXinputData 3 5 3 2" xfId="2775" xr:uid="{43B3F61D-8489-4CFF-A08C-3C832FF9D56B}"/>
    <cellStyle name="SAPBEXinputData 3 5 3 2 2" xfId="5210" xr:uid="{2920D18B-4531-49DA-8759-C47BC98B832B}"/>
    <cellStyle name="SAPBEXinputData 3 5 3 3" xfId="4454" xr:uid="{36A81AB0-CD38-4116-B97A-3CA92D0A5B72}"/>
    <cellStyle name="SAPBEXinputData 3 5 4" xfId="2589" xr:uid="{81B53D3E-A5D6-4ADE-9D84-6C400B8B5687}"/>
    <cellStyle name="SAPBEXinputData 3 5 4 2" xfId="5024" xr:uid="{77701A65-87EC-4215-A9F2-C2EDB6E55883}"/>
    <cellStyle name="SAPBEXinputData 3 5 5" xfId="4254" xr:uid="{B700A44E-76B2-4C79-8953-9F63333C1CF6}"/>
    <cellStyle name="SAPBEXinputData 3 6" xfId="1721" xr:uid="{8D92FC36-DCD2-4FE9-895B-4EEC31657FDB}"/>
    <cellStyle name="SAPBEXinputData 3 6 2" xfId="2096" xr:uid="{F4E9A190-476B-4810-AA58-EE2746A72E56}"/>
    <cellStyle name="SAPBEXinputData 3 6 2 2" xfId="2934" xr:uid="{1615206E-F9D2-44E3-AC2D-0A57CEF6212B}"/>
    <cellStyle name="SAPBEXinputData 3 6 2 2 2" xfId="5369" xr:uid="{5C78FA22-6476-4EF1-8E41-25EB80EFD0C3}"/>
    <cellStyle name="SAPBEXinputData 3 6 2 3" xfId="4613" xr:uid="{199D51ED-7836-46FA-A070-BDDE3471703E}"/>
    <cellStyle name="SAPBEXinputData 3 6 3" xfId="2591" xr:uid="{59957EFD-77FF-4D98-88D2-B46D41BAD10A}"/>
    <cellStyle name="SAPBEXinputData 3 6 3 2" xfId="5026" xr:uid="{070F42D5-8280-46E5-B165-E812C6D66884}"/>
    <cellStyle name="SAPBEXinputData 3 6 4" xfId="4256" xr:uid="{2E0E3F1A-DE7D-4519-92D2-F691F534B5F7}"/>
    <cellStyle name="SAPBEXinputData 3 7" xfId="1926" xr:uid="{1DDF0F80-74EA-4C2E-ADDC-0D1D081FB545}"/>
    <cellStyle name="SAPBEXinputData 3 7 2" xfId="2764" xr:uid="{224F7EBB-9B2B-47D3-B3C9-6F7B174F7596}"/>
    <cellStyle name="SAPBEXinputData 3 7 2 2" xfId="5199" xr:uid="{7A972553-56F5-43C5-9E31-5E05AF8CCC14}"/>
    <cellStyle name="SAPBEXinputData 3 7 3" xfId="4443" xr:uid="{AB1FCD97-DDDC-4423-8F0A-4308AE098F3A}"/>
    <cellStyle name="SAPBEXinputData 3 8" xfId="2568" xr:uid="{646A1240-742C-4B5D-86DC-F7A85D1E5C7E}"/>
    <cellStyle name="SAPBEXinputData 3 8 2" xfId="5003" xr:uid="{4CC097A4-D900-4F85-A639-D8358725EBB6}"/>
    <cellStyle name="SAPBEXinputData 3 9" xfId="4233" xr:uid="{258B7CE2-FFEA-43F2-905A-22EFE8695FE8}"/>
    <cellStyle name="SAPBEXinputData 4" xfId="1722" xr:uid="{F86C70C2-D51C-4681-99E7-379267F8BFEF}"/>
    <cellStyle name="SAPBEXinputData 4 2" xfId="1723" xr:uid="{6A0B938B-16EF-4685-9D6D-1A28B283B0DE}"/>
    <cellStyle name="SAPBEXinputData 4 2 2" xfId="1724" xr:uid="{50189E35-EEAD-47DC-B51A-A453604F9694}"/>
    <cellStyle name="SAPBEXinputData 4 2 2 2" xfId="1725" xr:uid="{8F549E5B-8BAD-4B11-A95A-E3A081454539}"/>
    <cellStyle name="SAPBEXinputData 4 2 2 2 2" xfId="2110" xr:uid="{422ABE01-94B9-4E22-A433-E9136F6C82FD}"/>
    <cellStyle name="SAPBEXinputData 4 2 2 2 2 2" xfId="2948" xr:uid="{3A55464A-FFD0-46E2-BA49-F00EDF5F53A8}"/>
    <cellStyle name="SAPBEXinputData 4 2 2 2 2 2 2" xfId="5383" xr:uid="{DB24497E-2015-4BDD-B3F2-A5DB0B5ADDB3}"/>
    <cellStyle name="SAPBEXinputData 4 2 2 2 2 3" xfId="4627" xr:uid="{BA92D004-E528-4614-BACF-AF8F64A2A860}"/>
    <cellStyle name="SAPBEXinputData 4 2 2 2 3" xfId="2595" xr:uid="{2EAE74A1-CDF6-40CF-B62F-3D9D82DB721F}"/>
    <cellStyle name="SAPBEXinputData 4 2 2 2 3 2" xfId="5030" xr:uid="{292861AB-3164-4093-9B3A-7AE83A2FD823}"/>
    <cellStyle name="SAPBEXinputData 4 2 2 2 4" xfId="4260" xr:uid="{BAA1AA0C-540E-4FBE-832F-D88C5A86F70A}"/>
    <cellStyle name="SAPBEXinputData 4 2 2 3" xfId="1940" xr:uid="{88B75914-9B56-46B7-A624-5A08AB9400DA}"/>
    <cellStyle name="SAPBEXinputData 4 2 2 3 2" xfId="2778" xr:uid="{28DAA0EE-37E3-499D-A984-9C70D1C841FF}"/>
    <cellStyle name="SAPBEXinputData 4 2 2 3 2 2" xfId="5213" xr:uid="{05E3E233-41C0-4329-9007-EB15B51CA0FC}"/>
    <cellStyle name="SAPBEXinputData 4 2 2 3 3" xfId="4457" xr:uid="{1AEDFAF7-7841-4500-A278-B35FE117F462}"/>
    <cellStyle name="SAPBEXinputData 4 2 2 4" xfId="2594" xr:uid="{6D0E931D-F845-4D84-8BD1-632459D01994}"/>
    <cellStyle name="SAPBEXinputData 4 2 2 4 2" xfId="5029" xr:uid="{689FBF51-9D30-4597-9729-8A99F80E3553}"/>
    <cellStyle name="SAPBEXinputData 4 2 2 5" xfId="4259" xr:uid="{91D329EF-E3A0-4456-957E-BE1443382FC6}"/>
    <cellStyle name="SAPBEXinputData 4 2 3" xfId="1726" xr:uid="{8DB53F7D-BA0B-4062-9C40-FF820ACA9D40}"/>
    <cellStyle name="SAPBEXinputData 4 2 3 2" xfId="1727" xr:uid="{C6A58774-E25B-42A1-884C-3A22196D08C3}"/>
    <cellStyle name="SAPBEXinputData 4 2 3 2 2" xfId="2111" xr:uid="{77E60597-9230-4339-9597-9482BEE23384}"/>
    <cellStyle name="SAPBEXinputData 4 2 3 2 2 2" xfId="2949" xr:uid="{63721460-05E8-4A6C-8D94-CD85342547E8}"/>
    <cellStyle name="SAPBEXinputData 4 2 3 2 2 2 2" xfId="5384" xr:uid="{75838B51-5ADC-4146-AD65-DDA87FC3A936}"/>
    <cellStyle name="SAPBEXinputData 4 2 3 2 2 3" xfId="4628" xr:uid="{2C4CB1CE-0B61-44C0-B7BD-0B1A0ECFCDD1}"/>
    <cellStyle name="SAPBEXinputData 4 2 3 2 3" xfId="2597" xr:uid="{B1902837-7A3A-40AD-A158-2C138FD38254}"/>
    <cellStyle name="SAPBEXinputData 4 2 3 2 3 2" xfId="5032" xr:uid="{63439BF6-60F9-4D11-9CDE-8D50FFFDEE01}"/>
    <cellStyle name="SAPBEXinputData 4 2 3 2 4" xfId="4262" xr:uid="{AA03456B-05AB-4043-BBDD-1DBA2A689170}"/>
    <cellStyle name="SAPBEXinputData 4 2 3 3" xfId="1941" xr:uid="{B01859D4-A00B-41D3-B2AC-A94E0B54FBB3}"/>
    <cellStyle name="SAPBEXinputData 4 2 3 3 2" xfId="2779" xr:uid="{AC1015E7-4002-4B32-89A2-26B19218282A}"/>
    <cellStyle name="SAPBEXinputData 4 2 3 3 2 2" xfId="5214" xr:uid="{9D05F15A-20D5-4D15-883B-C53AF27664E3}"/>
    <cellStyle name="SAPBEXinputData 4 2 3 3 3" xfId="4458" xr:uid="{DBD4C37F-F051-4CE9-86A9-2693B08F5F99}"/>
    <cellStyle name="SAPBEXinputData 4 2 3 4" xfId="2596" xr:uid="{D4F25CC6-122A-49F4-8288-B1C578DDF1ED}"/>
    <cellStyle name="SAPBEXinputData 4 2 3 4 2" xfId="5031" xr:uid="{CC3D40C8-7B91-4FFE-A87E-4E8F64C45619}"/>
    <cellStyle name="SAPBEXinputData 4 2 3 5" xfId="4261" xr:uid="{3C2FB233-1FED-412A-AA2F-6AB865A28849}"/>
    <cellStyle name="SAPBEXinputData 4 2 4" xfId="1728" xr:uid="{34D7F090-6CC1-47B5-B2F5-CCFB4A0CE391}"/>
    <cellStyle name="SAPBEXinputData 4 2 4 2" xfId="2109" xr:uid="{0F1E612D-452F-46DF-B4EB-A7F9FB9D9198}"/>
    <cellStyle name="SAPBEXinputData 4 2 4 2 2" xfId="2947" xr:uid="{82EE6838-DA26-4DF2-AD0F-66E97F4FF867}"/>
    <cellStyle name="SAPBEXinputData 4 2 4 2 2 2" xfId="5382" xr:uid="{8A855AE8-D107-4622-93E0-9274B57DCB4C}"/>
    <cellStyle name="SAPBEXinputData 4 2 4 2 3" xfId="4626" xr:uid="{B36CB8DA-4543-4C96-9894-B5CA1A2700D2}"/>
    <cellStyle name="SAPBEXinputData 4 2 4 3" xfId="2598" xr:uid="{6915977F-6868-4F0E-A54B-CE51D3E66155}"/>
    <cellStyle name="SAPBEXinputData 4 2 4 3 2" xfId="5033" xr:uid="{68F37A7B-3E4E-4462-B585-6B51669194AF}"/>
    <cellStyle name="SAPBEXinputData 4 2 4 4" xfId="4263" xr:uid="{8DD07F0B-95DA-4D8A-97C6-2279A984147C}"/>
    <cellStyle name="SAPBEXinputData 4 2 5" xfId="1939" xr:uid="{5EB2C34E-A30C-4BC4-8AAC-678F3E9E0313}"/>
    <cellStyle name="SAPBEXinputData 4 2 5 2" xfId="2777" xr:uid="{F7B7B427-AE75-4512-840E-B573F17E34C6}"/>
    <cellStyle name="SAPBEXinputData 4 2 5 2 2" xfId="5212" xr:uid="{6C33964B-DD4D-4849-8395-57388C2CE013}"/>
    <cellStyle name="SAPBEXinputData 4 2 5 3" xfId="4456" xr:uid="{5D6D2D47-CA1E-4A11-BFB4-38C2704A193F}"/>
    <cellStyle name="SAPBEXinputData 4 2 6" xfId="2593" xr:uid="{2BD2FBB2-CE01-4772-9C0A-1C4E0A555D94}"/>
    <cellStyle name="SAPBEXinputData 4 2 6 2" xfId="5028" xr:uid="{22E2781C-3BDE-487C-8882-C5FD7E2F5463}"/>
    <cellStyle name="SAPBEXinputData 4 2 7" xfId="4258" xr:uid="{AEAE8C13-EF09-43B7-BC73-7B68656A8B45}"/>
    <cellStyle name="SAPBEXinputData 4 3" xfId="1729" xr:uid="{BFCCA7AE-8AA1-46BC-B0E3-F92303DFB6EB}"/>
    <cellStyle name="SAPBEXinputData 4 3 2" xfId="1730" xr:uid="{22EAA5F7-03A3-4E85-B740-9E9DB18A47E7}"/>
    <cellStyle name="SAPBEXinputData 4 3 2 2" xfId="2112" xr:uid="{E5A49941-6E9E-4A02-8987-5924A1FE3F16}"/>
    <cellStyle name="SAPBEXinputData 4 3 2 2 2" xfId="2950" xr:uid="{57D30073-9DC2-4ED6-8203-17AFA49BA9C0}"/>
    <cellStyle name="SAPBEXinputData 4 3 2 2 2 2" xfId="5385" xr:uid="{D4F65CA6-9B7E-407F-AE2E-0A3A6E00BF5A}"/>
    <cellStyle name="SAPBEXinputData 4 3 2 2 3" xfId="4629" xr:uid="{5B87D475-F3E2-4888-8D10-F085C75587F8}"/>
    <cellStyle name="SAPBEXinputData 4 3 2 3" xfId="2600" xr:uid="{C8C8EFCE-76E0-4C40-AE54-1640848F4E8E}"/>
    <cellStyle name="SAPBEXinputData 4 3 2 3 2" xfId="5035" xr:uid="{36633675-18A7-40F1-B8F1-CE32215C91BC}"/>
    <cellStyle name="SAPBEXinputData 4 3 2 4" xfId="4265" xr:uid="{36FC3921-2893-4988-B594-27935BEFD7D9}"/>
    <cellStyle name="SAPBEXinputData 4 3 3" xfId="1942" xr:uid="{8E6CC0FA-E2E0-4CB4-BB52-DA182DBA2F2A}"/>
    <cellStyle name="SAPBEXinputData 4 3 3 2" xfId="2780" xr:uid="{75DB3914-4466-443D-9D9D-23BB075DB32E}"/>
    <cellStyle name="SAPBEXinputData 4 3 3 2 2" xfId="5215" xr:uid="{277D1994-E483-47BF-B463-4E62C9E6BB77}"/>
    <cellStyle name="SAPBEXinputData 4 3 3 3" xfId="4459" xr:uid="{919F7574-DA32-4BBB-B4E4-E838694CE98C}"/>
    <cellStyle name="SAPBEXinputData 4 3 4" xfId="2599" xr:uid="{7EADADB6-353A-4EF0-92C0-E5709730C644}"/>
    <cellStyle name="SAPBEXinputData 4 3 4 2" xfId="5034" xr:uid="{4C7FD76F-85E3-4721-8293-0071DFF217CE}"/>
    <cellStyle name="SAPBEXinputData 4 3 5" xfId="4264" xr:uid="{1DC9F9CE-EE78-490E-8076-06A3637C7D09}"/>
    <cellStyle name="SAPBEXinputData 4 4" xfId="1731" xr:uid="{1DF2D2FA-FD80-4EFE-9FDF-BA3A5639E8EB}"/>
    <cellStyle name="SAPBEXinputData 4 4 2" xfId="1732" xr:uid="{159A95B9-2DF0-49C0-ACFA-3311E142DDF7}"/>
    <cellStyle name="SAPBEXinputData 4 4 2 2" xfId="2113" xr:uid="{A180B4C3-EFF8-416C-B84D-5EC5638E7710}"/>
    <cellStyle name="SAPBEXinputData 4 4 2 2 2" xfId="2951" xr:uid="{4112376F-6FB6-41E2-88E9-FB61C30087E1}"/>
    <cellStyle name="SAPBEXinputData 4 4 2 2 2 2" xfId="5386" xr:uid="{F6D22EFF-9ED7-4246-B792-7F8F6D2B4D45}"/>
    <cellStyle name="SAPBEXinputData 4 4 2 2 3" xfId="4630" xr:uid="{BA185174-24EC-4EAF-B463-6ED9A7E87626}"/>
    <cellStyle name="SAPBEXinputData 4 4 2 3" xfId="2602" xr:uid="{B14EB756-E5A7-475E-8E29-6F837E480DEE}"/>
    <cellStyle name="SAPBEXinputData 4 4 2 3 2" xfId="5037" xr:uid="{985E592D-44E3-4A83-B9D9-19592174D9A4}"/>
    <cellStyle name="SAPBEXinputData 4 4 2 4" xfId="4267" xr:uid="{2693DD9B-FD52-4063-A116-C7B9893BA4D6}"/>
    <cellStyle name="SAPBEXinputData 4 4 3" xfId="1943" xr:uid="{ECD161EF-C41C-4218-B765-E7300B860C18}"/>
    <cellStyle name="SAPBEXinputData 4 4 3 2" xfId="2781" xr:uid="{1310E3C7-9AB5-4A77-899B-54BAACD49821}"/>
    <cellStyle name="SAPBEXinputData 4 4 3 2 2" xfId="5216" xr:uid="{85C67C44-F4E4-433C-887E-28693F5F1827}"/>
    <cellStyle name="SAPBEXinputData 4 4 3 3" xfId="4460" xr:uid="{338161AE-DEBD-417D-BB62-7ADF5DFCCB19}"/>
    <cellStyle name="SAPBEXinputData 4 4 4" xfId="2601" xr:uid="{FABC820D-BA09-42D3-85E4-95AA0D20124A}"/>
    <cellStyle name="SAPBEXinputData 4 4 4 2" xfId="5036" xr:uid="{91735020-016A-40ED-ABFC-F2F1D65593D6}"/>
    <cellStyle name="SAPBEXinputData 4 4 5" xfId="4266" xr:uid="{040625C5-4964-43F5-9137-FCFFD53CBA18}"/>
    <cellStyle name="SAPBEXinputData 4 5" xfId="1733" xr:uid="{BCB4BDFE-4CF9-44D0-BE0D-5D9459CD7CE6}"/>
    <cellStyle name="SAPBEXinputData 4 5 2" xfId="2108" xr:uid="{28A472B6-00FC-484A-82AE-37019F78F01D}"/>
    <cellStyle name="SAPBEXinputData 4 5 2 2" xfId="2946" xr:uid="{4557CDF0-58A6-46F6-8742-0C9EB966047A}"/>
    <cellStyle name="SAPBEXinputData 4 5 2 2 2" xfId="5381" xr:uid="{22183BD0-81F1-4374-A6AD-860AC0A6266D}"/>
    <cellStyle name="SAPBEXinputData 4 5 2 3" xfId="4625" xr:uid="{071FB007-8162-4B15-A4D3-6620F54A15F4}"/>
    <cellStyle name="SAPBEXinputData 4 5 3" xfId="2603" xr:uid="{C54BF548-223D-4364-9F65-CC04C59043D9}"/>
    <cellStyle name="SAPBEXinputData 4 5 3 2" xfId="5038" xr:uid="{D85394DB-03B5-404B-9BE8-E62837BC5983}"/>
    <cellStyle name="SAPBEXinputData 4 5 4" xfId="4268" xr:uid="{629BF795-64D5-4C2A-A9BA-119405863193}"/>
    <cellStyle name="SAPBEXinputData 4 6" xfId="1938" xr:uid="{ADCF935C-74F4-438C-9B55-C08943C103DF}"/>
    <cellStyle name="SAPBEXinputData 4 6 2" xfId="2776" xr:uid="{C68B494D-9C2F-457B-A575-640E7A037CC7}"/>
    <cellStyle name="SAPBEXinputData 4 6 2 2" xfId="5211" xr:uid="{C535E8A4-5BEC-4AE6-B7C7-F2216A2808DC}"/>
    <cellStyle name="SAPBEXinputData 4 6 3" xfId="4455" xr:uid="{C409E946-C30C-4C06-9DD7-E5FB076F702F}"/>
    <cellStyle name="SAPBEXinputData 4 7" xfId="2592" xr:uid="{B0660C25-8D44-4B4C-98D6-67E5695C59B3}"/>
    <cellStyle name="SAPBEXinputData 4 7 2" xfId="5027" xr:uid="{E2136055-B27A-4F36-9C7A-36A1517C3974}"/>
    <cellStyle name="SAPBEXinputData 4 8" xfId="4257" xr:uid="{C29C5910-C274-41A2-957F-0995510D1B11}"/>
    <cellStyle name="SAPBEXinputData 5" xfId="1734" xr:uid="{0D1EA735-CB7F-4E59-8FA2-2E407DCF8172}"/>
    <cellStyle name="SAPBEXinputData 5 2" xfId="1735" xr:uid="{8395ED8E-4DBE-440E-BA3A-B47179916084}"/>
    <cellStyle name="SAPBEXinputData 5 2 2" xfId="1736" xr:uid="{759DAB5D-8E37-4A17-BA62-9E1CBE47EC3D}"/>
    <cellStyle name="SAPBEXinputData 5 2 2 2" xfId="2115" xr:uid="{F47141D3-E797-4324-AD0E-5F3FFCAD70FD}"/>
    <cellStyle name="SAPBEXinputData 5 2 2 2 2" xfId="2953" xr:uid="{D60F6199-EC52-4599-83DB-87F2408EFB26}"/>
    <cellStyle name="SAPBEXinputData 5 2 2 2 2 2" xfId="5388" xr:uid="{C09E9B4B-E5A9-4548-8816-F675C7099AD2}"/>
    <cellStyle name="SAPBEXinputData 5 2 2 2 3" xfId="4632" xr:uid="{44ED45D8-7BBF-4AE0-98DF-C125DA5CBB94}"/>
    <cellStyle name="SAPBEXinputData 5 2 2 3" xfId="2606" xr:uid="{651D8948-BE09-46F2-9274-65AC252440D8}"/>
    <cellStyle name="SAPBEXinputData 5 2 2 3 2" xfId="5041" xr:uid="{7E7594F6-86D3-488A-BF46-1861A76773A2}"/>
    <cellStyle name="SAPBEXinputData 5 2 2 4" xfId="4271" xr:uid="{3B7A28BE-A37F-4163-BA71-688942BB8E6E}"/>
    <cellStyle name="SAPBEXinputData 5 2 3" xfId="1945" xr:uid="{BBEA4784-D1A6-4899-8798-BD8662343B3B}"/>
    <cellStyle name="SAPBEXinputData 5 2 3 2" xfId="2783" xr:uid="{E5733EF6-8BA0-4D5E-A08E-E1BD63D27CFF}"/>
    <cellStyle name="SAPBEXinputData 5 2 3 2 2" xfId="5218" xr:uid="{8E5FCDE0-1A11-4FD7-B28F-BC3DC0744944}"/>
    <cellStyle name="SAPBEXinputData 5 2 3 3" xfId="4462" xr:uid="{64D4987B-8387-49D1-B008-342AB80FE0AF}"/>
    <cellStyle name="SAPBEXinputData 5 2 4" xfId="2605" xr:uid="{0F0A4A30-63A5-4D4E-BA3D-BD857392CDCD}"/>
    <cellStyle name="SAPBEXinputData 5 2 4 2" xfId="5040" xr:uid="{21CD1FFB-4A17-45DB-AE97-3407E2661ACF}"/>
    <cellStyle name="SAPBEXinputData 5 2 5" xfId="4270" xr:uid="{990C60A4-3200-4B58-884E-820F26A163E9}"/>
    <cellStyle name="SAPBEXinputData 5 3" xfId="1737" xr:uid="{0A35D69B-987D-4CE8-B943-DC73F11B3A41}"/>
    <cellStyle name="SAPBEXinputData 5 3 2" xfId="1738" xr:uid="{21070AFE-0ED0-4224-966E-E6F9AC3CDEED}"/>
    <cellStyle name="SAPBEXinputData 5 3 2 2" xfId="2116" xr:uid="{A82EE016-144B-4E03-87C3-F7F62E516427}"/>
    <cellStyle name="SAPBEXinputData 5 3 2 2 2" xfId="2954" xr:uid="{AA2623FC-C9E6-4708-95D2-29D457565E8C}"/>
    <cellStyle name="SAPBEXinputData 5 3 2 2 2 2" xfId="5389" xr:uid="{A4065314-FBCA-47D3-ACF9-EC32670CB154}"/>
    <cellStyle name="SAPBEXinputData 5 3 2 2 3" xfId="4633" xr:uid="{6DEA340B-B8A3-4798-80CA-A0BC21F926C3}"/>
    <cellStyle name="SAPBEXinputData 5 3 2 3" xfId="2608" xr:uid="{9C3445DF-9509-421C-B633-5F31EC43F1A1}"/>
    <cellStyle name="SAPBEXinputData 5 3 2 3 2" xfId="5043" xr:uid="{09C79892-E37E-4B25-92BA-92300D6EAC21}"/>
    <cellStyle name="SAPBEXinputData 5 3 2 4" xfId="4273" xr:uid="{A9CB53B4-D61A-4A07-B0CA-0DACA8FBF103}"/>
    <cellStyle name="SAPBEXinputData 5 3 3" xfId="1946" xr:uid="{9A203C3B-A693-4550-A338-1D7BF656CF12}"/>
    <cellStyle name="SAPBEXinputData 5 3 3 2" xfId="2784" xr:uid="{61F4CEA1-34B5-47EA-8585-61E838D4A701}"/>
    <cellStyle name="SAPBEXinputData 5 3 3 2 2" xfId="5219" xr:uid="{373C8D0C-1D8C-45BE-8F25-E1FBB320145B}"/>
    <cellStyle name="SAPBEXinputData 5 3 3 3" xfId="4463" xr:uid="{F1005711-D0A9-4972-88D9-00C2154DC3E3}"/>
    <cellStyle name="SAPBEXinputData 5 3 4" xfId="2607" xr:uid="{202778C2-CEDD-4B64-830B-6D01744CF48B}"/>
    <cellStyle name="SAPBEXinputData 5 3 4 2" xfId="5042" xr:uid="{F4615492-DB1A-40E8-8444-2C4760D14F45}"/>
    <cellStyle name="SAPBEXinputData 5 3 5" xfId="4272" xr:uid="{9511D5E0-2698-473E-B75B-D2ED8704C8E9}"/>
    <cellStyle name="SAPBEXinputData 5 4" xfId="1739" xr:uid="{26ED4FF3-3D0E-4E55-8962-0EFE1A87EA87}"/>
    <cellStyle name="SAPBEXinputData 5 4 2" xfId="2114" xr:uid="{0DAF5ED4-E90B-4BD6-91B5-134C1F4F71A4}"/>
    <cellStyle name="SAPBEXinputData 5 4 2 2" xfId="2952" xr:uid="{7AA8DF3C-5F99-4B66-BF47-E1DDE1DC3F00}"/>
    <cellStyle name="SAPBEXinputData 5 4 2 2 2" xfId="5387" xr:uid="{DAC6BDFF-2C4F-445A-81E3-47161DEEAB11}"/>
    <cellStyle name="SAPBEXinputData 5 4 2 3" xfId="4631" xr:uid="{491D71A6-7463-4EB2-8D3B-5174199ECB33}"/>
    <cellStyle name="SAPBEXinputData 5 4 3" xfId="2609" xr:uid="{77591C62-202A-411E-97A4-D92049A492B3}"/>
    <cellStyle name="SAPBEXinputData 5 4 3 2" xfId="5044" xr:uid="{508FA169-600A-4B9A-92CD-E49E54866402}"/>
    <cellStyle name="SAPBEXinputData 5 4 4" xfId="4274" xr:uid="{CE52E37C-8324-478C-84F0-9509F27D1892}"/>
    <cellStyle name="SAPBEXinputData 5 5" xfId="1944" xr:uid="{2BFA106E-7F0D-46CD-9C49-8F67178707F6}"/>
    <cellStyle name="SAPBEXinputData 5 5 2" xfId="2782" xr:uid="{A744B0A5-E6C7-4751-A352-3160158C18A0}"/>
    <cellStyle name="SAPBEXinputData 5 5 2 2" xfId="5217" xr:uid="{8A1256D9-3FCB-4BB8-84A2-BEF40266978C}"/>
    <cellStyle name="SAPBEXinputData 5 5 3" xfId="4461" xr:uid="{20134D7F-AA96-43AC-9D7D-A5F1C56D64BA}"/>
    <cellStyle name="SAPBEXinputData 5 6" xfId="2604" xr:uid="{726AE2ED-CF95-4FED-879B-952EBE38E111}"/>
    <cellStyle name="SAPBEXinputData 5 6 2" xfId="5039" xr:uid="{F3CAD75B-12D1-41C0-9047-3633261C29BE}"/>
    <cellStyle name="SAPBEXinputData 5 7" xfId="4269" xr:uid="{DD21A4ED-9437-4FD0-B6D4-08FC337F7DCD}"/>
    <cellStyle name="SAPBEXinputData 6" xfId="1740" xr:uid="{4DD5EBF9-77D8-4017-8EF3-AF5AE7E80B87}"/>
    <cellStyle name="SAPBEXinputData 6 2" xfId="1741" xr:uid="{0D8B4FBC-D01F-4B09-AC5A-A006F2F19B8F}"/>
    <cellStyle name="SAPBEXinputData 6 2 2" xfId="2117" xr:uid="{C44B2133-6A3C-4FFF-9ADB-170DD1F49A94}"/>
    <cellStyle name="SAPBEXinputData 6 2 2 2" xfId="2955" xr:uid="{609A86C9-2986-41A6-A9C7-94E9E3C8E1B8}"/>
    <cellStyle name="SAPBEXinputData 6 2 2 2 2" xfId="5390" xr:uid="{1BAE9532-E0CA-449E-BB90-2E0C935234BD}"/>
    <cellStyle name="SAPBEXinputData 6 2 2 3" xfId="4634" xr:uid="{3333E0CC-2C0C-4934-A64F-EB42CFA009AB}"/>
    <cellStyle name="SAPBEXinputData 6 2 3" xfId="2611" xr:uid="{28A49CBE-3FFE-47C2-8BB8-2BB510040A4C}"/>
    <cellStyle name="SAPBEXinputData 6 2 3 2" xfId="5046" xr:uid="{5C4CEACC-5884-45CD-857F-0FB8545466B5}"/>
    <cellStyle name="SAPBEXinputData 6 2 4" xfId="4276" xr:uid="{2D50F023-5369-446E-BEAB-A1D0B70E6918}"/>
    <cellStyle name="SAPBEXinputData 6 3" xfId="1947" xr:uid="{576A6C4E-41DF-49A0-8540-39E53DEEFA99}"/>
    <cellStyle name="SAPBEXinputData 6 3 2" xfId="2785" xr:uid="{2AB139A8-2A4E-47B2-A3CC-47E1D9095094}"/>
    <cellStyle name="SAPBEXinputData 6 3 2 2" xfId="5220" xr:uid="{6AB4FEFA-CAFD-4AAD-AFED-3B2D85B3F01B}"/>
    <cellStyle name="SAPBEXinputData 6 3 3" xfId="4464" xr:uid="{6CA8BC08-887F-4E81-A402-34A13CC6E270}"/>
    <cellStyle name="SAPBEXinputData 6 4" xfId="2610" xr:uid="{887F7A9F-2E81-45EB-BF98-C64BF48B37B2}"/>
    <cellStyle name="SAPBEXinputData 6 4 2" xfId="5045" xr:uid="{AFE0C273-E358-464F-9457-3127D54253CE}"/>
    <cellStyle name="SAPBEXinputData 6 5" xfId="4275" xr:uid="{18177171-BAFA-4FB0-8EC5-1D7CA6466A63}"/>
    <cellStyle name="SAPBEXinputData 7" xfId="1742" xr:uid="{8ABF0873-3797-4419-8903-B5D4728A32F3}"/>
    <cellStyle name="SAPBEXinputData 7 2" xfId="1743" xr:uid="{1656F05A-3718-4D62-BAEB-CAC556B88FEA}"/>
    <cellStyle name="SAPBEXinputData 7 2 2" xfId="2118" xr:uid="{EA7862D4-4542-481C-9F5C-07650E851960}"/>
    <cellStyle name="SAPBEXinputData 7 2 2 2" xfId="2956" xr:uid="{340BFD65-C56A-44E5-ACE3-95F851EC276B}"/>
    <cellStyle name="SAPBEXinputData 7 2 2 2 2" xfId="5391" xr:uid="{6FD9090E-73B8-4738-9C2F-07286A6462F2}"/>
    <cellStyle name="SAPBEXinputData 7 2 2 3" xfId="4635" xr:uid="{AA8CB639-F466-4595-9646-8DC5CE5DE12E}"/>
    <cellStyle name="SAPBEXinputData 7 2 3" xfId="2613" xr:uid="{40ACEDCB-1DC8-4B37-8E6B-929F9E502B83}"/>
    <cellStyle name="SAPBEXinputData 7 2 3 2" xfId="5048" xr:uid="{E87FFD49-9450-47D9-BAEC-03E65BDA3C45}"/>
    <cellStyle name="SAPBEXinputData 7 2 4" xfId="4278" xr:uid="{1B0842B4-0ABC-4479-B8C3-BB2659DE9DBE}"/>
    <cellStyle name="SAPBEXinputData 7 3" xfId="1948" xr:uid="{EDFBBEB9-F0DF-4840-B0A1-699AEA3C5305}"/>
    <cellStyle name="SAPBEXinputData 7 3 2" xfId="2786" xr:uid="{4E519B49-4883-4BB5-AA0F-CA1D97D9D500}"/>
    <cellStyle name="SAPBEXinputData 7 3 2 2" xfId="5221" xr:uid="{EEB75EB1-9C2D-44DB-8822-126B0A63442C}"/>
    <cellStyle name="SAPBEXinputData 7 3 3" xfId="4465" xr:uid="{D65761C7-2E13-4A3C-979C-EA31B94CE777}"/>
    <cellStyle name="SAPBEXinputData 7 4" xfId="2612" xr:uid="{79372DB8-D707-42FE-934E-3BE012077E30}"/>
    <cellStyle name="SAPBEXinputData 7 4 2" xfId="5047" xr:uid="{1FA324C4-F787-4630-9AE4-68BA9B4A4DE0}"/>
    <cellStyle name="SAPBEXinputData 7 5" xfId="4277" xr:uid="{CF3D713F-E48D-49D1-A58F-A7ED3F9F7E11}"/>
    <cellStyle name="SAPBEXinputData 8" xfId="1744" xr:uid="{20692C8D-BC70-480B-8AAD-90F3005CB57D}"/>
    <cellStyle name="SAPBEXinputData 8 2" xfId="2095" xr:uid="{776AADCC-CCBF-460C-BD1E-651A2A965DA7}"/>
    <cellStyle name="SAPBEXinputData 8 2 2" xfId="2933" xr:uid="{4A8BA7EB-2204-4E6B-B80B-B0BC613E7BF4}"/>
    <cellStyle name="SAPBEXinputData 8 2 2 2" xfId="5368" xr:uid="{CAFAF4A5-1D5B-4298-A86B-0399B4FDF9F4}"/>
    <cellStyle name="SAPBEXinputData 8 2 3" xfId="4612" xr:uid="{ED19E0DF-C0F0-45F6-8DC0-D5D70D76B258}"/>
    <cellStyle name="SAPBEXinputData 8 3" xfId="2614" xr:uid="{83A102BC-1B4D-4DE9-85C4-E7210BF91455}"/>
    <cellStyle name="SAPBEXinputData 8 3 2" xfId="5049" xr:uid="{4C95BC85-61DA-457C-80FC-9FB98EDFC0C0}"/>
    <cellStyle name="SAPBEXinputData 8 4" xfId="4279" xr:uid="{CEF1BEB9-783D-4BD7-BE97-8140B257B84D}"/>
    <cellStyle name="SAPBEXinputData 9" xfId="1925" xr:uid="{7F807C61-556E-4BEA-A6BB-8C081C68A9C7}"/>
    <cellStyle name="SAPBEXinputData 9 2" xfId="2763" xr:uid="{E6B183FF-7F4A-4D2E-A70B-5061D0BE0491}"/>
    <cellStyle name="SAPBEXinputData 9 2 2" xfId="5198" xr:uid="{ADC63C79-18DE-4C22-BD0A-9086961852F6}"/>
    <cellStyle name="SAPBEXinputData 9 3" xfId="4442" xr:uid="{0F4B45A2-5D7E-4DF8-9241-FC7C06EEAC44}"/>
    <cellStyle name="SAPBEXItemHeader" xfId="1745" xr:uid="{DD6CA560-4A36-483C-8953-1BF231E1EB1F}"/>
    <cellStyle name="SAPBEXItemHeader 2" xfId="3265" xr:uid="{2EC7314F-6A05-4E67-99E1-4DE74E76035E}"/>
    <cellStyle name="SAPBEXItemHeader 2 2" xfId="5639" xr:uid="{30C56DEF-4E2B-405C-8B72-B34B75396D9C}"/>
    <cellStyle name="SAPBEXItemHeader 3" xfId="3060" xr:uid="{0738AF2B-D779-4A85-9E5B-65EDC3B5AF8D}"/>
    <cellStyle name="SAPBEXItemHeader 3 2" xfId="5434" xr:uid="{A7F4E2F9-12E8-452B-8A15-69C7C21F565B}"/>
    <cellStyle name="SAPBEXItemHeader 4" xfId="4280" xr:uid="{0BFF4FDA-CCAB-4644-9DC6-512FC2C90BAA}"/>
    <cellStyle name="SAPBEXresData" xfId="101" xr:uid="{00000000-0005-0000-0000-00004F030000}"/>
    <cellStyle name="SAPBEXresData 2" xfId="139" xr:uid="{00000000-0005-0000-0000-000050030000}"/>
    <cellStyle name="SAPBEXresData 2 2" xfId="3230" xr:uid="{4801B8EF-FC35-473B-82C7-C6A72948F30E}"/>
    <cellStyle name="SAPBEXresData 2 2 2" xfId="5604" xr:uid="{0624EE80-F7D9-4996-8E30-E82A337DE200}"/>
    <cellStyle name="SAPBEXresData 2 3" xfId="3229" xr:uid="{EF224C7C-6E01-407D-9911-6C5CC6050B76}"/>
    <cellStyle name="SAPBEXresData 2 3 2" xfId="5603" xr:uid="{219B1DE0-A694-4F24-BBE8-E86798E3947E}"/>
    <cellStyle name="SAPBEXresData 2 4" xfId="1747" xr:uid="{FBE9E92B-255D-4B37-82A1-B9F118BB2257}"/>
    <cellStyle name="SAPBEXresData 2 4 2" xfId="4282" xr:uid="{AE1C1E15-91F0-4E1D-8ACE-054D398CF8B6}"/>
    <cellStyle name="SAPBEXresData 2 5" xfId="3360" xr:uid="{B24C225E-C21B-4125-860F-24A057731B1D}"/>
    <cellStyle name="SAPBEXresData 3" xfId="3045" xr:uid="{D90D24B0-9330-4026-B44D-E73E2B9A938C}"/>
    <cellStyle name="SAPBEXresData 3 2" xfId="5419" xr:uid="{F724DF32-D76F-49C3-93C9-040DD14483A2}"/>
    <cellStyle name="SAPBEXresData 4" xfId="3165" xr:uid="{576E1856-1214-4D79-A8BD-8B58BF6DE9A9}"/>
    <cellStyle name="SAPBEXresData 4 2" xfId="5539" xr:uid="{9BD21E5D-9171-4223-B93F-6776D4E90B51}"/>
    <cellStyle name="SAPBEXresData 5" xfId="1746" xr:uid="{671C23F3-614D-4F0F-A68D-50BAA3C21D10}"/>
    <cellStyle name="SAPBEXresData 5 2" xfId="4281" xr:uid="{2EE80BA1-2FC2-4E27-A35D-D3FF13DFCCD3}"/>
    <cellStyle name="SAPBEXresData 6" xfId="3340" xr:uid="{8D0E6CB0-323B-492E-99A4-509626816358}"/>
    <cellStyle name="SAPBEXresDataEmph" xfId="102" xr:uid="{00000000-0005-0000-0000-000051030000}"/>
    <cellStyle name="SAPBEXresDataEmph 2" xfId="1749" xr:uid="{1C541A26-0409-45DA-A414-55DDA3080D07}"/>
    <cellStyle name="SAPBEXresDataEmph 2 2" xfId="3104" xr:uid="{05692A21-EEE4-431F-BE09-0D252F5A93D3}"/>
    <cellStyle name="SAPBEXresDataEmph 2 2 2" xfId="5478" xr:uid="{05489A13-E713-4F75-B179-14FD6F338094}"/>
    <cellStyle name="SAPBEXresDataEmph 3" xfId="3109" xr:uid="{FB2B5432-778B-4941-B9D1-6B66B275C095}"/>
    <cellStyle name="SAPBEXresDataEmph 3 2" xfId="5483" xr:uid="{6FFA06BF-2F03-4D6D-933E-F9CDC696C73D}"/>
    <cellStyle name="SAPBEXresDataEmph 4" xfId="3207" xr:uid="{6140352F-6FED-4E25-9619-2297603739B0}"/>
    <cellStyle name="SAPBEXresDataEmph 4 2" xfId="5581" xr:uid="{8D525B17-6D72-4C33-99D5-61107AC512A2}"/>
    <cellStyle name="SAPBEXresDataEmph 5" xfId="1748" xr:uid="{0566DAAE-C3FB-472B-A76C-DB5553C496AB}"/>
    <cellStyle name="SAPBEXresDataEmph 5 2" xfId="4283" xr:uid="{9B20A395-60F6-46D4-ABFD-CD9D942794F4}"/>
    <cellStyle name="SAPBEXresDataEmph 6" xfId="3341" xr:uid="{2C351558-57F9-4B30-85AE-AF21F078E2CF}"/>
    <cellStyle name="SAPBEXresItem" xfId="103" xr:uid="{00000000-0005-0000-0000-000052030000}"/>
    <cellStyle name="SAPBEXresItem 2" xfId="140" xr:uid="{00000000-0005-0000-0000-000053030000}"/>
    <cellStyle name="SAPBEXresItem 2 2" xfId="3271" xr:uid="{ED142BE8-CE84-4036-B482-C8705B9177A4}"/>
    <cellStyle name="SAPBEXresItem 2 2 2" xfId="5645" xr:uid="{9D289A1D-B4EC-429B-8830-AD3D1A0E4D2F}"/>
    <cellStyle name="SAPBEXresItem 2 3" xfId="3145" xr:uid="{59241FFD-4891-43B2-9E20-E0C288986ADF}"/>
    <cellStyle name="SAPBEXresItem 2 3 2" xfId="5519" xr:uid="{1482167A-01DD-4A62-9498-4A8489D5C7EE}"/>
    <cellStyle name="SAPBEXresItem 2 4" xfId="1751" xr:uid="{849A065E-F31F-40FD-95D8-4729FDA2A894}"/>
    <cellStyle name="SAPBEXresItem 2 4 2" xfId="4285" xr:uid="{56994426-548B-44F8-80B1-3D04D1CAD3C6}"/>
    <cellStyle name="SAPBEXresItem 2 5" xfId="3361" xr:uid="{74B7B49B-7A3A-4A98-9E68-AED3F7899087}"/>
    <cellStyle name="SAPBEXresItem 3" xfId="3142" xr:uid="{6790EF59-35F7-49E2-B284-9610B159AD0F}"/>
    <cellStyle name="SAPBEXresItem 3 2" xfId="5516" xr:uid="{C7C2FE81-3996-406C-983D-B9AD904EFB0A}"/>
    <cellStyle name="SAPBEXresItem 4" xfId="3259" xr:uid="{44213227-9F9E-4DC7-9299-F0DB1D31C26F}"/>
    <cellStyle name="SAPBEXresItem 4 2" xfId="5633" xr:uid="{05A02F71-1659-41A1-97D2-DCB23E259CB5}"/>
    <cellStyle name="SAPBEXresItem 5" xfId="1750" xr:uid="{D2F22319-EFC3-4421-8AE6-D304A2DE7E78}"/>
    <cellStyle name="SAPBEXresItem 5 2" xfId="4284" xr:uid="{793EAECF-BAD7-4E9B-A96A-05C28A4E6BB9}"/>
    <cellStyle name="SAPBEXresItem 6" xfId="3342" xr:uid="{CC40826C-A38E-42F4-9802-45EABAD433A3}"/>
    <cellStyle name="SAPBEXresItemX" xfId="104" xr:uid="{00000000-0005-0000-0000-000054030000}"/>
    <cellStyle name="SAPBEXresItemX 2" xfId="141" xr:uid="{00000000-0005-0000-0000-000055030000}"/>
    <cellStyle name="SAPBEXresItemX 2 2" xfId="3184" xr:uid="{53690D77-EBAB-472F-8354-41FE608EA1AB}"/>
    <cellStyle name="SAPBEXresItemX 2 2 2" xfId="5558" xr:uid="{340B422C-0C34-4BFD-BAF3-38659F576C32}"/>
    <cellStyle name="SAPBEXresItemX 2 3" xfId="3078" xr:uid="{0910C8F3-FD5A-4553-AA14-033D8AD3B238}"/>
    <cellStyle name="SAPBEXresItemX 2 3 2" xfId="5452" xr:uid="{CFCBC59C-DC76-4016-BB6B-957945871CF4}"/>
    <cellStyle name="SAPBEXresItemX 2 4" xfId="1753" xr:uid="{AEF461DC-586E-4C07-9D3B-E160EE9E1E14}"/>
    <cellStyle name="SAPBEXresItemX 2 4 2" xfId="4287" xr:uid="{227A3B16-5DCB-4732-8F14-1291E3CB6CB5}"/>
    <cellStyle name="SAPBEXresItemX 2 5" xfId="3362" xr:uid="{55588F35-41B1-4433-A7D2-7F1F3FF4484F}"/>
    <cellStyle name="SAPBEXresItemX 3" xfId="945" xr:uid="{A986BF0C-E6BA-4D74-9C4F-43A03DE97EEB}"/>
    <cellStyle name="SAPBEXresItemX 3 2" xfId="3228" xr:uid="{1F65111D-43F9-4795-AE1F-8D3C9AFA6B34}"/>
    <cellStyle name="SAPBEXresItemX 3 2 2" xfId="5602" xr:uid="{DDC389BE-58B9-440A-B3DB-F3721D26927F}"/>
    <cellStyle name="SAPBEXresItemX 3 3" xfId="3841" xr:uid="{94C83636-6FB2-4964-9281-59A786F7ADA1}"/>
    <cellStyle name="SAPBEXresItemX 4" xfId="3274" xr:uid="{5B955A2D-A3B4-45A6-9EE9-1BB265851C65}"/>
    <cellStyle name="SAPBEXresItemX 4 2" xfId="5648" xr:uid="{06B1B491-76B6-4F63-A68A-6EB743FD0326}"/>
    <cellStyle name="SAPBEXresItemX 5" xfId="1752" xr:uid="{95CABAE8-6F63-425C-A835-3752583C5DB9}"/>
    <cellStyle name="SAPBEXresItemX 5 2" xfId="4286" xr:uid="{DE4D7B77-EADD-4328-9C75-3214F09850A5}"/>
    <cellStyle name="SAPBEXresItemX 6" xfId="3343" xr:uid="{14892A91-01D6-41D4-A8B2-AA7D682ABA7D}"/>
    <cellStyle name="SAPBEXstdData" xfId="105" xr:uid="{00000000-0005-0000-0000-000056030000}"/>
    <cellStyle name="SAPBEXstdData 2" xfId="142" xr:uid="{00000000-0005-0000-0000-000057030000}"/>
    <cellStyle name="SAPBEXstdData 2 2" xfId="1756" xr:uid="{6D0503D9-06FA-4A1E-8978-852D7092B6F7}"/>
    <cellStyle name="SAPBEXstdData 2 2 2" xfId="1757" xr:uid="{C07CBB7E-FCE5-48FC-97C7-E9C047B60693}"/>
    <cellStyle name="SAPBEXstdData 2 2 2 2" xfId="3241" xr:uid="{F66C1BE5-10D8-42DB-A1ED-83AEB2B1AA8C}"/>
    <cellStyle name="SAPBEXstdData 2 2 2 2 2" xfId="5615" xr:uid="{FA1F26BE-9D46-4EF9-9DCF-391E21198CB0}"/>
    <cellStyle name="SAPBEXstdData 2 2 2 3" xfId="3254" xr:uid="{E7E79820-5EC9-40A0-B44A-BBEB895994B0}"/>
    <cellStyle name="SAPBEXstdData 2 2 2 3 2" xfId="5628" xr:uid="{1E2D2907-5334-44A3-A3AB-E0CCA178E968}"/>
    <cellStyle name="SAPBEXstdData 2 2 2 4" xfId="4291" xr:uid="{9B53BCEB-9933-4676-AE64-BC46EC244728}"/>
    <cellStyle name="SAPBEXstdData 2 2 3" xfId="3052" xr:uid="{7E41A4BC-2233-4ADE-B5DB-6629EC38C317}"/>
    <cellStyle name="SAPBEXstdData 2 2 3 2" xfId="5426" xr:uid="{DFC6CAD6-E526-453C-A17E-777BBA7899C1}"/>
    <cellStyle name="SAPBEXstdData 2 2 4" xfId="3301" xr:uid="{1B8A748A-4372-4C18-A2F5-01CFF9879DBB}"/>
    <cellStyle name="SAPBEXstdData 2 2 4 2" xfId="5675" xr:uid="{B09A114B-6E42-4611-B2FC-4BD2F767C49A}"/>
    <cellStyle name="SAPBEXstdData 2 2 5" xfId="4290" xr:uid="{F6589F00-9791-4F28-B16D-C56ED7CC8240}"/>
    <cellStyle name="SAPBEXstdData 2 3" xfId="1758" xr:uid="{E9F317E6-DEB5-40EF-B50A-F9DE0919E3B3}"/>
    <cellStyle name="SAPBEXstdData 2 3 2" xfId="3044" xr:uid="{D2B9FA23-59FF-4C27-BF71-E03D5B97670F}"/>
    <cellStyle name="SAPBEXstdData 2 3 2 2" xfId="5418" xr:uid="{E6C6B321-0237-4E5C-BBEA-B5FC26067E67}"/>
    <cellStyle name="SAPBEXstdData 2 3 3" xfId="3299" xr:uid="{E13CD35D-934C-409F-B688-8237B74A5BB3}"/>
    <cellStyle name="SAPBEXstdData 2 3 3 2" xfId="5673" xr:uid="{1B63D55B-AC27-4D86-8F31-496B3A2A54A7}"/>
    <cellStyle name="SAPBEXstdData 2 3 4" xfId="4292" xr:uid="{5ECEC8DD-779C-4176-BA30-CB41D5CD9B9B}"/>
    <cellStyle name="SAPBEXstdData 2 4" xfId="3159" xr:uid="{D39A96E0-4920-46B3-9D15-EE9D8AB47BFD}"/>
    <cellStyle name="SAPBEXstdData 2 4 2" xfId="5533" xr:uid="{1F2A5F3F-F22E-411B-B46D-88E65F9BA133}"/>
    <cellStyle name="SAPBEXstdData 2 5" xfId="3098" xr:uid="{37F73EF2-E06D-44F2-94FB-03CFFDDED03F}"/>
    <cellStyle name="SAPBEXstdData 2 5 2" xfId="5472" xr:uid="{F3051B3F-2E7C-4E87-A39C-8D554773E2A6}"/>
    <cellStyle name="SAPBEXstdData 2 6" xfId="1755" xr:uid="{9755F09E-688B-4712-89A1-DFF3A552EE58}"/>
    <cellStyle name="SAPBEXstdData 2 6 2" xfId="4289" xr:uid="{270B092B-1CD9-410C-87F6-50109CB3CD86}"/>
    <cellStyle name="SAPBEXstdData 2 7" xfId="3363" xr:uid="{BCEAD2FE-3FC2-42B8-AE0B-AE9FD3FA7A35}"/>
    <cellStyle name="SAPBEXstdData 3" xfId="889" xr:uid="{A87DB1B3-E42C-412B-BA07-8E4275339EE4}"/>
    <cellStyle name="SAPBEXstdData 3 2" xfId="3100" xr:uid="{FC058B3D-AC7E-4D8C-9597-83CD34034591}"/>
    <cellStyle name="SAPBEXstdData 3 2 2" xfId="5474" xr:uid="{295B8167-7829-4180-A293-B078FB397BE3}"/>
    <cellStyle name="SAPBEXstdData 3 3" xfId="3820" xr:uid="{7EB43ECC-BAC1-4E26-B57C-658ED6B65545}"/>
    <cellStyle name="SAPBEXstdData 4" xfId="3113" xr:uid="{F322F71E-43BB-4C50-B396-D6A505D15F9E}"/>
    <cellStyle name="SAPBEXstdData 4 2" xfId="5487" xr:uid="{FEA26559-4F74-418F-B1E7-2DAE7BFE2E40}"/>
    <cellStyle name="SAPBEXstdData 5" xfId="1754" xr:uid="{FFE62272-6AD1-4EFC-A9DE-1C29880286ED}"/>
    <cellStyle name="SAPBEXstdData 5 2" xfId="4288" xr:uid="{C848AC14-F7CE-4326-BF02-5A00715C0B2B}"/>
    <cellStyle name="SAPBEXstdData 6" xfId="3344" xr:uid="{C19784C1-9DD6-4DB6-B6BA-E4182268F89F}"/>
    <cellStyle name="SAPBEXstdData_BW Data" xfId="1759" xr:uid="{A8564423-0D34-4F8A-BDAB-A047CC6AF791}"/>
    <cellStyle name="SAPBEXstdDataEmph" xfId="106" xr:uid="{00000000-0005-0000-0000-000058030000}"/>
    <cellStyle name="SAPBEXstdDataEmph 2" xfId="1761" xr:uid="{0FD93C9C-B194-487C-A3C9-A318EB75B322}"/>
    <cellStyle name="SAPBEXstdDataEmph 2 2" xfId="3262" xr:uid="{EDBBA322-47D3-4478-8A15-99CF7389D00E}"/>
    <cellStyle name="SAPBEXstdDataEmph 2 2 2" xfId="5636" xr:uid="{F6F03500-C6EC-4076-AFC8-CB5A5CAE9E6D}"/>
    <cellStyle name="SAPBEXstdDataEmph 2 3" xfId="3239" xr:uid="{91B0E418-6484-47CE-AC7E-2FFEE8193AA6}"/>
    <cellStyle name="SAPBEXstdDataEmph 2 3 2" xfId="5613" xr:uid="{2824C20C-CB24-4F4C-8CB0-19AC36F80070}"/>
    <cellStyle name="SAPBEXstdDataEmph 2 4" xfId="4294" xr:uid="{68743FD8-C9C8-415E-9313-93A9E71F111C}"/>
    <cellStyle name="SAPBEXstdDataEmph 3" xfId="3208" xr:uid="{B02E2C00-F475-431C-A96D-17321273C03C}"/>
    <cellStyle name="SAPBEXstdDataEmph 3 2" xfId="5582" xr:uid="{FA8F1494-DBD7-4459-81E4-F892B639FC3F}"/>
    <cellStyle name="SAPBEXstdDataEmph 4" xfId="3303" xr:uid="{142E2079-46D2-4A14-A8D9-591CCC38FD42}"/>
    <cellStyle name="SAPBEXstdDataEmph 4 2" xfId="5677" xr:uid="{DFEC6CCC-FCC4-4E2F-9F05-09D41061260F}"/>
    <cellStyle name="SAPBEXstdDataEmph 5" xfId="1760" xr:uid="{1D8F0283-0FA9-424B-BBBD-598B4EE031F5}"/>
    <cellStyle name="SAPBEXstdDataEmph 5 2" xfId="4293" xr:uid="{B3122C8E-DFD8-4438-BC96-9961AF233715}"/>
    <cellStyle name="SAPBEXstdDataEmph 6" xfId="3345" xr:uid="{4B1CB224-FAA4-4670-8320-8163220C87AB}"/>
    <cellStyle name="SAPBEXstdItem" xfId="107" xr:uid="{00000000-0005-0000-0000-000059030000}"/>
    <cellStyle name="SAPBEXstdItem 2" xfId="143" xr:uid="{00000000-0005-0000-0000-00005A030000}"/>
    <cellStyle name="SAPBEXstdItem 2 2" xfId="1764" xr:uid="{2C531197-EABD-489B-B46D-A686EC476276}"/>
    <cellStyle name="SAPBEXstdItem 2 2 2" xfId="3081" xr:uid="{38ACEFD6-535B-439A-86DE-9C8C2B0B0A19}"/>
    <cellStyle name="SAPBEXstdItem 2 2 2 2" xfId="5455" xr:uid="{4A4DCA5B-DA9B-4A73-B4CE-4B71A9CD08E3}"/>
    <cellStyle name="SAPBEXstdItem 2 2 3" xfId="3302" xr:uid="{4BB1D325-2816-4AE4-8635-C4F430D4F726}"/>
    <cellStyle name="SAPBEXstdItem 2 2 3 2" xfId="5676" xr:uid="{1A8AE7AC-8841-4A95-917A-72D71C6FF5A1}"/>
    <cellStyle name="SAPBEXstdItem 2 2 4" xfId="4297" xr:uid="{BCAEF312-D3CA-438A-A54D-24BA91FEBB83}"/>
    <cellStyle name="SAPBEXstdItem 2 3" xfId="1765" xr:uid="{CDD482C5-4598-46EF-95EC-76B6E87D3B67}"/>
    <cellStyle name="SAPBEXstdItem 2 3 2" xfId="3257" xr:uid="{3B3AB500-1125-40A4-9849-51E489E0E5A9}"/>
    <cellStyle name="SAPBEXstdItem 2 3 2 2" xfId="5631" xr:uid="{B342766D-C8D9-4D25-A74E-96D6D880A57F}"/>
    <cellStyle name="SAPBEXstdItem 2 3 3" xfId="3108" xr:uid="{9B37BABF-B24F-4A49-8677-DAE7E65DB18E}"/>
    <cellStyle name="SAPBEXstdItem 2 3 3 2" xfId="5482" xr:uid="{95D4E2F2-4DDD-4FEA-BA8A-B33F20424F91}"/>
    <cellStyle name="SAPBEXstdItem 2 3 4" xfId="4298" xr:uid="{225F8358-0A7A-4958-B175-3FB03CE4D1C3}"/>
    <cellStyle name="SAPBEXstdItem 2 4" xfId="3095" xr:uid="{8BB18BED-6EAC-43C6-BD27-B49F1C945BE6}"/>
    <cellStyle name="SAPBEXstdItem 2 4 2" xfId="5469" xr:uid="{210D5125-8CAD-42DC-BB49-4D11EFA91B94}"/>
    <cellStyle name="SAPBEXstdItem 2 5" xfId="3180" xr:uid="{F5CF98F1-D9E0-4D08-A549-189006DF9200}"/>
    <cellStyle name="SAPBEXstdItem 2 5 2" xfId="5554" xr:uid="{0C5F4A66-08EC-4B64-BD5F-2F2CC6C16B1D}"/>
    <cellStyle name="SAPBEXstdItem 2 6" xfId="1763" xr:uid="{3999662E-782D-4D68-820D-4F757E8C65C6}"/>
    <cellStyle name="SAPBEXstdItem 2 6 2" xfId="4296" xr:uid="{449EF79F-7515-4E39-8FB1-65F193FA8F6C}"/>
    <cellStyle name="SAPBEXstdItem 2 7" xfId="3364" xr:uid="{A22E0474-E919-4A54-939B-CF01D19954A6}"/>
    <cellStyle name="SAPBEXstdItem 3" xfId="890" xr:uid="{045C2561-423E-4B09-9F8E-E7C7DA435F49}"/>
    <cellStyle name="SAPBEXstdItem 3 2" xfId="3244" xr:uid="{77FA904F-8838-45F4-9FA0-10EF2C0A0822}"/>
    <cellStyle name="SAPBEXstdItem 3 2 2" xfId="5618" xr:uid="{01DA8E0D-327B-4D1A-BF4C-B1ECA48488C6}"/>
    <cellStyle name="SAPBEXstdItem 3 3" xfId="3821" xr:uid="{F0E6AB7C-72A4-49BD-8D8F-1629896BC55C}"/>
    <cellStyle name="SAPBEXstdItem 4" xfId="3300" xr:uid="{8EB0487E-28F8-46C9-9F68-847257ED2211}"/>
    <cellStyle name="SAPBEXstdItem 4 2" xfId="5674" xr:uid="{0E24B171-5AAF-43C1-B103-BF9E3058D3FB}"/>
    <cellStyle name="SAPBEXstdItem 5" xfId="1762" xr:uid="{FEC4E776-1285-4D59-9D0E-66AD54C7993B}"/>
    <cellStyle name="SAPBEXstdItem 5 2" xfId="4295" xr:uid="{14D84144-D10C-41E1-8D43-5D0825E5EBD1}"/>
    <cellStyle name="SAPBEXstdItem 6" xfId="3346" xr:uid="{6F725798-F779-4608-8AB3-A8A2437EB26F}"/>
    <cellStyle name="SAPBEXstdItem_BW Data" xfId="1766" xr:uid="{9CD82F8C-69F2-447E-B215-16CA6831348C}"/>
    <cellStyle name="SAPBEXstdItemX" xfId="108" xr:uid="{00000000-0005-0000-0000-00005B030000}"/>
    <cellStyle name="SAPBEXstdItemX 2" xfId="144" xr:uid="{00000000-0005-0000-0000-00005C030000}"/>
    <cellStyle name="SAPBEXstdItemX 2 2" xfId="3105" xr:uid="{E3B5FC41-B60B-4ECC-B00B-ECE747389983}"/>
    <cellStyle name="SAPBEXstdItemX 2 2 2" xfId="5479" xr:uid="{22916A8C-3F18-42AA-8EE7-4C30EBAAE73C}"/>
    <cellStyle name="SAPBEXstdItemX 2 3" xfId="3297" xr:uid="{10EAD126-FD20-43EF-B373-8D15196882E9}"/>
    <cellStyle name="SAPBEXstdItemX 2 3 2" xfId="5671" xr:uid="{8C8BB632-1994-45A1-B17C-3EDAAC9EB5C3}"/>
    <cellStyle name="SAPBEXstdItemX 2 4" xfId="1768" xr:uid="{41A06426-20C4-4E20-8EB0-43AE83C99905}"/>
    <cellStyle name="SAPBEXstdItemX 2 4 2" xfId="4300" xr:uid="{1969A23E-9779-42ED-90D2-9E72F1B3750E}"/>
    <cellStyle name="SAPBEXstdItemX 2 5" xfId="3365" xr:uid="{3054E2B9-EC3A-46AA-B5F8-335FFCCECF2F}"/>
    <cellStyle name="SAPBEXstdItemX 3" xfId="949" xr:uid="{BC771335-9857-4003-AA06-21242087AB2F}"/>
    <cellStyle name="SAPBEXstdItemX 3 2" xfId="3097" xr:uid="{7A282F8C-A837-4F0B-A93B-5CCEDF314816}"/>
    <cellStyle name="SAPBEXstdItemX 3 2 2" xfId="5471" xr:uid="{FB7EEAF0-DE1C-4C7E-BD43-A37080DCACF0}"/>
    <cellStyle name="SAPBEXstdItemX 3 3" xfId="3844" xr:uid="{17B507B2-AF9D-4F30-9984-A4B9FF823DBB}"/>
    <cellStyle name="SAPBEXstdItemX 4" xfId="3114" xr:uid="{D71F835E-5326-4EE7-8749-1AF43A646AEA}"/>
    <cellStyle name="SAPBEXstdItemX 4 2" xfId="5488" xr:uid="{82420BD5-91C9-4FC0-9D1A-4F021726CF5A}"/>
    <cellStyle name="SAPBEXstdItemX 5" xfId="1767" xr:uid="{51DB7923-555E-47B1-99BF-E5192B0AF1AE}"/>
    <cellStyle name="SAPBEXstdItemX 5 2" xfId="4299" xr:uid="{D8F7DA30-0F94-411A-A4E2-19B86CD69DB2}"/>
    <cellStyle name="SAPBEXstdItemX 6" xfId="3347" xr:uid="{36DDBD02-3280-4A12-BAD0-A534D6D3B633}"/>
    <cellStyle name="SAPBEXtitle" xfId="109" xr:uid="{00000000-0005-0000-0000-00005D030000}"/>
    <cellStyle name="SAPBEXtitle 2" xfId="1770" xr:uid="{AB380B6C-104A-4764-A557-2620C69181A7}"/>
    <cellStyle name="SAPBEXtitle 2 2" xfId="3148" xr:uid="{01CBBD32-3A40-45CA-B2BB-AC26D67E1ED8}"/>
    <cellStyle name="SAPBEXtitle 2 2 2" xfId="5522" xr:uid="{C888C778-2BA3-44EE-A249-8C98D9EC713A}"/>
    <cellStyle name="SAPBEXtitle 2 3" xfId="3295" xr:uid="{4131EAF6-F201-4FEA-B8BA-EB88098CD1CF}"/>
    <cellStyle name="SAPBEXtitle 2 3 2" xfId="5669" xr:uid="{897B12FF-50A4-4279-AC89-AC78F8436683}"/>
    <cellStyle name="SAPBEXtitle 2 4" xfId="4301" xr:uid="{2445A2F1-2B99-494B-A08D-9AFC155A8398}"/>
    <cellStyle name="SAPBEXtitle 3" xfId="1769" xr:uid="{7AB02CA9-3B46-46B6-99D8-5638F87CF745}"/>
    <cellStyle name="SAPBEXunassignedItem" xfId="1771" xr:uid="{3F250E2C-E22E-4142-8AA5-5F24A5378037}"/>
    <cellStyle name="SAPBEXunassignedItem 2" xfId="1772" xr:uid="{25461E51-BAD8-453F-B087-BE48A3487B5B}"/>
    <cellStyle name="SAPBEXunassignedItem 2 2" xfId="3296" xr:uid="{05B806B4-B4DC-42C3-B00F-005C1CAA0847}"/>
    <cellStyle name="SAPBEXunassignedItem 2 2 2" xfId="5670" xr:uid="{14CF8098-033E-4CB8-BF6E-C8E46B3D61DE}"/>
    <cellStyle name="SAPBEXunassignedItem 3" xfId="1773" xr:uid="{0C8120C1-8347-4CFB-A22C-998861B79FB7}"/>
    <cellStyle name="SAPBEXunassignedItem 3 2" xfId="3151" xr:uid="{BE7FB166-B4C2-4502-96A8-36DEC2E5D607}"/>
    <cellStyle name="SAPBEXunassignedItem 3 2 2" xfId="5525" xr:uid="{428AE45B-3791-46D1-BCD3-F03DF1FF7038}"/>
    <cellStyle name="SAPBEXunassignedItem 4" xfId="3080" xr:uid="{82A2B1BF-FE18-4A65-91E3-977ECE9D76B9}"/>
    <cellStyle name="SAPBEXunassignedItem 4 2" xfId="5454" xr:uid="{B5C6344A-C3D7-4857-87AD-A6E96D1F9AE9}"/>
    <cellStyle name="SAPBEXundefined" xfId="110" xr:uid="{00000000-0005-0000-0000-00005E030000}"/>
    <cellStyle name="SAPBEXundefined 2" xfId="1775" xr:uid="{EDD78056-FAC7-483C-B368-650D12C59F96}"/>
    <cellStyle name="SAPBEXundefined 2 2" xfId="3213" xr:uid="{7A758E2A-FA07-40BE-9A4E-23441FC25F7B}"/>
    <cellStyle name="SAPBEXundefined 2 2 2" xfId="5587" xr:uid="{2918B7E8-E711-407C-A47D-C92E97944910}"/>
    <cellStyle name="SAPBEXundefined 2 3" xfId="3068" xr:uid="{ACD26AF5-F260-4E8B-BFDD-7A3C7DB6AA59}"/>
    <cellStyle name="SAPBEXundefined 2 3 2" xfId="5442" xr:uid="{47E8233F-B1B1-47DC-9802-A0D70275FC07}"/>
    <cellStyle name="SAPBEXundefined 2 4" xfId="4303" xr:uid="{03CF2259-2DE7-4A2C-BDD5-43F909C9CFAD}"/>
    <cellStyle name="SAPBEXundefined 3" xfId="3284" xr:uid="{377F57E8-45FD-414D-A171-B817545A4E1F}"/>
    <cellStyle name="SAPBEXundefined 3 2" xfId="5658" xr:uid="{5E835B97-FAE3-4F62-BB4C-9A599CF8EC06}"/>
    <cellStyle name="SAPBEXundefined 4" xfId="3298" xr:uid="{8DFEED10-5827-4ED4-9253-788C0AECFABD}"/>
    <cellStyle name="SAPBEXundefined 4 2" xfId="5672" xr:uid="{262ED546-13DA-4837-8339-41D19795D6F5}"/>
    <cellStyle name="SAPBEXundefined 5" xfId="1774" xr:uid="{98824E1C-FBA2-457A-B508-9FB42F451674}"/>
    <cellStyle name="SAPBEXundefined 5 2" xfId="4302" xr:uid="{875FBCF8-02EB-487E-9520-B7CDB89055BE}"/>
    <cellStyle name="SAPBEXundefined 6" xfId="3348" xr:uid="{FDF3671F-1093-4636-8420-2E864B7CB116}"/>
    <cellStyle name="Sheet Title" xfId="111" xr:uid="{00000000-0005-0000-0000-00005F030000}"/>
    <cellStyle name="Sheet Title 2" xfId="952" xr:uid="{8BCFC3A6-BB2D-4D5E-8020-D05FFC9C02FE}"/>
    <cellStyle name="Title" xfId="112" builtinId="15" customBuiltin="1"/>
    <cellStyle name="Title 2" xfId="188" xr:uid="{00000000-0005-0000-0000-000061030000}"/>
    <cellStyle name="Title 2 2" xfId="1776" xr:uid="{ADB98B37-8AFA-435A-99A3-7B4665CC5D99}"/>
    <cellStyle name="Title 3" xfId="234" xr:uid="{00000000-0005-0000-0000-000062030000}"/>
    <cellStyle name="Title 3 2" xfId="1781" xr:uid="{7A96A93C-5C7A-48C4-892A-D1210E7AD1F9}"/>
    <cellStyle name="Title 4" xfId="280" xr:uid="{00000000-0005-0000-0000-000063030000}"/>
    <cellStyle name="Title 5" xfId="329" xr:uid="{00000000-0005-0000-0000-000064030000}"/>
    <cellStyle name="Title 6" xfId="393" xr:uid="{00000000-0005-0000-0000-000065030000}"/>
    <cellStyle name="Title 7" xfId="464" xr:uid="{00000000-0005-0000-0000-000066030000}"/>
    <cellStyle name="Title 8" xfId="568" xr:uid="{00000000-0005-0000-0000-000067030000}"/>
    <cellStyle name="Total" xfId="113" builtinId="25" customBuiltin="1"/>
    <cellStyle name="Total 10" xfId="3349" xr:uid="{D7069E8E-C5C8-4D8A-8D21-06F42D88D1FE}"/>
    <cellStyle name="Total 2" xfId="189" xr:uid="{00000000-0005-0000-0000-000069030000}"/>
    <cellStyle name="Total 2 2" xfId="1778" xr:uid="{179976E3-04EB-4C47-B29E-63F54A6D3201}"/>
    <cellStyle name="Total 2 2 2" xfId="3162" xr:uid="{ED8282DE-82DE-4016-90DC-792A93E0888E}"/>
    <cellStyle name="Total 2 2 2 2" xfId="5536" xr:uid="{0D074F41-AC6B-42D8-B87D-C13032F7C791}"/>
    <cellStyle name="Total 2 2 3" xfId="4305" xr:uid="{09D15B14-368C-4E7E-BC27-6DDD8566482D}"/>
    <cellStyle name="Total 2 3" xfId="3172" xr:uid="{EC3534D5-41D2-43AF-B4AC-8C381F170761}"/>
    <cellStyle name="Total 2 3 2" xfId="5546" xr:uid="{B5BF204F-3FB5-4E38-BC83-CB451AD0B6D0}"/>
    <cellStyle name="Total 2 4" xfId="1777" xr:uid="{20809672-789B-4F9B-B2B6-D104885B016E}"/>
    <cellStyle name="Total 2 4 2" xfId="4304" xr:uid="{F7CE4193-E4B3-462F-8B12-7435128CEF8A}"/>
    <cellStyle name="Total 2 5" xfId="3371" xr:uid="{1103A734-153C-4098-B797-D6FD4A51468B}"/>
    <cellStyle name="Total 3" xfId="235" xr:uid="{00000000-0005-0000-0000-00006A030000}"/>
    <cellStyle name="Total 3 2" xfId="3377" xr:uid="{5D2B5F47-9080-49AC-BBA9-2F027F241805}"/>
    <cellStyle name="Total 4" xfId="281" xr:uid="{00000000-0005-0000-0000-00006B030000}"/>
    <cellStyle name="Total 4 2" xfId="3384" xr:uid="{A82AC5A3-40FE-4084-827E-98A774AFC015}"/>
    <cellStyle name="Total 5" xfId="330" xr:uid="{00000000-0005-0000-0000-00006C030000}"/>
    <cellStyle name="Total 5 2" xfId="3393" xr:uid="{85C14A04-FB92-4CEE-9044-8C239D082C5F}"/>
    <cellStyle name="Total 6" xfId="394" xr:uid="{00000000-0005-0000-0000-00006D030000}"/>
    <cellStyle name="Total 6 2" xfId="3416" xr:uid="{74B17500-BD18-4A7F-913D-95E1C05178AB}"/>
    <cellStyle name="Total 7" xfId="465" xr:uid="{00000000-0005-0000-0000-00006E030000}"/>
    <cellStyle name="Total 7 2" xfId="3447" xr:uid="{954AC2C2-645F-445D-B243-FF8A352B395D}"/>
    <cellStyle name="Total 8" xfId="569" xr:uid="{00000000-0005-0000-0000-00006F030000}"/>
    <cellStyle name="Total 8 2" xfId="3505" xr:uid="{EE3D9FF1-F417-4123-938B-4DFF45DA82C4}"/>
    <cellStyle name="Total 9" xfId="921" xr:uid="{CBF16F10-0DCE-471F-A0DF-D7C35B026FA1}"/>
    <cellStyle name="Warning Text" xfId="114" builtinId="11" customBuiltin="1"/>
    <cellStyle name="Warning Text 2" xfId="190" xr:uid="{00000000-0005-0000-0000-000071030000}"/>
    <cellStyle name="Warning Text 2 2" xfId="1780" xr:uid="{EA50F5AF-5E34-46C1-BA71-AEF18B03B35A}"/>
    <cellStyle name="Warning Text 2 3" xfId="1779" xr:uid="{98C1911D-39B9-4F4F-9CB0-6DD0C6BC9035}"/>
    <cellStyle name="Warning Text 3" xfId="236" xr:uid="{00000000-0005-0000-0000-000072030000}"/>
    <cellStyle name="Warning Text 4" xfId="282" xr:uid="{00000000-0005-0000-0000-000073030000}"/>
    <cellStyle name="Warning Text 5" xfId="331" xr:uid="{00000000-0005-0000-0000-000074030000}"/>
    <cellStyle name="Warning Text 6" xfId="395" xr:uid="{00000000-0005-0000-0000-000075030000}"/>
    <cellStyle name="Warning Text 7" xfId="466" xr:uid="{00000000-0005-0000-0000-000076030000}"/>
    <cellStyle name="Warning Text 8" xfId="570" xr:uid="{00000000-0005-0000-0000-000077030000}"/>
    <cellStyle name="Warning Text 9" xfId="982" xr:uid="{7D936705-C758-4CB3-936A-91C98D837605}"/>
  </cellStyles>
  <dxfs count="10">
    <dxf>
      <font>
        <b val="0"/>
        <i val="0"/>
        <strike val="0"/>
        <condense val="0"/>
        <extend val="0"/>
        <outline val="0"/>
        <shadow val="0"/>
        <u val="none"/>
        <vertAlign val="baseline"/>
        <sz val="10"/>
        <color auto="1"/>
        <name val="Arial"/>
        <family val="2"/>
        <scheme val="none"/>
      </font>
      <numFmt numFmtId="176" formatCode="0.0000"/>
      <fill>
        <patternFill patternType="none">
          <fgColor indexed="64"/>
          <bgColor auto="1"/>
        </patternFill>
      </fill>
      <protection locked="0" hidden="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auto="1"/>
        </patternFill>
      </fill>
      <protection locked="0" hidden="0"/>
    </dxf>
    <dxf>
      <font>
        <b val="0"/>
        <i val="0"/>
        <strike val="0"/>
        <condense val="0"/>
        <extend val="0"/>
        <outline val="0"/>
        <shadow val="0"/>
        <u val="none"/>
        <vertAlign val="baseline"/>
        <sz val="10"/>
        <color theme="1"/>
        <name val="Arial"/>
        <family val="2"/>
        <scheme val="none"/>
      </font>
      <fill>
        <patternFill patternType="none">
          <fgColor theme="4" tint="0.59999389629810485"/>
          <bgColor auto="1"/>
        </patternFill>
      </fill>
      <border diagonalUp="0" diagonalDown="0" outline="0">
        <left style="thin">
          <color theme="0"/>
        </left>
        <right/>
        <top style="thick">
          <color theme="0"/>
        </top>
        <bottom/>
      </border>
      <protection locked="0" hidden="0"/>
    </dxf>
    <dxf>
      <font>
        <b val="0"/>
        <i val="0"/>
        <strike val="0"/>
        <condense val="0"/>
        <extend val="0"/>
        <outline val="0"/>
        <shadow val="0"/>
        <u val="none"/>
        <vertAlign val="baseline"/>
        <sz val="10"/>
        <color auto="1"/>
        <name val="Arial"/>
        <family val="2"/>
        <scheme val="none"/>
      </font>
      <fill>
        <patternFill patternType="none">
          <fgColor indexed="64"/>
          <bgColor auto="1"/>
        </patternFill>
      </fill>
      <protection locked="0" hidden="0"/>
    </dxf>
    <dxf>
      <font>
        <b val="0"/>
        <i val="0"/>
        <strike val="0"/>
        <condense val="0"/>
        <extend val="0"/>
        <outline val="0"/>
        <shadow val="0"/>
        <u val="none"/>
        <vertAlign val="baseline"/>
        <sz val="10"/>
        <color auto="1"/>
        <name val="Arial"/>
        <family val="2"/>
        <scheme val="none"/>
      </font>
      <fill>
        <patternFill patternType="none">
          <fgColor indexed="64"/>
          <bgColor auto="1"/>
        </patternFill>
      </fill>
      <protection locked="0" hidden="0"/>
    </dxf>
    <dxf>
      <font>
        <b val="0"/>
        <i val="0"/>
        <strike val="0"/>
        <condense val="0"/>
        <extend val="0"/>
        <outline val="0"/>
        <shadow val="0"/>
        <u val="none"/>
        <vertAlign val="baseline"/>
        <sz val="10"/>
        <color auto="1"/>
        <name val="Arial"/>
        <family val="2"/>
        <scheme val="none"/>
      </font>
      <fill>
        <patternFill patternType="none">
          <fgColor indexed="64"/>
          <bgColor indexed="65"/>
        </patternFill>
      </fill>
      <protection locked="0" hidden="0"/>
    </dxf>
    <dxf>
      <font>
        <b val="0"/>
        <i val="0"/>
        <strike val="0"/>
        <condense val="0"/>
        <extend val="0"/>
        <outline val="0"/>
        <shadow val="0"/>
        <u val="none"/>
        <vertAlign val="baseline"/>
        <sz val="10"/>
        <color auto="1"/>
        <name val="Arial"/>
        <family val="2"/>
        <scheme val="none"/>
      </font>
      <fill>
        <patternFill patternType="none">
          <fgColor indexed="64"/>
          <bgColor auto="1"/>
        </patternFill>
      </fill>
      <protection locked="0" hidden="0"/>
    </dxf>
    <dxf>
      <font>
        <b val="0"/>
        <i val="0"/>
        <strike val="0"/>
        <condense val="0"/>
        <extend val="0"/>
        <outline val="0"/>
        <shadow val="0"/>
        <u val="none"/>
        <vertAlign val="baseline"/>
        <sz val="10"/>
        <color auto="1"/>
        <name val="Arial"/>
        <family val="2"/>
        <scheme val="none"/>
      </font>
      <fill>
        <patternFill patternType="none">
          <fgColor indexed="64"/>
          <bgColor auto="1"/>
        </patternFill>
      </fill>
      <protection locked="0" hidden="0"/>
    </dxf>
    <dxf>
      <font>
        <b val="0"/>
        <i val="0"/>
        <strike val="0"/>
        <condense val="0"/>
        <extend val="0"/>
        <outline val="0"/>
        <shadow val="0"/>
        <u val="none"/>
        <vertAlign val="baseline"/>
        <sz val="10"/>
        <color auto="1"/>
        <name val="Arial"/>
        <family val="2"/>
        <scheme val="none"/>
      </font>
      <fill>
        <patternFill patternType="none">
          <fgColor indexed="64"/>
          <bgColor auto="1"/>
        </patternFill>
      </fill>
      <protection locked="0" hidden="0"/>
    </dxf>
    <dxf>
      <font>
        <b val="0"/>
        <i val="0"/>
        <strike val="0"/>
        <condense val="0"/>
        <extend val="0"/>
        <outline val="0"/>
        <shadow val="0"/>
        <u val="none"/>
        <vertAlign val="baseline"/>
        <sz val="10"/>
        <color auto="1"/>
        <name val="Arial"/>
        <family val="2"/>
        <scheme val="none"/>
      </font>
      <fill>
        <patternFill patternType="none">
          <bgColor auto="1"/>
        </patternFill>
      </fill>
      <alignment vertical="top" textRotation="0" indent="0" justifyLastLine="0" shrinkToFit="0" readingOrder="0"/>
      <protection locked="0" hidden="0"/>
    </dxf>
  </dxfs>
  <tableStyles count="0" defaultTableStyle="TableStyleMedium9" defaultPivotStyle="PivotStyleLight16"/>
  <colors>
    <mruColors>
      <color rgb="FFCCFF66"/>
      <color rgb="FF00CC66"/>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4.xml"/><Relationship Id="rId5" Type="http://schemas.openxmlformats.org/officeDocument/2006/relationships/worksheet" Target="worksheets/sheet5.xml"/><Relationship Id="rId15" Type="http://schemas.openxmlformats.org/officeDocument/2006/relationships/externalLink" Target="externalLinks/externalLink1.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1</xdr:col>
      <xdr:colOff>866</xdr:colOff>
      <xdr:row>8</xdr:row>
      <xdr:rowOff>9525</xdr:rowOff>
    </xdr:from>
    <xdr:to>
      <xdr:col>12</xdr:col>
      <xdr:colOff>770659</xdr:colOff>
      <xdr:row>8</xdr:row>
      <xdr:rowOff>381000</xdr:rowOff>
    </xdr:to>
    <xdr:sp macro="" textlink="">
      <xdr:nvSpPr>
        <xdr:cNvPr id="2" name="Text Box 1">
          <a:extLst>
            <a:ext uri="{FF2B5EF4-FFF2-40B4-BE49-F238E27FC236}">
              <a16:creationId xmlns:a16="http://schemas.microsoft.com/office/drawing/2014/main" id="{00000000-0008-0000-0500-000002000000}"/>
            </a:ext>
          </a:extLst>
        </xdr:cNvPr>
        <xdr:cNvSpPr txBox="1">
          <a:spLocks noChangeArrowheads="1"/>
        </xdr:cNvSpPr>
      </xdr:nvSpPr>
      <xdr:spPr bwMode="auto">
        <a:xfrm>
          <a:off x="4001366" y="1265093"/>
          <a:ext cx="9697316" cy="371475"/>
        </a:xfrm>
        <a:prstGeom prst="rect">
          <a:avLst/>
        </a:prstGeom>
        <a:solidFill>
          <a:srgbClr val="FFFFFF"/>
        </a:solidFill>
        <a:ln w="9525">
          <a:solidFill>
            <a:srgbClr val="000000"/>
          </a:solidFill>
          <a:miter lim="800000"/>
          <a:headEnd/>
          <a:tailEnd/>
        </a:ln>
      </xdr:spPr>
      <xdr:txBody>
        <a:bodyPr vertOverflow="clip" wrap="square" lIns="27432" tIns="27432" rIns="27432" bIns="0" anchor="t" upright="1"/>
        <a:lstStyle/>
        <a:p>
          <a:pPr algn="ctr" rtl="0">
            <a:defRPr sz="1000"/>
          </a:pPr>
          <a:endParaRPr lang="en-US" sz="1100" b="1" i="0" u="none" strike="noStrike" baseline="0">
            <a:solidFill>
              <a:srgbClr val="000000"/>
            </a:solidFill>
            <a:latin typeface="Arial"/>
            <a:cs typeface="Arial"/>
          </a:endParaRPr>
        </a:p>
        <a:p>
          <a:pPr algn="ctr" rtl="0">
            <a:defRPr sz="1000"/>
          </a:pPr>
          <a:r>
            <a:rPr lang="en-US" sz="1100" b="1" i="0" u="none" strike="noStrike" baseline="0">
              <a:solidFill>
                <a:srgbClr val="000000"/>
              </a:solidFill>
              <a:latin typeface="Arial"/>
              <a:cs typeface="Arial"/>
            </a:rPr>
            <a:t>2021 Expenditures</a:t>
          </a:r>
        </a:p>
        <a:p>
          <a:pPr algn="ctr" rtl="0">
            <a:defRPr sz="1000"/>
          </a:pPr>
          <a:endParaRPr lang="en-US" sz="1100" b="1" i="0" u="none" strike="noStrike" baseline="0">
            <a:solidFill>
              <a:srgbClr val="000000"/>
            </a:solidFill>
            <a:latin typeface="Arial"/>
            <a:cs typeface="Arial"/>
          </a:endParaRPr>
        </a:p>
        <a:p>
          <a:pPr algn="ctr" rtl="0">
            <a:defRPr sz="1000"/>
          </a:pPr>
          <a:endParaRPr lang="en-US" sz="1100" b="1" i="0" u="none" strike="noStrike" baseline="0">
            <a:solidFill>
              <a:srgbClr val="000000"/>
            </a:solidFill>
            <a:latin typeface="Arial"/>
            <a:cs typeface="Aria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ssuo/cee/dr/Shared%20Documents/2007%20Budget/Budget%20Forecast%202006-08/DR_ACTMA%20Docs/DR%20ACTMA%20thru%2009%20Sept%20200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sempra.sharepoint.com/Users/TKinjo/AppData/Local/Microsoft/Windows/Temporary%20Internet%20Files/Content.Outlook/XGUO2WB4/BIP%20Study%20Appendix%20FF%20%20Ex-Ante%20Load%20Impact%20Table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TMA Pivot"/>
      <sheetName val="ACTMA Detail"/>
      <sheetName val="GL 1430010 2002"/>
    </sheetNames>
    <sheetDataSet>
      <sheetData sheetId="0" refreshError="1"/>
      <sheetData sheetId="1" refreshError="1">
        <row r="2">
          <cell r="N2" t="str">
            <v>ENERTOUCH INC</v>
          </cell>
          <cell r="P2">
            <v>232323.08</v>
          </cell>
        </row>
        <row r="3">
          <cell r="N3" t="str">
            <v>ENERTOUCH INC</v>
          </cell>
          <cell r="P3">
            <v>180623.66</v>
          </cell>
        </row>
        <row r="4">
          <cell r="N4" t="str">
            <v>CANNON TECHNOLOGIES INC</v>
          </cell>
          <cell r="P4">
            <v>0</v>
          </cell>
        </row>
        <row r="5">
          <cell r="N5" t="str">
            <v>CANNON TECHNOLOGIES INC</v>
          </cell>
          <cell r="P5">
            <v>4132.8</v>
          </cell>
        </row>
        <row r="6">
          <cell r="N6" t="str">
            <v>CANNON TECHNOLOGIES INC</v>
          </cell>
          <cell r="P6">
            <v>0</v>
          </cell>
        </row>
        <row r="7">
          <cell r="N7" t="str">
            <v>CANNON TECHNOLOGIES INC</v>
          </cell>
          <cell r="P7">
            <v>96768</v>
          </cell>
        </row>
        <row r="8">
          <cell r="N8" t="str">
            <v>CANNON TECHNOLOGIES INC</v>
          </cell>
          <cell r="P8">
            <v>72375</v>
          </cell>
        </row>
        <row r="9">
          <cell r="N9" t="str">
            <v>CANNON TECHNOLOGIES INC</v>
          </cell>
          <cell r="P9">
            <v>96768</v>
          </cell>
        </row>
        <row r="10">
          <cell r="N10" t="str">
            <v>CANNON TECHNOLOGIES INC</v>
          </cell>
          <cell r="P10">
            <v>96768</v>
          </cell>
        </row>
        <row r="11">
          <cell r="N11" t="str">
            <v>CANNON TECHNOLOGIES INC</v>
          </cell>
          <cell r="P11">
            <v>-423059.4</v>
          </cell>
        </row>
        <row r="12">
          <cell r="N12" t="str">
            <v>CANNON TECHNOLOGIES INC</v>
          </cell>
          <cell r="P12">
            <v>0</v>
          </cell>
        </row>
        <row r="13">
          <cell r="N13" t="str">
            <v>CANNON TECHNOLOGIES INC</v>
          </cell>
          <cell r="P13">
            <v>72375</v>
          </cell>
        </row>
        <row r="14">
          <cell r="N14" t="str">
            <v>CANNON TECHNOLOGIES INC</v>
          </cell>
          <cell r="P14">
            <v>423059.4</v>
          </cell>
        </row>
        <row r="15">
          <cell r="N15" t="str">
            <v>CANNON TECHNOLOGIES INC</v>
          </cell>
          <cell r="P15">
            <v>4132.8</v>
          </cell>
        </row>
        <row r="16">
          <cell r="N16" t="str">
            <v>CANNON TECHNOLOGIES INC</v>
          </cell>
          <cell r="P16">
            <v>4132.8</v>
          </cell>
        </row>
        <row r="17">
          <cell r="N17" t="str">
            <v>CANNON TECHNOLOGIES INC</v>
          </cell>
          <cell r="P17">
            <v>72375</v>
          </cell>
        </row>
        <row r="18">
          <cell r="N18" t="str">
            <v>CANNON TECHNOLOGIES INC</v>
          </cell>
          <cell r="P18">
            <v>96768</v>
          </cell>
        </row>
        <row r="19">
          <cell r="N19" t="str">
            <v>CANNON TECHNOLOGIES INC</v>
          </cell>
          <cell r="P19">
            <v>72375</v>
          </cell>
        </row>
        <row r="20">
          <cell r="N20" t="str">
            <v>CANNON TECHNOLOGIES INC</v>
          </cell>
          <cell r="P20">
            <v>1935.36</v>
          </cell>
        </row>
        <row r="21">
          <cell r="N21" t="str">
            <v>CANNON TECHNOLOGIES INC</v>
          </cell>
          <cell r="P21">
            <v>1935.36</v>
          </cell>
        </row>
        <row r="22">
          <cell r="N22" t="str">
            <v>CANNON TECHNOLOGIES INC</v>
          </cell>
          <cell r="P22">
            <v>82.66</v>
          </cell>
        </row>
        <row r="23">
          <cell r="N23" t="str">
            <v>CANNON TECHNOLOGIES INC</v>
          </cell>
          <cell r="P23">
            <v>1935.36</v>
          </cell>
        </row>
        <row r="24">
          <cell r="N24" t="str">
            <v>CANNON TECHNOLOGIES INC</v>
          </cell>
          <cell r="P24">
            <v>1447.5</v>
          </cell>
        </row>
        <row r="25">
          <cell r="N25" t="str">
            <v>CANNON TECHNOLOGIES INC</v>
          </cell>
          <cell r="P25">
            <v>-82.66</v>
          </cell>
        </row>
        <row r="26">
          <cell r="N26" t="str">
            <v>CANNON TECHNOLOGIES INC</v>
          </cell>
          <cell r="P26">
            <v>1447.5</v>
          </cell>
        </row>
        <row r="27">
          <cell r="N27" t="str">
            <v>CANNON TECHNOLOGIES INC</v>
          </cell>
          <cell r="P27">
            <v>82.66</v>
          </cell>
        </row>
        <row r="28">
          <cell r="N28" t="str">
            <v>CANNON TECHNOLOGIES INC</v>
          </cell>
          <cell r="P28">
            <v>1447.5</v>
          </cell>
        </row>
        <row r="29">
          <cell r="N29" t="str">
            <v>CANNON TECHNOLOGIES INC</v>
          </cell>
          <cell r="P29">
            <v>82.66</v>
          </cell>
        </row>
        <row r="30">
          <cell r="N30" t="str">
            <v>CANNON TECHNOLOGIES INC</v>
          </cell>
          <cell r="P30">
            <v>1935.36</v>
          </cell>
        </row>
        <row r="31">
          <cell r="N31" t="str">
            <v>CANNON TECHNOLOGIES INC</v>
          </cell>
          <cell r="P31">
            <v>82.66</v>
          </cell>
        </row>
        <row r="32">
          <cell r="N32" t="str">
            <v>CANNON TECHNOLOGIES INC</v>
          </cell>
          <cell r="P32">
            <v>1447.5</v>
          </cell>
        </row>
        <row r="33">
          <cell r="N33"/>
          <cell r="P33">
            <v>0</v>
          </cell>
        </row>
        <row r="34">
          <cell r="N34"/>
          <cell r="P34">
            <v>0</v>
          </cell>
        </row>
        <row r="35">
          <cell r="N35"/>
          <cell r="P35">
            <v>0</v>
          </cell>
        </row>
        <row r="36">
          <cell r="N36"/>
          <cell r="P36">
            <v>0</v>
          </cell>
        </row>
        <row r="37">
          <cell r="N37"/>
          <cell r="P37">
            <v>0</v>
          </cell>
        </row>
        <row r="38">
          <cell r="N38"/>
          <cell r="P38">
            <v>0</v>
          </cell>
        </row>
        <row r="39">
          <cell r="N39"/>
          <cell r="P39">
            <v>0</v>
          </cell>
        </row>
        <row r="40">
          <cell r="N40" t="str">
            <v>CORESTAFF SERVICES LP</v>
          </cell>
          <cell r="P40">
            <v>0</v>
          </cell>
        </row>
        <row r="41">
          <cell r="N41" t="str">
            <v>CORESTAFF SERVICES LP</v>
          </cell>
          <cell r="P41">
            <v>0</v>
          </cell>
        </row>
        <row r="42">
          <cell r="N42" t="str">
            <v>CORESTAFF SERVICES LP</v>
          </cell>
          <cell r="P42">
            <v>0</v>
          </cell>
        </row>
        <row r="43">
          <cell r="N43" t="str">
            <v>CORESTAFF SERVICES LP</v>
          </cell>
          <cell r="P43">
            <v>0</v>
          </cell>
        </row>
        <row r="44">
          <cell r="N44" t="str">
            <v>CORESTAFF SERVICES LP</v>
          </cell>
          <cell r="P44">
            <v>0</v>
          </cell>
        </row>
        <row r="45">
          <cell r="N45" t="str">
            <v>CORESTAFF SERVICES LP</v>
          </cell>
          <cell r="P45">
            <v>0</v>
          </cell>
        </row>
        <row r="46">
          <cell r="N46"/>
          <cell r="P46">
            <v>0</v>
          </cell>
        </row>
        <row r="47">
          <cell r="N47"/>
          <cell r="P47">
            <v>4</v>
          </cell>
        </row>
        <row r="48">
          <cell r="N48" t="str">
            <v>CANNON TECHNOLOGIES INC</v>
          </cell>
          <cell r="P48">
            <v>6500</v>
          </cell>
        </row>
        <row r="49">
          <cell r="N49" t="str">
            <v>CANNON TECHNOLOGIES INC</v>
          </cell>
          <cell r="P49">
            <v>1700</v>
          </cell>
        </row>
        <row r="50">
          <cell r="N50" t="str">
            <v>CANNON TECHNOLOGIES INC</v>
          </cell>
          <cell r="P50">
            <v>-1447.5</v>
          </cell>
        </row>
        <row r="51">
          <cell r="N51" t="str">
            <v>ENERTOUCH INC</v>
          </cell>
          <cell r="P51">
            <v>10678</v>
          </cell>
        </row>
        <row r="52">
          <cell r="N52" t="str">
            <v>CANNON TECHNOLOGIES INC</v>
          </cell>
          <cell r="P52">
            <v>1447.5</v>
          </cell>
        </row>
        <row r="53">
          <cell r="N53" t="str">
            <v>ENERTOUCH INC</v>
          </cell>
          <cell r="P53">
            <v>10272</v>
          </cell>
        </row>
        <row r="54">
          <cell r="N54" t="str">
            <v>ENERTOUCH INC</v>
          </cell>
          <cell r="P54">
            <v>27698.54</v>
          </cell>
        </row>
        <row r="55">
          <cell r="N55" t="str">
            <v>ENERTOUCH INC</v>
          </cell>
          <cell r="P55">
            <v>16523.47</v>
          </cell>
        </row>
        <row r="56">
          <cell r="N56" t="str">
            <v>CORESTAFF SERVICES LP</v>
          </cell>
          <cell r="P56">
            <v>0</v>
          </cell>
        </row>
        <row r="57">
          <cell r="N57" t="str">
            <v>CORESTAFF SERVICES LP</v>
          </cell>
          <cell r="P57">
            <v>0</v>
          </cell>
        </row>
        <row r="58">
          <cell r="N58" t="str">
            <v>CORESTAFF SERVICES LP</v>
          </cell>
          <cell r="P58">
            <v>0</v>
          </cell>
        </row>
        <row r="59">
          <cell r="N59" t="str">
            <v>CORESTAFF SERVICES LP</v>
          </cell>
          <cell r="P59">
            <v>0</v>
          </cell>
        </row>
        <row r="60">
          <cell r="N60" t="str">
            <v>CORESTAFF SERVICES LP</v>
          </cell>
          <cell r="P60">
            <v>0</v>
          </cell>
        </row>
        <row r="61">
          <cell r="N61" t="str">
            <v>YATES ADVERTISING</v>
          </cell>
          <cell r="P61">
            <v>25500</v>
          </cell>
        </row>
        <row r="62">
          <cell r="N62" t="str">
            <v>YATES ADVERTISING</v>
          </cell>
          <cell r="P62">
            <v>14250</v>
          </cell>
        </row>
        <row r="63">
          <cell r="N63" t="str">
            <v>YATES ADVERTISING</v>
          </cell>
          <cell r="P63">
            <v>28436.41</v>
          </cell>
        </row>
        <row r="64">
          <cell r="N64" t="str">
            <v>YATES ADVERTISING</v>
          </cell>
          <cell r="P64">
            <v>38400</v>
          </cell>
        </row>
        <row r="65">
          <cell r="N65" t="str">
            <v>YATES ADVERTISING</v>
          </cell>
          <cell r="P65">
            <v>12826.5</v>
          </cell>
        </row>
        <row r="66">
          <cell r="N66" t="str">
            <v>YATES ADVERTISING</v>
          </cell>
          <cell r="P66">
            <v>813.75</v>
          </cell>
        </row>
        <row r="67">
          <cell r="N67" t="str">
            <v>YATES ADVERTISING</v>
          </cell>
          <cell r="P67">
            <v>33766.75</v>
          </cell>
        </row>
        <row r="68">
          <cell r="N68" t="str">
            <v>YATES ADVERTISING</v>
          </cell>
          <cell r="P68">
            <v>61289.79</v>
          </cell>
        </row>
        <row r="69">
          <cell r="N69" t="str">
            <v>YATES ADVERTISING</v>
          </cell>
          <cell r="P69">
            <v>7950</v>
          </cell>
        </row>
        <row r="70">
          <cell r="N70" t="str">
            <v>YATES ADVERTISING</v>
          </cell>
          <cell r="P70">
            <v>10481.25</v>
          </cell>
        </row>
        <row r="71">
          <cell r="N71" t="str">
            <v>HUGHES UTILITIES LTD</v>
          </cell>
          <cell r="P71">
            <v>1000</v>
          </cell>
        </row>
        <row r="72">
          <cell r="N72" t="str">
            <v>TRANSCONTINENTAL DIRECT USA IN</v>
          </cell>
          <cell r="P72">
            <v>169882.63</v>
          </cell>
        </row>
        <row r="73">
          <cell r="N73" t="str">
            <v>CORESTAFF SERVICES LP</v>
          </cell>
          <cell r="P73">
            <v>0</v>
          </cell>
        </row>
        <row r="74">
          <cell r="N74" t="str">
            <v>CORESTAFF SERVICES LP</v>
          </cell>
          <cell r="P74">
            <v>0</v>
          </cell>
        </row>
        <row r="75">
          <cell r="N75" t="str">
            <v>CORESTAFF SERVICES LP</v>
          </cell>
          <cell r="P75">
            <v>0</v>
          </cell>
        </row>
        <row r="76">
          <cell r="N76" t="str">
            <v>CORESTAFF SERVICES LP</v>
          </cell>
          <cell r="P76">
            <v>0</v>
          </cell>
        </row>
        <row r="77">
          <cell r="N77" t="str">
            <v>CORESTAFF SERVICES LP</v>
          </cell>
          <cell r="P77">
            <v>0</v>
          </cell>
        </row>
        <row r="78">
          <cell r="N78" t="str">
            <v>CORESTAFF SERVICES LP</v>
          </cell>
          <cell r="P78">
            <v>0</v>
          </cell>
        </row>
        <row r="79">
          <cell r="N79"/>
          <cell r="P79">
            <v>0</v>
          </cell>
        </row>
        <row r="80">
          <cell r="N80" t="str">
            <v>TRANSCONTINENTAL DIRECT USA IN</v>
          </cell>
          <cell r="P80">
            <v>165430</v>
          </cell>
        </row>
        <row r="81">
          <cell r="N81" t="str">
            <v>US POSTMASTER</v>
          </cell>
          <cell r="P81">
            <v>0</v>
          </cell>
        </row>
        <row r="82">
          <cell r="N82"/>
          <cell r="P82">
            <v>0</v>
          </cell>
        </row>
        <row r="83">
          <cell r="N83"/>
          <cell r="P83">
            <v>0</v>
          </cell>
        </row>
        <row r="84">
          <cell r="N84"/>
          <cell r="P84">
            <v>8</v>
          </cell>
        </row>
        <row r="85">
          <cell r="N85"/>
          <cell r="P85">
            <v>0</v>
          </cell>
        </row>
        <row r="86">
          <cell r="N86"/>
          <cell r="P86">
            <v>0</v>
          </cell>
        </row>
        <row r="87">
          <cell r="N87"/>
          <cell r="P87">
            <v>0</v>
          </cell>
        </row>
        <row r="88">
          <cell r="N88"/>
          <cell r="P88">
            <v>0</v>
          </cell>
        </row>
        <row r="89">
          <cell r="N89"/>
          <cell r="P89">
            <v>1</v>
          </cell>
        </row>
        <row r="90">
          <cell r="N90"/>
          <cell r="P90">
            <v>1</v>
          </cell>
        </row>
        <row r="91">
          <cell r="N91"/>
          <cell r="P91">
            <v>1</v>
          </cell>
        </row>
        <row r="92">
          <cell r="N92"/>
          <cell r="P92">
            <v>1</v>
          </cell>
        </row>
        <row r="93">
          <cell r="N93"/>
          <cell r="P93">
            <v>1</v>
          </cell>
        </row>
        <row r="94">
          <cell r="N94"/>
          <cell r="P94">
            <v>1</v>
          </cell>
        </row>
        <row r="95">
          <cell r="N95"/>
          <cell r="P95">
            <v>1</v>
          </cell>
        </row>
        <row r="96">
          <cell r="N96"/>
          <cell r="P96">
            <v>1</v>
          </cell>
        </row>
        <row r="97">
          <cell r="N97"/>
          <cell r="P97">
            <v>2</v>
          </cell>
        </row>
        <row r="98">
          <cell r="N98"/>
          <cell r="P98">
            <v>1</v>
          </cell>
        </row>
        <row r="99">
          <cell r="N99"/>
          <cell r="P99">
            <v>1</v>
          </cell>
        </row>
        <row r="100">
          <cell r="N100"/>
          <cell r="P100">
            <v>1</v>
          </cell>
        </row>
        <row r="101">
          <cell r="N101"/>
          <cell r="P101">
            <v>1</v>
          </cell>
        </row>
        <row r="102">
          <cell r="N102"/>
          <cell r="P102">
            <v>2442.12</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S-OUTPUTS"/>
      <sheetName val="LOOKUP"/>
      <sheetName val="DATA"/>
      <sheetName val="ENROLLMENT"/>
    </sheetNames>
    <sheetDataSet>
      <sheetData sheetId="0" refreshError="1"/>
      <sheetData sheetId="1">
        <row r="2">
          <cell r="E2" t="str">
            <v>Typical Event Day</v>
          </cell>
        </row>
        <row r="3">
          <cell r="E3" t="str">
            <v>January Monthly Peak</v>
          </cell>
        </row>
        <row r="4">
          <cell r="E4" t="str">
            <v>February Monthly Peak</v>
          </cell>
        </row>
        <row r="5">
          <cell r="E5" t="str">
            <v>March Monthly Peak</v>
          </cell>
        </row>
        <row r="6">
          <cell r="E6" t="str">
            <v>April Monthly Peak</v>
          </cell>
        </row>
        <row r="7">
          <cell r="E7" t="str">
            <v>May Monthly Peak</v>
          </cell>
        </row>
        <row r="8">
          <cell r="E8" t="str">
            <v>June Monthly Peak</v>
          </cell>
        </row>
        <row r="9">
          <cell r="E9" t="str">
            <v>July Monthly Peak</v>
          </cell>
        </row>
        <row r="10">
          <cell r="E10" t="str">
            <v>August Monthly Peak</v>
          </cell>
        </row>
        <row r="11">
          <cell r="E11" t="str">
            <v>September Monthly Peak</v>
          </cell>
        </row>
        <row r="12">
          <cell r="E12" t="str">
            <v>October Monthly Peak</v>
          </cell>
        </row>
        <row r="13">
          <cell r="E13" t="str">
            <v>November Monthly Peak</v>
          </cell>
        </row>
        <row r="14">
          <cell r="E14" t="str">
            <v>December Monthly Peak</v>
          </cell>
        </row>
      </sheetData>
      <sheetData sheetId="2" refreshError="1"/>
      <sheetData sheetId="3"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3CD904F3-3D23-4B24-AC17-2F36151DB1F8}" name="BUReporting" displayName="BUReporting" ref="A1:H157" totalsRowShown="0" headerRowDxfId="9" dataDxfId="8">
  <autoFilter ref="A1:H157" xr:uid="{5F86BACF-8118-4026-BAE1-46A687E09A40}"/>
  <tableColumns count="8">
    <tableColumn id="5" xr3:uid="{F16FC42C-9734-4D04-972A-93B0B214BAA7}" name="Group" dataDxfId="7"/>
    <tableColumn id="1" xr3:uid="{4486039D-7D45-487D-837F-0E9E6909ED6A}" name="Program" dataDxfId="6"/>
    <tableColumn id="8" xr3:uid="{7C1C7853-7F74-459F-8356-17A012314260}" name="Desc" dataDxfId="5"/>
    <tableColumn id="2" xr3:uid="{7B19090B-D59B-4FB3-A33D-B4DD6B52CC54}" name="Type" dataDxfId="4"/>
    <tableColumn id="4" xr3:uid="{DDA25FFE-773D-44E8-8C46-E9297025BF13}" name="Period" dataDxfId="3"/>
    <tableColumn id="3" xr3:uid="{985231E6-3CF0-43D2-B801-753F59C1884A}" name="Month" dataDxfId="2"/>
    <tableColumn id="6" xr3:uid="{A99F8913-FB93-4814-8E01-DE4C2333965A}" name="Service Accounts" dataDxfId="1">
      <calculatedColumnFormula>IF(OR(BUReporting[[#This Row],[Period]]=1,OR(BUReporting[[#This Row],[Period]]=2,OR(BUReporting[[#This Row],[Period]]=2,OR(BUReporting[[#This Row],[Period]]=4,OR(BUReporting[[#This Row],[Period]]=5,BUReporting[[#This Row],[Period]]=6))))),VLOOKUP(BUReporting[[#This Row],[Program]],'Program MW '!$A$12:$S$22,2,FALSE),VLOOKUP(BUReporting[[#This Row],[Program]],'Program MW '!$A$34:$S$44,2,FALSE))</calculatedColumnFormula>
    </tableColumn>
    <tableColumn id="7" xr3:uid="{0E761944-9C96-4797-A35D-95A3A317468D}" name="Ex Ante Estimated MW" dataDxfId="0"/>
  </tableColumns>
  <tableStyleInfo name="TableStyleMedium16"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customProperty" Target="../customProperty1.bin"/></Relationships>
</file>

<file path=xl/worksheets/_rels/sheet10.xml.rels><?xml version="1.0" encoding="UTF-8" standalone="yes"?>
<Relationships xmlns="http://schemas.openxmlformats.org/package/2006/relationships"><Relationship Id="rId2" Type="http://schemas.openxmlformats.org/officeDocument/2006/relationships/customProperty" Target="../customProperty10.bin"/><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customProperty" Target="../customProperty11.bin"/><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customProperty" Target="../customProperty12.bin"/><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customProperty" Target="../customProperty13.bin"/><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customProperty" Target="../customProperty7.bin"/><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customProperty" Target="../customProperty8.bin"/><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9.bin"/><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4B9AC6-32A5-43EC-87A5-082A733C26A0}">
  <dimension ref="A1:H157"/>
  <sheetViews>
    <sheetView zoomScaleNormal="100" workbookViewId="0">
      <selection activeCell="L119" sqref="L119"/>
    </sheetView>
  </sheetViews>
  <sheetFormatPr defaultColWidth="9.26953125" defaultRowHeight="12.5"/>
  <cols>
    <col min="1" max="1" width="9.7265625" style="10" customWidth="1"/>
    <col min="2" max="2" width="28.54296875" style="10" customWidth="1"/>
    <col min="3" max="3" width="16.54296875" style="10" customWidth="1"/>
    <col min="4" max="4" width="17.453125" style="10" customWidth="1"/>
    <col min="5" max="5" width="15" style="10" customWidth="1"/>
    <col min="6" max="6" width="23.26953125" style="10" bestFit="1" customWidth="1"/>
    <col min="7" max="7" width="13.26953125" style="10" bestFit="1" customWidth="1"/>
    <col min="8" max="16384" width="9.26953125" style="10"/>
  </cols>
  <sheetData>
    <row r="1" spans="1:8" s="393" customFormat="1" ht="39.5" thickBot="1">
      <c r="A1" s="394" t="s">
        <v>0</v>
      </c>
      <c r="B1" s="394" t="s">
        <v>1</v>
      </c>
      <c r="C1" s="394" t="s">
        <v>2</v>
      </c>
      <c r="D1" s="394" t="s">
        <v>3</v>
      </c>
      <c r="E1" s="395" t="s">
        <v>4</v>
      </c>
      <c r="F1" s="396" t="s">
        <v>5</v>
      </c>
      <c r="G1" s="397" t="s">
        <v>6</v>
      </c>
      <c r="H1" s="398" t="s">
        <v>7</v>
      </c>
    </row>
    <row r="2" spans="1:8" ht="15.5" thickTop="1" thickBot="1">
      <c r="A2" s="403">
        <v>0</v>
      </c>
      <c r="B2" s="85" t="s">
        <v>8</v>
      </c>
      <c r="C2" s="404"/>
      <c r="D2" s="394" t="s">
        <v>9</v>
      </c>
      <c r="E2" s="399">
        <v>1</v>
      </c>
      <c r="F2" s="400" t="s">
        <v>10</v>
      </c>
      <c r="G2" s="390">
        <f>IF(OR(BUReporting[[#This Row],[Period]]=1,OR(BUReporting[[#This Row],[Period]]=2,OR(BUReporting[[#This Row],[Period]]=2,OR(BUReporting[[#This Row],[Period]]=4,OR(BUReporting[[#This Row],[Period]]=5,BUReporting[[#This Row],[Period]]=6))))),VLOOKUP(BUReporting[[#This Row],[Program]],'Program MW '!$A$9:$S$9,2,FALSE),VLOOKUP(BUReporting[[#This Row],[Program]],'Program MW '!$A$31:$S$31,2,FALSE))</f>
        <v>4</v>
      </c>
      <c r="H2" s="402">
        <f>IF(OR(BUReporting[[#This Row],[Period]]=1,OR(BUReporting[[#This Row],[Period]]=2,OR(BUReporting[[#This Row],[Period]]=3,OR(BUReporting[[#This Row],[Period]]=4,OR(BUReporting[[#This Row],[Period]]=5,BUReporting[[#This Row],[Period]]=6))))),VLOOKUP(BUReporting[[#This Row],[Program]],'Program MW '!$A$9:$S$9,3,FALSE),VLOOKUP(BUReporting[[#This Row],[Program]],'Program MW '!$A$31:$S$31,3,FALSE))</f>
        <v>0.591757080078125</v>
      </c>
    </row>
    <row r="3" spans="1:8" ht="15.5" thickTop="1" thickBot="1">
      <c r="A3" s="391">
        <v>1</v>
      </c>
      <c r="B3" s="388" t="s">
        <v>11</v>
      </c>
      <c r="C3" s="404"/>
      <c r="D3" s="389" t="s">
        <v>9</v>
      </c>
      <c r="E3" s="399">
        <v>1</v>
      </c>
      <c r="F3" s="400" t="s">
        <v>10</v>
      </c>
      <c r="G3" s="390">
        <f>IF(OR(BUReporting[[#This Row],[Period]]=1,OR(BUReporting[[#This Row],[Period]]=2,OR(BUReporting[[#This Row],[Period]]=2,OR(BUReporting[[#This Row],[Period]]=4,OR(BUReporting[[#This Row],[Period]]=5,BUReporting[[#This Row],[Period]]=6))))),VLOOKUP(BUReporting[[#This Row],[Program]],'Program MW '!$A$12:$S$22,2,FALSE),VLOOKUP(BUReporting[[#This Row],[Program]],'Program MW '!$A$34:$S$44,2,FALSE))</f>
        <v>14093</v>
      </c>
      <c r="H3" s="402">
        <f>IF(OR(BUReporting[[#This Row],[Period]]=1,OR(BUReporting[[#This Row],[Period]]=2,OR(BUReporting[[#This Row],[Period]]=3,OR(BUReporting[[#This Row],[Period]]=4,OR(BUReporting[[#This Row],[Period]]=5,BUReporting[[#This Row],[Period]]=6))))),VLOOKUP(BUReporting[[#This Row],[Program]],'Program MW '!$A$12:$S$22,3,FALSE),VLOOKUP(BUReporting[[#This Row],[Program]],'Program MW '!$A$34:$S$44,3,FALSE))</f>
        <v>1.9730200000000002</v>
      </c>
    </row>
    <row r="4" spans="1:8" ht="15.5" thickTop="1" thickBot="1">
      <c r="A4" s="391">
        <v>2</v>
      </c>
      <c r="B4" s="388" t="s">
        <v>12</v>
      </c>
      <c r="C4" s="404" t="s">
        <v>13</v>
      </c>
      <c r="D4" s="389" t="s">
        <v>9</v>
      </c>
      <c r="E4" s="399">
        <v>1</v>
      </c>
      <c r="F4" s="400" t="s">
        <v>10</v>
      </c>
      <c r="G4" s="390" t="e">
        <f>IF(OR(BUReporting[[#This Row],[Period]]=1,OR(BUReporting[[#This Row],[Period]]=2,OR(BUReporting[[#This Row],[Period]]=2,OR(BUReporting[[#This Row],[Period]]=4,OR(BUReporting[[#This Row],[Period]]=5,BUReporting[[#This Row],[Period]]=6))))),VLOOKUP(BUReporting[[#This Row],[Program]],'Program MW '!$A$12:$S$22,2,FALSE),VLOOKUP(BUReporting[[#This Row],[Program]],'Program MW '!$A$34:$S$44,2,FALSE))</f>
        <v>#N/A</v>
      </c>
      <c r="H4" s="402" t="e">
        <f>IF(OR(BUReporting[[#This Row],[Period]]=1,OR(BUReporting[[#This Row],[Period]]=2,OR(BUReporting[[#This Row],[Period]]=3,OR(BUReporting[[#This Row],[Period]]=4,OR(BUReporting[[#This Row],[Period]]=5,BUReporting[[#This Row],[Period]]=6))))),VLOOKUP(BUReporting[[#This Row],[Program]],'Program MW '!$A$12:$S$22,3,FALSE),VLOOKUP(BUReporting[[#This Row],[Program]],'Program MW '!$A$34:$S$44,3,FALSE))</f>
        <v>#N/A</v>
      </c>
    </row>
    <row r="5" spans="1:8" ht="15.5" thickTop="1" thickBot="1">
      <c r="A5" s="391">
        <v>3</v>
      </c>
      <c r="B5" s="388" t="s">
        <v>14</v>
      </c>
      <c r="C5" s="404"/>
      <c r="D5" s="389" t="s">
        <v>9</v>
      </c>
      <c r="E5" s="399">
        <v>1</v>
      </c>
      <c r="F5" s="400" t="s">
        <v>10</v>
      </c>
      <c r="G5" s="390" t="e">
        <f>IF(OR(BUReporting[[#This Row],[Period]]=1,OR(BUReporting[[#This Row],[Period]]=2,OR(BUReporting[[#This Row],[Period]]=2,OR(BUReporting[[#This Row],[Period]]=4,OR(BUReporting[[#This Row],[Period]]=5,BUReporting[[#This Row],[Period]]=6))))),VLOOKUP(BUReporting[[#This Row],[Program]],'Program MW '!$A$12:$S$22,2,FALSE),VLOOKUP(BUReporting[[#This Row],[Program]],'Program MW '!$A$34:$S$44,2,FALSE))</f>
        <v>#N/A</v>
      </c>
      <c r="H5" s="402" t="e">
        <f>IF(OR(BUReporting[[#This Row],[Period]]=1,OR(BUReporting[[#This Row],[Period]]=2,OR(BUReporting[[#This Row],[Period]]=3,OR(BUReporting[[#This Row],[Period]]=4,OR(BUReporting[[#This Row],[Period]]=5,BUReporting[[#This Row],[Period]]=6))))),VLOOKUP(BUReporting[[#This Row],[Program]],'Program MW '!$A$12:$S$22,3,FALSE),VLOOKUP(BUReporting[[#This Row],[Program]],'Program MW '!$A$34:$S$44,3,FALSE))</f>
        <v>#N/A</v>
      </c>
    </row>
    <row r="6" spans="1:8" ht="15.5" thickTop="1" thickBot="1">
      <c r="A6" s="391">
        <v>4</v>
      </c>
      <c r="B6" s="388" t="s">
        <v>15</v>
      </c>
      <c r="C6" s="404" t="s">
        <v>16</v>
      </c>
      <c r="D6" s="389" t="s">
        <v>9</v>
      </c>
      <c r="E6" s="399">
        <v>1</v>
      </c>
      <c r="F6" s="400" t="s">
        <v>10</v>
      </c>
      <c r="G6" s="390" t="e">
        <f>IF(OR(BUReporting[[#This Row],[Period]]=1,OR(BUReporting[[#This Row],[Period]]=2,OR(BUReporting[[#This Row],[Period]]=2,OR(BUReporting[[#This Row],[Period]]=4,OR(BUReporting[[#This Row],[Period]]=5,BUReporting[[#This Row],[Period]]=6))))),VLOOKUP(BUReporting[[#This Row],[Program]],'Program MW '!$A$12:$S$22,2,FALSE),VLOOKUP(BUReporting[[#This Row],[Program]],'Program MW '!$A$34:$S$44,2,FALSE))</f>
        <v>#N/A</v>
      </c>
      <c r="H6" s="402" t="e">
        <f>IF(OR(BUReporting[[#This Row],[Period]]=1,OR(BUReporting[[#This Row],[Period]]=2,OR(BUReporting[[#This Row],[Period]]=3,OR(BUReporting[[#This Row],[Period]]=4,OR(BUReporting[[#This Row],[Period]]=5,BUReporting[[#This Row],[Period]]=6))))),VLOOKUP(BUReporting[[#This Row],[Program]],'Program MW '!$A$12:$S$22,3,FALSE),VLOOKUP(BUReporting[[#This Row],[Program]],'Program MW '!$A$34:$S$44,3,FALSE))</f>
        <v>#N/A</v>
      </c>
    </row>
    <row r="7" spans="1:8" ht="15.5" thickTop="1" thickBot="1">
      <c r="A7" s="391">
        <v>5</v>
      </c>
      <c r="B7" s="389" t="s">
        <v>17</v>
      </c>
      <c r="C7" s="404" t="s">
        <v>18</v>
      </c>
      <c r="D7" s="389" t="s">
        <v>19</v>
      </c>
      <c r="E7" s="399">
        <v>1</v>
      </c>
      <c r="F7" s="400" t="s">
        <v>10</v>
      </c>
      <c r="G7" s="390">
        <f>IF(OR(BUReporting[[#This Row],[Period]]=1,OR(BUReporting[[#This Row],[Period]]=2,OR(BUReporting[[#This Row],[Period]]=2,OR(BUReporting[[#This Row],[Period]]=4,OR(BUReporting[[#This Row],[Period]]=5,BUReporting[[#This Row],[Period]]=6))))),VLOOKUP(BUReporting[[#This Row],[Program]],'Program MW '!$A$12:$S$22,2,FALSE),VLOOKUP(BUReporting[[#This Row],[Program]],'Program MW '!$A$34:$S$44,2,FALSE))</f>
        <v>17376</v>
      </c>
      <c r="H7" s="402">
        <f>IF(OR(BUReporting[[#This Row],[Period]]=1,OR(BUReporting[[#This Row],[Period]]=2,OR(BUReporting[[#This Row],[Period]]=3,OR(BUReporting[[#This Row],[Period]]=4,OR(BUReporting[[#This Row],[Period]]=5,BUReporting[[#This Row],[Period]]=6))))),VLOOKUP(BUReporting[[#This Row],[Program]],'Program MW '!$A$12:$S$22,3,FALSE),VLOOKUP(BUReporting[[#This Row],[Program]],'Program MW '!$A$34:$S$44,3,FALSE))</f>
        <v>1.9547919699107298E-4</v>
      </c>
    </row>
    <row r="8" spans="1:8" ht="15.5" thickTop="1" thickBot="1">
      <c r="A8" s="391">
        <v>6</v>
      </c>
      <c r="B8" s="389" t="s">
        <v>20</v>
      </c>
      <c r="C8" s="404" t="s">
        <v>18</v>
      </c>
      <c r="D8" s="389" t="s">
        <v>9</v>
      </c>
      <c r="E8" s="399">
        <v>1</v>
      </c>
      <c r="F8" s="400" t="s">
        <v>10</v>
      </c>
      <c r="G8" s="390">
        <f>IF(OR(BUReporting[[#This Row],[Period]]=1,OR(BUReporting[[#This Row],[Period]]=2,OR(BUReporting[[#This Row],[Period]]=2,OR(BUReporting[[#This Row],[Period]]=4,OR(BUReporting[[#This Row],[Period]]=5,BUReporting[[#This Row],[Period]]=6))))),VLOOKUP(BUReporting[[#This Row],[Program]],'Program MW '!$A$12:$S$22,2,FALSE),VLOOKUP(BUReporting[[#This Row],[Program]],'Program MW '!$A$34:$S$44,2,FALSE))</f>
        <v>704</v>
      </c>
      <c r="H8" s="402">
        <f>IF(OR(BUReporting[[#This Row],[Period]]=1,OR(BUReporting[[#This Row],[Period]]=2,OR(BUReporting[[#This Row],[Period]]=3,OR(BUReporting[[#This Row],[Period]]=4,OR(BUReporting[[#This Row],[Period]]=5,BUReporting[[#This Row],[Period]]=6))))),VLOOKUP(BUReporting[[#This Row],[Program]],'Program MW '!$A$12:$S$22,3,FALSE),VLOOKUP(BUReporting[[#This Row],[Program]],'Program MW '!$A$34:$S$44,3,FALSE))</f>
        <v>2.559620887041092E-4</v>
      </c>
    </row>
    <row r="9" spans="1:8" ht="15.5" thickTop="1" thickBot="1">
      <c r="A9" s="391">
        <v>7</v>
      </c>
      <c r="B9" s="389" t="s">
        <v>21</v>
      </c>
      <c r="C9" s="404" t="s">
        <v>22</v>
      </c>
      <c r="D9" s="389" t="s">
        <v>19</v>
      </c>
      <c r="E9" s="399">
        <v>1</v>
      </c>
      <c r="F9" s="400" t="s">
        <v>10</v>
      </c>
      <c r="G9" s="390">
        <f>IF(OR(BUReporting[[#This Row],[Period]]=1,OR(BUReporting[[#This Row],[Period]]=2,OR(BUReporting[[#This Row],[Period]]=2,OR(BUReporting[[#This Row],[Period]]=4,OR(BUReporting[[#This Row],[Period]]=5,BUReporting[[#This Row],[Period]]=6))))),VLOOKUP(BUReporting[[#This Row],[Program]],'Program MW '!$A$12:$S$22,2,FALSE),VLOOKUP(BUReporting[[#This Row],[Program]],'Program MW '!$A$34:$S$44,2,FALSE))</f>
        <v>10225</v>
      </c>
      <c r="H9" s="402">
        <f>IF(OR(BUReporting[[#This Row],[Period]]=1,OR(BUReporting[[#This Row],[Period]]=2,OR(BUReporting[[#This Row],[Period]]=3,OR(BUReporting[[#This Row],[Period]]=4,OR(BUReporting[[#This Row],[Period]]=5,BUReporting[[#This Row],[Period]]=6))))),VLOOKUP(BUReporting[[#This Row],[Program]],'Program MW '!$A$12:$S$22,3,FALSE),VLOOKUP(BUReporting[[#This Row],[Program]],'Program MW '!$A$34:$S$44,3,FALSE))</f>
        <v>0</v>
      </c>
    </row>
    <row r="10" spans="1:8" ht="15.5" thickTop="1" thickBot="1">
      <c r="A10" s="391">
        <v>8</v>
      </c>
      <c r="B10" s="389" t="s">
        <v>23</v>
      </c>
      <c r="C10" s="404" t="s">
        <v>22</v>
      </c>
      <c r="D10" s="389" t="s">
        <v>9</v>
      </c>
      <c r="E10" s="399">
        <v>1</v>
      </c>
      <c r="F10" s="400" t="s">
        <v>10</v>
      </c>
      <c r="G10" s="390">
        <f>IF(OR(BUReporting[[#This Row],[Period]]=1,OR(BUReporting[[#This Row],[Period]]=2,OR(BUReporting[[#This Row],[Period]]=2,OR(BUReporting[[#This Row],[Period]]=4,OR(BUReporting[[#This Row],[Period]]=5,BUReporting[[#This Row],[Period]]=6))))),VLOOKUP(BUReporting[[#This Row],[Program]],'Program MW '!$A$12:$S$22,2,FALSE),VLOOKUP(BUReporting[[#This Row],[Program]],'Program MW '!$A$34:$S$44,2,FALSE))</f>
        <v>2652</v>
      </c>
      <c r="H10" s="402">
        <f>IF(OR(BUReporting[[#This Row],[Period]]=1,OR(BUReporting[[#This Row],[Period]]=2,OR(BUReporting[[#This Row],[Period]]=3,OR(BUReporting[[#This Row],[Period]]=4,OR(BUReporting[[#This Row],[Period]]=5,BUReporting[[#This Row],[Period]]=6))))),VLOOKUP(BUReporting[[#This Row],[Program]],'Program MW '!$A$12:$S$22,3,FALSE),VLOOKUP(BUReporting[[#This Row],[Program]],'Program MW '!$A$34:$S$44,3,FALSE))</f>
        <v>0</v>
      </c>
    </row>
    <row r="11" spans="1:8" ht="15.5" thickTop="1" thickBot="1">
      <c r="A11" s="391">
        <v>9</v>
      </c>
      <c r="B11" s="389" t="s">
        <v>24</v>
      </c>
      <c r="C11" s="404"/>
      <c r="D11" s="389" t="s">
        <v>9</v>
      </c>
      <c r="E11" s="399">
        <v>1</v>
      </c>
      <c r="F11" s="400" t="s">
        <v>10</v>
      </c>
      <c r="G11" s="390">
        <f>IF(OR(BUReporting[[#This Row],[Period]]=1,OR(BUReporting[[#This Row],[Period]]=2,OR(BUReporting[[#This Row],[Period]]=2,OR(BUReporting[[#This Row],[Period]]=4,OR(BUReporting[[#This Row],[Period]]=5,BUReporting[[#This Row],[Period]]=6))))),VLOOKUP(BUReporting[[#This Row],[Program]],'Program MW '!$A$12:$S$22,2,FALSE),VLOOKUP(BUReporting[[#This Row],[Program]],'Program MW '!$A$34:$S$44,2,FALSE))</f>
        <v>0</v>
      </c>
      <c r="H11" s="402">
        <f>IF(OR(BUReporting[[#This Row],[Period]]=1,OR(BUReporting[[#This Row],[Period]]=2,OR(BUReporting[[#This Row],[Period]]=3,OR(BUReporting[[#This Row],[Period]]=4,OR(BUReporting[[#This Row],[Period]]=5,BUReporting[[#This Row],[Period]]=6))))),VLOOKUP(BUReporting[[#This Row],[Program]],'Program MW '!$A$12:$S$22,3,FALSE),VLOOKUP(BUReporting[[#This Row],[Program]],'Program MW '!$A$34:$S$44,3,FALSE))</f>
        <v>0</v>
      </c>
    </row>
    <row r="12" spans="1:8" ht="15.5" thickTop="1" thickBot="1">
      <c r="A12" s="391">
        <v>10</v>
      </c>
      <c r="B12" s="389" t="s">
        <v>25</v>
      </c>
      <c r="C12" s="404"/>
      <c r="D12" s="389" t="s">
        <v>9</v>
      </c>
      <c r="E12" s="399">
        <v>1</v>
      </c>
      <c r="F12" s="400" t="s">
        <v>10</v>
      </c>
      <c r="G12" s="390">
        <f>IF(OR(BUReporting[[#This Row],[Period]]=1,OR(BUReporting[[#This Row],[Period]]=2,OR(BUReporting[[#This Row],[Period]]=2,OR(BUReporting[[#This Row],[Period]]=4,OR(BUReporting[[#This Row],[Period]]=5,BUReporting[[#This Row],[Period]]=6))))),VLOOKUP(BUReporting[[#This Row],[Program]],'Program MW '!$A$12:$S$22,2,FALSE),VLOOKUP(BUReporting[[#This Row],[Program]],'Program MW '!$A$34:$S$44,2,FALSE))</f>
        <v>0</v>
      </c>
      <c r="H12" s="402">
        <f>IF(OR(BUReporting[[#This Row],[Period]]=1,OR(BUReporting[[#This Row],[Period]]=2,OR(BUReporting[[#This Row],[Period]]=3,OR(BUReporting[[#This Row],[Period]]=4,OR(BUReporting[[#This Row],[Period]]=5,BUReporting[[#This Row],[Period]]=6))))),VLOOKUP(BUReporting[[#This Row],[Program]],'Program MW '!$A$12:$S$22,3,FALSE),VLOOKUP(BUReporting[[#This Row],[Program]],'Program MW '!$A$34:$S$44,3,FALSE))</f>
        <v>0</v>
      </c>
    </row>
    <row r="13" spans="1:8" ht="18" customHeight="1" thickTop="1" thickBot="1">
      <c r="A13" s="391">
        <v>11</v>
      </c>
      <c r="B13" s="389" t="s">
        <v>26</v>
      </c>
      <c r="C13" s="404"/>
      <c r="D13" s="389" t="s">
        <v>9</v>
      </c>
      <c r="E13" s="399">
        <v>1</v>
      </c>
      <c r="F13" s="400" t="s">
        <v>10</v>
      </c>
      <c r="G13" s="390">
        <f>IF(OR(BUReporting[[#This Row],[Period]]=1,OR(BUReporting[[#This Row],[Period]]=2,OR(BUReporting[[#This Row],[Period]]=2,OR(BUReporting[[#This Row],[Period]]=4,OR(BUReporting[[#This Row],[Period]]=5,BUReporting[[#This Row],[Period]]=6))))),VLOOKUP(BUReporting[[#This Row],[Program]],'Program MW '!$A$12:$S$22,2,FALSE),VLOOKUP(BUReporting[[#This Row],[Program]],'Program MW '!$A$34:$S$44,2,FALSE))</f>
        <v>111812</v>
      </c>
      <c r="H13" s="402">
        <f>IF(OR(BUReporting[[#This Row],[Period]]=1,OR(BUReporting[[#This Row],[Period]]=2,OR(BUReporting[[#This Row],[Period]]=3,OR(BUReporting[[#This Row],[Period]]=4,OR(BUReporting[[#This Row],[Period]]=5,BUReporting[[#This Row],[Period]]=6))))),VLOOKUP(BUReporting[[#This Row],[Program]],'Program MW '!$A$12:$S$22,3,FALSE),VLOOKUP(BUReporting[[#This Row],[Program]],'Program MW '!$A$34:$S$44,3,FALSE))</f>
        <v>1.11812</v>
      </c>
    </row>
    <row r="14" spans="1:8" ht="13.5" thickTop="1" thickBot="1">
      <c r="A14" s="391">
        <v>12</v>
      </c>
      <c r="B14" s="388" t="s">
        <v>27</v>
      </c>
      <c r="C14" s="388"/>
      <c r="D14" s="389" t="s">
        <v>19</v>
      </c>
      <c r="E14" s="399">
        <v>1</v>
      </c>
      <c r="F14" s="400" t="s">
        <v>10</v>
      </c>
      <c r="G14" s="390">
        <f>IF(OR(BUReporting[[#This Row],[Period]]=1,OR(BUReporting[[#This Row],[Period]]=2,OR(BUReporting[[#This Row],[Period]]=2,OR(BUReporting[[#This Row],[Period]]=4,OR(BUReporting[[#This Row],[Period]]=5,BUReporting[[#This Row],[Period]]=6))))),VLOOKUP(BUReporting[[#This Row],[Program]],'Program MW '!$A$12:$S$22,2,FALSE),VLOOKUP(BUReporting[[#This Row],[Program]],'Program MW '!$A$34:$S$44,2,FALSE))</f>
        <v>17743</v>
      </c>
      <c r="H14" s="402">
        <f>IF(OR(BUReporting[[#This Row],[Period]]=1,OR(BUReporting[[#This Row],[Period]]=2,OR(BUReporting[[#This Row],[Period]]=3,OR(BUReporting[[#This Row],[Period]]=4,OR(BUReporting[[#This Row],[Period]]=5,BUReporting[[#This Row],[Period]]=6))))),VLOOKUP(BUReporting[[#This Row],[Program]],'Program MW '!$A$12:$S$22,3,FALSE),VLOOKUP(BUReporting[[#This Row],[Program]],'Program MW '!$A$34:$S$44,3,FALSE))</f>
        <v>0.68663677264004952</v>
      </c>
    </row>
    <row r="15" spans="1:8" ht="15.5" thickTop="1" thickBot="1">
      <c r="A15" s="403">
        <v>0</v>
      </c>
      <c r="B15" s="85" t="s">
        <v>8</v>
      </c>
      <c r="C15" s="404"/>
      <c r="D15" s="394" t="s">
        <v>9</v>
      </c>
      <c r="E15" s="399">
        <v>2</v>
      </c>
      <c r="F15" s="400" t="s">
        <v>28</v>
      </c>
      <c r="G15" s="390">
        <f>IF(OR(BUReporting[[#This Row],[Period]]=1,OR(BUReporting[[#This Row],[Period]]=2,OR(BUReporting[[#This Row],[Period]]=2,OR(BUReporting[[#This Row],[Period]]=4,OR(BUReporting[[#This Row],[Period]]=5,BUReporting[[#This Row],[Period]]=6))))),VLOOKUP(BUReporting[[#This Row],[Program]],'Program MW '!$A$9:$S$9,5,FALSE),VLOOKUP(BUReporting[[#This Row],[Program]],'Program MW '!$A$31:$S$31,5,FALSE))</f>
        <v>4</v>
      </c>
      <c r="H15" s="402">
        <f>IF(OR(BUReporting[[#This Row],[Period]]=1,OR(BUReporting[[#This Row],[Period]]=2,OR(BUReporting[[#This Row],[Period]]=3,OR(BUReporting[[#This Row],[Period]]=4,OR(BUReporting[[#This Row],[Period]]=5,BUReporting[[#This Row],[Period]]=6))))),VLOOKUP(BUReporting[[#This Row],[Program]],'Program MW '!$A$9:$S$9,6,FALSE),VLOOKUP(BUReporting[[#This Row],[Program]],'Program MW '!$A$31:$S$31,6,FALSE))</f>
        <v>0.49343344116210935</v>
      </c>
    </row>
    <row r="16" spans="1:8" ht="15.5" thickTop="1" thickBot="1">
      <c r="A16" s="391">
        <v>1</v>
      </c>
      <c r="B16" s="389" t="s">
        <v>11</v>
      </c>
      <c r="C16" s="404"/>
      <c r="D16" s="389" t="s">
        <v>9</v>
      </c>
      <c r="E16" s="392">
        <v>2</v>
      </c>
      <c r="F16" s="401" t="s">
        <v>28</v>
      </c>
      <c r="G16" s="390">
        <f>IF(OR(BUReporting[[#This Row],[Period]]=1,OR(BUReporting[[#This Row],[Period]]=2,OR(BUReporting[[#This Row],[Period]]=2,OR(BUReporting[[#This Row],[Period]]=4,OR(BUReporting[[#This Row],[Period]]=5,BUReporting[[#This Row],[Period]]=6))))),VLOOKUP(BUReporting[[#This Row],[Program]],'Program MW '!$A$12:$S$22,5,FALSE),VLOOKUP(BUReporting[[#This Row],[Program]],'Program MW '!$A$34:$S$44,5,FALSE))</f>
        <v>14068</v>
      </c>
      <c r="H16" s="402">
        <f>IF(OR(BUReporting[[#This Row],[Period]]=1,OR(BUReporting[[#This Row],[Period]]=2,OR(BUReporting[[#This Row],[Period]]=3,OR(BUReporting[[#This Row],[Period]]=4,OR(BUReporting[[#This Row],[Period]]=5,BUReporting[[#This Row],[Period]]=6))))),VLOOKUP(BUReporting[[#This Row],[Program]],'Program MW '!$A$12:$S$22,6,FALSE),VLOOKUP(BUReporting[[#This Row],[Program]],'Program MW '!$A$34:$S$44,6,FALSE))</f>
        <v>1.9695200000000002</v>
      </c>
    </row>
    <row r="17" spans="1:8" ht="15.5" thickTop="1" thickBot="1">
      <c r="A17" s="391">
        <v>2</v>
      </c>
      <c r="B17" s="389" t="s">
        <v>12</v>
      </c>
      <c r="C17" s="404" t="s">
        <v>13</v>
      </c>
      <c r="D17" s="389" t="s">
        <v>9</v>
      </c>
      <c r="E17" s="392">
        <v>2</v>
      </c>
      <c r="F17" s="401" t="s">
        <v>28</v>
      </c>
      <c r="G17" s="390" t="e">
        <f>IF(OR(BUReporting[[#This Row],[Period]]=1,OR(BUReporting[[#This Row],[Period]]=2,OR(BUReporting[[#This Row],[Period]]=2,OR(BUReporting[[#This Row],[Period]]=4,OR(BUReporting[[#This Row],[Period]]=5,BUReporting[[#This Row],[Period]]=6))))),VLOOKUP(BUReporting[[#This Row],[Program]],'Program MW '!$A$12:$S$22,5,FALSE),VLOOKUP(BUReporting[[#This Row],[Program]],'Program MW '!$A$34:$S$44,5,FALSE))</f>
        <v>#N/A</v>
      </c>
      <c r="H17" s="402" t="e">
        <f>IF(OR(BUReporting[[#This Row],[Period]]=1,OR(BUReporting[[#This Row],[Period]]=2,OR(BUReporting[[#This Row],[Period]]=3,OR(BUReporting[[#This Row],[Period]]=4,OR(BUReporting[[#This Row],[Period]]=5,BUReporting[[#This Row],[Period]]=6))))),VLOOKUP(BUReporting[[#This Row],[Program]],'Program MW '!$A$12:$S$22,6,FALSE),VLOOKUP(BUReporting[[#This Row],[Program]],'Program MW '!$A$34:$S$44,6,FALSE))</f>
        <v>#N/A</v>
      </c>
    </row>
    <row r="18" spans="1:8" ht="15.5" thickTop="1" thickBot="1">
      <c r="A18" s="391">
        <v>3</v>
      </c>
      <c r="B18" s="389" t="s">
        <v>14</v>
      </c>
      <c r="C18" s="404"/>
      <c r="D18" s="389" t="s">
        <v>9</v>
      </c>
      <c r="E18" s="392">
        <v>2</v>
      </c>
      <c r="F18" s="401" t="s">
        <v>28</v>
      </c>
      <c r="G18" s="390" t="e">
        <f>IF(OR(BUReporting[[#This Row],[Period]]=1,OR(BUReporting[[#This Row],[Period]]=2,OR(BUReporting[[#This Row],[Period]]=2,OR(BUReporting[[#This Row],[Period]]=4,OR(BUReporting[[#This Row],[Period]]=5,BUReporting[[#This Row],[Period]]=6))))),VLOOKUP(BUReporting[[#This Row],[Program]],'Program MW '!$A$12:$S$22,5,FALSE),VLOOKUP(BUReporting[[#This Row],[Program]],'Program MW '!$A$34:$S$44,5,FALSE))</f>
        <v>#N/A</v>
      </c>
      <c r="H18" s="402" t="e">
        <f>IF(OR(BUReporting[[#This Row],[Period]]=1,OR(BUReporting[[#This Row],[Period]]=2,OR(BUReporting[[#This Row],[Period]]=3,OR(BUReporting[[#This Row],[Period]]=4,OR(BUReporting[[#This Row],[Period]]=5,BUReporting[[#This Row],[Period]]=6))))),VLOOKUP(BUReporting[[#This Row],[Program]],'Program MW '!$A$12:$S$22,6,FALSE),VLOOKUP(BUReporting[[#This Row],[Program]],'Program MW '!$A$34:$S$44,6,FALSE))</f>
        <v>#N/A</v>
      </c>
    </row>
    <row r="19" spans="1:8" ht="15.5" thickTop="1" thickBot="1">
      <c r="A19" s="391">
        <v>4</v>
      </c>
      <c r="B19" s="389" t="s">
        <v>15</v>
      </c>
      <c r="C19" s="404" t="s">
        <v>16</v>
      </c>
      <c r="D19" s="389" t="s">
        <v>9</v>
      </c>
      <c r="E19" s="392">
        <v>2</v>
      </c>
      <c r="F19" s="401" t="s">
        <v>28</v>
      </c>
      <c r="G19" s="390" t="e">
        <f>IF(OR(BUReporting[[#This Row],[Period]]=1,OR(BUReporting[[#This Row],[Period]]=2,OR(BUReporting[[#This Row],[Period]]=2,OR(BUReporting[[#This Row],[Period]]=4,OR(BUReporting[[#This Row],[Period]]=5,BUReporting[[#This Row],[Period]]=6))))),VLOOKUP(BUReporting[[#This Row],[Program]],'Program MW '!$A$12:$S$22,5,FALSE),VLOOKUP(BUReporting[[#This Row],[Program]],'Program MW '!$A$34:$S$44,5,FALSE))</f>
        <v>#N/A</v>
      </c>
      <c r="H19" s="402" t="e">
        <f>IF(OR(BUReporting[[#This Row],[Period]]=1,OR(BUReporting[[#This Row],[Period]]=2,OR(BUReporting[[#This Row],[Period]]=3,OR(BUReporting[[#This Row],[Period]]=4,OR(BUReporting[[#This Row],[Period]]=5,BUReporting[[#This Row],[Period]]=6))))),VLOOKUP(BUReporting[[#This Row],[Program]],'Program MW '!$A$12:$S$22,6,FALSE),VLOOKUP(BUReporting[[#This Row],[Program]],'Program MW '!$A$34:$S$44,6,FALSE))</f>
        <v>#N/A</v>
      </c>
    </row>
    <row r="20" spans="1:8" ht="15.5" thickTop="1" thickBot="1">
      <c r="A20" s="391">
        <v>5</v>
      </c>
      <c r="B20" s="389" t="s">
        <v>17</v>
      </c>
      <c r="C20" s="404" t="s">
        <v>18</v>
      </c>
      <c r="D20" s="389" t="s">
        <v>19</v>
      </c>
      <c r="E20" s="392">
        <v>2</v>
      </c>
      <c r="F20" s="401" t="s">
        <v>28</v>
      </c>
      <c r="G20" s="390">
        <f>IF(OR(BUReporting[[#This Row],[Period]]=1,OR(BUReporting[[#This Row],[Period]]=2,OR(BUReporting[[#This Row],[Period]]=2,OR(BUReporting[[#This Row],[Period]]=4,OR(BUReporting[[#This Row],[Period]]=5,BUReporting[[#This Row],[Period]]=6))))),VLOOKUP(BUReporting[[#This Row],[Program]],'Program MW '!$A$12:$S$22,5,FALSE),VLOOKUP(BUReporting[[#This Row],[Program]],'Program MW '!$A$34:$S$44,5,FALSE))</f>
        <v>17278</v>
      </c>
      <c r="H20" s="402">
        <f>IF(OR(BUReporting[[#This Row],[Period]]=1,OR(BUReporting[[#This Row],[Period]]=2,OR(BUReporting[[#This Row],[Period]]=3,OR(BUReporting[[#This Row],[Period]]=4,OR(BUReporting[[#This Row],[Period]]=5,BUReporting[[#This Row],[Period]]=6))))),VLOOKUP(BUReporting[[#This Row],[Program]],'Program MW '!$A$12:$S$22,6,FALSE),VLOOKUP(BUReporting[[#This Row],[Program]],'Program MW '!$A$34:$S$44,6,FALSE))</f>
        <v>4.5015298280304707E-5</v>
      </c>
    </row>
    <row r="21" spans="1:8" ht="15.5" thickTop="1" thickBot="1">
      <c r="A21" s="391">
        <v>6</v>
      </c>
      <c r="B21" s="389" t="s">
        <v>20</v>
      </c>
      <c r="C21" s="404" t="s">
        <v>18</v>
      </c>
      <c r="D21" s="389" t="s">
        <v>9</v>
      </c>
      <c r="E21" s="392">
        <v>2</v>
      </c>
      <c r="F21" s="401" t="s">
        <v>28</v>
      </c>
      <c r="G21" s="390">
        <f>IF(OR(BUReporting[[#This Row],[Period]]=1,OR(BUReporting[[#This Row],[Period]]=2,OR(BUReporting[[#This Row],[Period]]=2,OR(BUReporting[[#This Row],[Period]]=4,OR(BUReporting[[#This Row],[Period]]=5,BUReporting[[#This Row],[Period]]=6))))),VLOOKUP(BUReporting[[#This Row],[Program]],'Program MW '!$A$12:$S$22,5,FALSE),VLOOKUP(BUReporting[[#This Row],[Program]],'Program MW '!$A$34:$S$44,5,FALSE))</f>
        <v>704</v>
      </c>
      <c r="H21" s="402">
        <f>IF(OR(BUReporting[[#This Row],[Period]]=1,OR(BUReporting[[#This Row],[Period]]=2,OR(BUReporting[[#This Row],[Period]]=3,OR(BUReporting[[#This Row],[Period]]=4,OR(BUReporting[[#This Row],[Period]]=5,BUReporting[[#This Row],[Period]]=6))))),VLOOKUP(BUReporting[[#This Row],[Program]],'Program MW '!$A$12:$S$22,6,FALSE),VLOOKUP(BUReporting[[#This Row],[Program]],'Program MW '!$A$34:$S$44,6,FALSE))</f>
        <v>5.9277471620589494E-5</v>
      </c>
    </row>
    <row r="22" spans="1:8" ht="15.5" thickTop="1" thickBot="1">
      <c r="A22" s="391">
        <v>7</v>
      </c>
      <c r="B22" s="389" t="s">
        <v>21</v>
      </c>
      <c r="C22" s="404" t="s">
        <v>22</v>
      </c>
      <c r="D22" s="389" t="s">
        <v>19</v>
      </c>
      <c r="E22" s="392">
        <v>2</v>
      </c>
      <c r="F22" s="401" t="s">
        <v>28</v>
      </c>
      <c r="G22" s="390">
        <f>IF(OR(BUReporting[[#This Row],[Period]]=1,OR(BUReporting[[#This Row],[Period]]=2,OR(BUReporting[[#This Row],[Period]]=2,OR(BUReporting[[#This Row],[Period]]=4,OR(BUReporting[[#This Row],[Period]]=5,BUReporting[[#This Row],[Period]]=6))))),VLOOKUP(BUReporting[[#This Row],[Program]],'Program MW '!$A$12:$S$22,5,FALSE),VLOOKUP(BUReporting[[#This Row],[Program]],'Program MW '!$A$34:$S$44,5,FALSE))</f>
        <v>10185</v>
      </c>
      <c r="H22" s="402">
        <f>IF(OR(BUReporting[[#This Row],[Period]]=1,OR(BUReporting[[#This Row],[Period]]=2,OR(BUReporting[[#This Row],[Period]]=3,OR(BUReporting[[#This Row],[Period]]=4,OR(BUReporting[[#This Row],[Period]]=5,BUReporting[[#This Row],[Period]]=6))))),VLOOKUP(BUReporting[[#This Row],[Program]],'Program MW '!$A$12:$S$22,6,FALSE),VLOOKUP(BUReporting[[#This Row],[Program]],'Program MW '!$A$34:$S$44,6,FALSE))</f>
        <v>0</v>
      </c>
    </row>
    <row r="23" spans="1:8" ht="15.5" thickTop="1" thickBot="1">
      <c r="A23" s="391">
        <v>8</v>
      </c>
      <c r="B23" s="389" t="s">
        <v>23</v>
      </c>
      <c r="C23" s="404" t="s">
        <v>22</v>
      </c>
      <c r="D23" s="389" t="s">
        <v>9</v>
      </c>
      <c r="E23" s="392">
        <v>2</v>
      </c>
      <c r="F23" s="401" t="s">
        <v>28</v>
      </c>
      <c r="G23" s="390">
        <f>IF(OR(BUReporting[[#This Row],[Period]]=1,OR(BUReporting[[#This Row],[Period]]=2,OR(BUReporting[[#This Row],[Period]]=2,OR(BUReporting[[#This Row],[Period]]=4,OR(BUReporting[[#This Row],[Period]]=5,BUReporting[[#This Row],[Period]]=6))))),VLOOKUP(BUReporting[[#This Row],[Program]],'Program MW '!$A$12:$S$22,5,FALSE),VLOOKUP(BUReporting[[#This Row],[Program]],'Program MW '!$A$34:$S$44,5,FALSE))</f>
        <v>2648</v>
      </c>
      <c r="H23" s="402">
        <f>IF(OR(BUReporting[[#This Row],[Period]]=1,OR(BUReporting[[#This Row],[Period]]=2,OR(BUReporting[[#This Row],[Period]]=3,OR(BUReporting[[#This Row],[Period]]=4,OR(BUReporting[[#This Row],[Period]]=5,BUReporting[[#This Row],[Period]]=6))))),VLOOKUP(BUReporting[[#This Row],[Program]],'Program MW '!$A$12:$S$22,6,FALSE),VLOOKUP(BUReporting[[#This Row],[Program]],'Program MW '!$A$34:$S$44,6,FALSE))</f>
        <v>0</v>
      </c>
    </row>
    <row r="24" spans="1:8" ht="15.5" thickTop="1" thickBot="1">
      <c r="A24" s="391">
        <v>9</v>
      </c>
      <c r="B24" s="389" t="s">
        <v>24</v>
      </c>
      <c r="C24" s="404"/>
      <c r="D24" s="389" t="s">
        <v>9</v>
      </c>
      <c r="E24" s="392">
        <v>2</v>
      </c>
      <c r="F24" s="401" t="s">
        <v>28</v>
      </c>
      <c r="G24" s="390">
        <f>IF(OR(BUReporting[[#This Row],[Period]]=1,OR(BUReporting[[#This Row],[Period]]=2,OR(BUReporting[[#This Row],[Period]]=2,OR(BUReporting[[#This Row],[Period]]=4,OR(BUReporting[[#This Row],[Period]]=5,BUReporting[[#This Row],[Period]]=6))))),VLOOKUP(BUReporting[[#This Row],[Program]],'Program MW '!$A$12:$S$22,5,FALSE),VLOOKUP(BUReporting[[#This Row],[Program]],'Program MW '!$A$34:$S$44,5,FALSE))</f>
        <v>0</v>
      </c>
      <c r="H24" s="402">
        <f>IF(OR(BUReporting[[#This Row],[Period]]=1,OR(BUReporting[[#This Row],[Period]]=2,OR(BUReporting[[#This Row],[Period]]=3,OR(BUReporting[[#This Row],[Period]]=4,OR(BUReporting[[#This Row],[Period]]=5,BUReporting[[#This Row],[Period]]=6))))),VLOOKUP(BUReporting[[#This Row],[Program]],'Program MW '!$A$12:$S$22,6,FALSE),VLOOKUP(BUReporting[[#This Row],[Program]],'Program MW '!$A$34:$S$44,6,FALSE))</f>
        <v>0</v>
      </c>
    </row>
    <row r="25" spans="1:8" ht="15.5" thickTop="1" thickBot="1">
      <c r="A25" s="391">
        <v>10</v>
      </c>
      <c r="B25" s="389" t="s">
        <v>25</v>
      </c>
      <c r="C25" s="404"/>
      <c r="D25" s="389" t="s">
        <v>9</v>
      </c>
      <c r="E25" s="392">
        <v>2</v>
      </c>
      <c r="F25" s="401" t="s">
        <v>28</v>
      </c>
      <c r="G25" s="390">
        <f>IF(OR(BUReporting[[#This Row],[Period]]=1,OR(BUReporting[[#This Row],[Period]]=2,OR(BUReporting[[#This Row],[Period]]=2,OR(BUReporting[[#This Row],[Period]]=4,OR(BUReporting[[#This Row],[Period]]=5,BUReporting[[#This Row],[Period]]=6))))),VLOOKUP(BUReporting[[#This Row],[Program]],'Program MW '!$A$12:$S$22,5,FALSE),VLOOKUP(BUReporting[[#This Row],[Program]],'Program MW '!$A$34:$S$44,5,FALSE))</f>
        <v>0</v>
      </c>
      <c r="H25" s="402">
        <f>IF(OR(BUReporting[[#This Row],[Period]]=1,OR(BUReporting[[#This Row],[Period]]=2,OR(BUReporting[[#This Row],[Period]]=3,OR(BUReporting[[#This Row],[Period]]=4,OR(BUReporting[[#This Row],[Period]]=5,BUReporting[[#This Row],[Period]]=6))))),VLOOKUP(BUReporting[[#This Row],[Program]],'Program MW '!$A$12:$S$22,6,FALSE),VLOOKUP(BUReporting[[#This Row],[Program]],'Program MW '!$A$34:$S$44,6,FALSE))</f>
        <v>0</v>
      </c>
    </row>
    <row r="26" spans="1:8" ht="15.5" thickTop="1" thickBot="1">
      <c r="A26" s="391">
        <v>11</v>
      </c>
      <c r="B26" s="389" t="s">
        <v>26</v>
      </c>
      <c r="C26" s="404"/>
      <c r="D26" s="389" t="s">
        <v>9</v>
      </c>
      <c r="E26" s="392">
        <v>2</v>
      </c>
      <c r="F26" s="401" t="s">
        <v>28</v>
      </c>
      <c r="G26" s="390">
        <f>IF(OR(BUReporting[[#This Row],[Period]]=1,OR(BUReporting[[#This Row],[Period]]=2,OR(BUReporting[[#This Row],[Period]]=2,OR(BUReporting[[#This Row],[Period]]=4,OR(BUReporting[[#This Row],[Period]]=5,BUReporting[[#This Row],[Period]]=6))))),VLOOKUP(BUReporting[[#This Row],[Program]],'Program MW '!$A$12:$S$22,5,FALSE),VLOOKUP(BUReporting[[#This Row],[Program]],'Program MW '!$A$34:$S$44,5,FALSE))</f>
        <v>111739</v>
      </c>
      <c r="H26" s="402">
        <f>IF(OR(BUReporting[[#This Row],[Period]]=1,OR(BUReporting[[#This Row],[Period]]=2,OR(BUReporting[[#This Row],[Period]]=3,OR(BUReporting[[#This Row],[Period]]=4,OR(BUReporting[[#This Row],[Period]]=5,BUReporting[[#This Row],[Period]]=6))))),VLOOKUP(BUReporting[[#This Row],[Program]],'Program MW '!$A$12:$S$22,6,FALSE),VLOOKUP(BUReporting[[#This Row],[Program]],'Program MW '!$A$34:$S$44,6,FALSE))</f>
        <v>1.1173900000000001</v>
      </c>
    </row>
    <row r="27" spans="1:8" ht="13.5" thickTop="1" thickBot="1">
      <c r="A27" s="391">
        <v>12</v>
      </c>
      <c r="B27" s="389" t="s">
        <v>27</v>
      </c>
      <c r="C27" s="388"/>
      <c r="D27" s="389" t="s">
        <v>19</v>
      </c>
      <c r="E27" s="392">
        <v>2</v>
      </c>
      <c r="F27" s="401" t="s">
        <v>28</v>
      </c>
      <c r="G27" s="390">
        <f>IF(OR(BUReporting[[#This Row],[Period]]=1,OR(BUReporting[[#This Row],[Period]]=2,OR(BUReporting[[#This Row],[Period]]=2,OR(BUReporting[[#This Row],[Period]]=4,OR(BUReporting[[#This Row],[Period]]=5,BUReporting[[#This Row],[Period]]=6))))),VLOOKUP(BUReporting[[#This Row],[Program]],'Program MW '!$A$12:$S$22,5,FALSE),VLOOKUP(BUReporting[[#This Row],[Program]],'Program MW '!$A$34:$S$44,5,FALSE))</f>
        <v>18502</v>
      </c>
      <c r="H27" s="402">
        <f>IF(OR(BUReporting[[#This Row],[Period]]=1,OR(BUReporting[[#This Row],[Period]]=2,OR(BUReporting[[#This Row],[Period]]=3,OR(BUReporting[[#This Row],[Period]]=4,OR(BUReporting[[#This Row],[Period]]=5,BUReporting[[#This Row],[Period]]=6))))),VLOOKUP(BUReporting[[#This Row],[Program]],'Program MW '!$A$12:$S$22,6,FALSE),VLOOKUP(BUReporting[[#This Row],[Program]],'Program MW '!$A$34:$S$44,6,FALSE))</f>
        <v>0.63577350297570234</v>
      </c>
    </row>
    <row r="28" spans="1:8" ht="15.5" thickTop="1" thickBot="1">
      <c r="A28" s="403">
        <v>0</v>
      </c>
      <c r="B28" s="85" t="s">
        <v>8</v>
      </c>
      <c r="C28" s="404"/>
      <c r="D28" s="394" t="s">
        <v>9</v>
      </c>
      <c r="E28" s="399">
        <v>3</v>
      </c>
      <c r="F28" s="400" t="s">
        <v>29</v>
      </c>
      <c r="G28" s="390">
        <f>IF(OR(BUReporting[[#This Row],[Period]]=1,OR(BUReporting[[#This Row],[Period]]=2,OR(BUReporting[[#This Row],[Period]]=2,OR(BUReporting[[#This Row],[Period]]=4,OR(BUReporting[[#This Row],[Period]]=5,BUReporting[[#This Row],[Period]]=6))))),VLOOKUP(BUReporting[[#This Row],[Program]],'Program MW '!$A$9:$S$9,8,FALSE),VLOOKUP(BUReporting[[#This Row],[Program]],'Program MW '!$A$31:$S$31,8,FALSE))</f>
        <v>0</v>
      </c>
      <c r="H28" s="402">
        <f>IF(OR(BUReporting[[#This Row],[Period]]=1,OR(BUReporting[[#This Row],[Period]]=2,OR(BUReporting[[#This Row],[Period]]=3,OR(BUReporting[[#This Row],[Period]]=4,OR(BUReporting[[#This Row],[Period]]=5,BUReporting[[#This Row],[Period]]=6))))),VLOOKUP(BUReporting[[#This Row],[Program]],'Program MW '!$A$9:$S$9,9,FALSE),VLOOKUP(BUReporting[[#This Row],[Program]],'Program MW '!$A$31:$S$31,9,FALSE))</f>
        <v>0.61670471191406251</v>
      </c>
    </row>
    <row r="29" spans="1:8" ht="15.5" thickTop="1" thickBot="1">
      <c r="A29" s="391">
        <v>1</v>
      </c>
      <c r="B29" s="389" t="s">
        <v>11</v>
      </c>
      <c r="C29" s="404"/>
      <c r="D29" s="389" t="s">
        <v>9</v>
      </c>
      <c r="E29" s="392">
        <v>3</v>
      </c>
      <c r="F29" s="401" t="s">
        <v>29</v>
      </c>
      <c r="G29" s="390">
        <f>IF(OR(BUReporting[[#This Row],[Period]]=1,OR(BUReporting[[#This Row],[Period]]=2,OR(BUReporting[[#This Row],[Period]]=3,OR(BUReporting[[#This Row],[Period]]=4,OR(BUReporting[[#This Row],[Period]]=5,BUReporting[[#This Row],[Period]]=6))))),VLOOKUP(BUReporting[[#This Row],[Program]],'Program MW '!$A$12:$S$22,8,FALSE),VLOOKUP(BUReporting[[#This Row],[Program]],'Program MW '!$A$34:$S$44,8,FALSE))</f>
        <v>13616</v>
      </c>
      <c r="H29" s="402">
        <f>IF(OR(BUReporting[[#This Row],[Period]]=1,OR(BUReporting[[#This Row],[Period]]=2,OR(BUReporting[[#This Row],[Period]]=3,OR(BUReporting[[#This Row],[Period]]=4,OR(BUReporting[[#This Row],[Period]]=5,BUReporting[[#This Row],[Period]]=6))))),VLOOKUP(BUReporting[[#This Row],[Program]],'Program MW '!$A$12:$S$22,9,FALSE),VLOOKUP(BUReporting[[#This Row],[Program]],'Program MW '!$A$34:$S$44,9,FALSE))</f>
        <v>0</v>
      </c>
    </row>
    <row r="30" spans="1:8" ht="15.5" thickTop="1" thickBot="1">
      <c r="A30" s="391">
        <v>2</v>
      </c>
      <c r="B30" s="389" t="s">
        <v>12</v>
      </c>
      <c r="C30" s="404" t="s">
        <v>13</v>
      </c>
      <c r="D30" s="389" t="s">
        <v>9</v>
      </c>
      <c r="E30" s="392">
        <v>3</v>
      </c>
      <c r="F30" s="401" t="s">
        <v>29</v>
      </c>
      <c r="G30" s="390" t="e">
        <f>IF(OR(BUReporting[[#This Row],[Period]]=1,OR(BUReporting[[#This Row],[Period]]=2,OR(BUReporting[[#This Row],[Period]]=3,OR(BUReporting[[#This Row],[Period]]=4,OR(BUReporting[[#This Row],[Period]]=5,BUReporting[[#This Row],[Period]]=6))))),VLOOKUP(BUReporting[[#This Row],[Program]],'Program MW '!$A$12:$S$22,8,FALSE),VLOOKUP(BUReporting[[#This Row],[Program]],'Program MW '!$A$34:$S$44,8,FALSE))</f>
        <v>#N/A</v>
      </c>
      <c r="H30" s="402" t="e">
        <f>IF(OR(BUReporting[[#This Row],[Period]]=1,OR(BUReporting[[#This Row],[Period]]=2,OR(BUReporting[[#This Row],[Period]]=3,OR(BUReporting[[#This Row],[Period]]=4,OR(BUReporting[[#This Row],[Period]]=5,BUReporting[[#This Row],[Period]]=6))))),VLOOKUP(BUReporting[[#This Row],[Program]],'Program MW '!$A$12:$S$22,9,FALSE),VLOOKUP(BUReporting[[#This Row],[Program]],'Program MW '!$A$34:$S$44,9,FALSE))</f>
        <v>#N/A</v>
      </c>
    </row>
    <row r="31" spans="1:8" ht="15.5" thickTop="1" thickBot="1">
      <c r="A31" s="391">
        <v>3</v>
      </c>
      <c r="B31" s="389" t="s">
        <v>14</v>
      </c>
      <c r="C31" s="404"/>
      <c r="D31" s="389" t="s">
        <v>9</v>
      </c>
      <c r="E31" s="392">
        <v>3</v>
      </c>
      <c r="F31" s="401" t="s">
        <v>29</v>
      </c>
      <c r="G31" s="390" t="e">
        <f>IF(OR(BUReporting[[#This Row],[Period]]=1,OR(BUReporting[[#This Row],[Period]]=2,OR(BUReporting[[#This Row],[Period]]=3,OR(BUReporting[[#This Row],[Period]]=4,OR(BUReporting[[#This Row],[Period]]=5,BUReporting[[#This Row],[Period]]=6))))),VLOOKUP(BUReporting[[#This Row],[Program]],'Program MW '!$A$12:$S$22,8,FALSE),VLOOKUP(BUReporting[[#This Row],[Program]],'Program MW '!$A$34:$S$44,8,FALSE))</f>
        <v>#N/A</v>
      </c>
      <c r="H31" s="402" t="e">
        <f>IF(OR(BUReporting[[#This Row],[Period]]=1,OR(BUReporting[[#This Row],[Period]]=2,OR(BUReporting[[#This Row],[Period]]=3,OR(BUReporting[[#This Row],[Period]]=4,OR(BUReporting[[#This Row],[Period]]=5,BUReporting[[#This Row],[Period]]=6))))),VLOOKUP(BUReporting[[#This Row],[Program]],'Program MW '!$A$12:$S$22,9,FALSE),VLOOKUP(BUReporting[[#This Row],[Program]],'Program MW '!$A$34:$S$44,9,FALSE))</f>
        <v>#N/A</v>
      </c>
    </row>
    <row r="32" spans="1:8" ht="15.5" thickTop="1" thickBot="1">
      <c r="A32" s="391">
        <v>4</v>
      </c>
      <c r="B32" s="389" t="s">
        <v>15</v>
      </c>
      <c r="C32" s="404" t="s">
        <v>16</v>
      </c>
      <c r="D32" s="389" t="s">
        <v>9</v>
      </c>
      <c r="E32" s="392">
        <v>3</v>
      </c>
      <c r="F32" s="401" t="s">
        <v>29</v>
      </c>
      <c r="G32" s="390" t="e">
        <f>IF(OR(BUReporting[[#This Row],[Period]]=1,OR(BUReporting[[#This Row],[Period]]=2,OR(BUReporting[[#This Row],[Period]]=3,OR(BUReporting[[#This Row],[Period]]=4,OR(BUReporting[[#This Row],[Period]]=5,BUReporting[[#This Row],[Period]]=6))))),VLOOKUP(BUReporting[[#This Row],[Program]],'Program MW '!$A$12:$S$22,8,FALSE),VLOOKUP(BUReporting[[#This Row],[Program]],'Program MW '!$A$34:$S$44,8,FALSE))</f>
        <v>#N/A</v>
      </c>
      <c r="H32" s="402" t="e">
        <f>IF(OR(BUReporting[[#This Row],[Period]]=1,OR(BUReporting[[#This Row],[Period]]=2,OR(BUReporting[[#This Row],[Period]]=3,OR(BUReporting[[#This Row],[Period]]=4,OR(BUReporting[[#This Row],[Period]]=5,BUReporting[[#This Row],[Period]]=6))))),VLOOKUP(BUReporting[[#This Row],[Program]],'Program MW '!$A$12:$S$22,9,FALSE),VLOOKUP(BUReporting[[#This Row],[Program]],'Program MW '!$A$34:$S$44,9,FALSE))</f>
        <v>#N/A</v>
      </c>
    </row>
    <row r="33" spans="1:8" ht="15.5" thickTop="1" thickBot="1">
      <c r="A33" s="391">
        <v>5</v>
      </c>
      <c r="B33" s="389" t="s">
        <v>17</v>
      </c>
      <c r="C33" s="404" t="s">
        <v>18</v>
      </c>
      <c r="D33" s="389" t="s">
        <v>19</v>
      </c>
      <c r="E33" s="392">
        <v>3</v>
      </c>
      <c r="F33" s="401" t="s">
        <v>29</v>
      </c>
      <c r="G33" s="390">
        <f>IF(OR(BUReporting[[#This Row],[Period]]=1,OR(BUReporting[[#This Row],[Period]]=2,OR(BUReporting[[#This Row],[Period]]=3,OR(BUReporting[[#This Row],[Period]]=4,OR(BUReporting[[#This Row],[Period]]=5,BUReporting[[#This Row],[Period]]=6))))),VLOOKUP(BUReporting[[#This Row],[Program]],'Program MW '!$A$12:$S$22,8,FALSE),VLOOKUP(BUReporting[[#This Row],[Program]],'Program MW '!$A$34:$S$44,8,FALSE))</f>
        <v>17050</v>
      </c>
      <c r="H33" s="402">
        <f>IF(OR(BUReporting[[#This Row],[Period]]=1,OR(BUReporting[[#This Row],[Period]]=2,OR(BUReporting[[#This Row],[Period]]=3,OR(BUReporting[[#This Row],[Period]]=4,OR(BUReporting[[#This Row],[Period]]=5,BUReporting[[#This Row],[Period]]=6))))),VLOOKUP(BUReporting[[#This Row],[Program]],'Program MW '!$A$12:$S$22,9,FALSE),VLOOKUP(BUReporting[[#This Row],[Program]],'Program MW '!$A$34:$S$44,9,FALSE))</f>
        <v>0</v>
      </c>
    </row>
    <row r="34" spans="1:8" ht="15.5" thickTop="1" thickBot="1">
      <c r="A34" s="391">
        <v>6</v>
      </c>
      <c r="B34" s="389" t="s">
        <v>20</v>
      </c>
      <c r="C34" s="404" t="s">
        <v>18</v>
      </c>
      <c r="D34" s="389" t="s">
        <v>9</v>
      </c>
      <c r="E34" s="392">
        <v>3</v>
      </c>
      <c r="F34" s="401" t="s">
        <v>29</v>
      </c>
      <c r="G34" s="390">
        <f>IF(OR(BUReporting[[#This Row],[Period]]=1,OR(BUReporting[[#This Row],[Period]]=2,OR(BUReporting[[#This Row],[Period]]=3,OR(BUReporting[[#This Row],[Period]]=4,OR(BUReporting[[#This Row],[Period]]=5,BUReporting[[#This Row],[Period]]=6))))),VLOOKUP(BUReporting[[#This Row],[Program]],'Program MW '!$A$12:$S$22,8,FALSE),VLOOKUP(BUReporting[[#This Row],[Program]],'Program MW '!$A$34:$S$44,8,FALSE))</f>
        <v>268</v>
      </c>
      <c r="H34" s="402">
        <f>IF(OR(BUReporting[[#This Row],[Period]]=1,OR(BUReporting[[#This Row],[Period]]=2,OR(BUReporting[[#This Row],[Period]]=3,OR(BUReporting[[#This Row],[Period]]=4,OR(BUReporting[[#This Row],[Period]]=5,BUReporting[[#This Row],[Period]]=6))))),VLOOKUP(BUReporting[[#This Row],[Program]],'Program MW '!$A$12:$S$22,9,FALSE),VLOOKUP(BUReporting[[#This Row],[Program]],'Program MW '!$A$34:$S$44,9,FALSE))</f>
        <v>0</v>
      </c>
    </row>
    <row r="35" spans="1:8" ht="15.5" thickTop="1" thickBot="1">
      <c r="A35" s="391">
        <v>7</v>
      </c>
      <c r="B35" s="389" t="s">
        <v>21</v>
      </c>
      <c r="C35" s="404" t="s">
        <v>22</v>
      </c>
      <c r="D35" s="389" t="s">
        <v>19</v>
      </c>
      <c r="E35" s="392">
        <v>3</v>
      </c>
      <c r="F35" s="401" t="s">
        <v>29</v>
      </c>
      <c r="G35" s="390">
        <f>IF(OR(BUReporting[[#This Row],[Period]]=1,OR(BUReporting[[#This Row],[Period]]=2,OR(BUReporting[[#This Row],[Period]]=3,OR(BUReporting[[#This Row],[Period]]=4,OR(BUReporting[[#This Row],[Period]]=5,BUReporting[[#This Row],[Period]]=6))))),VLOOKUP(BUReporting[[#This Row],[Program]],'Program MW '!$A$12:$S$22,8,FALSE),VLOOKUP(BUReporting[[#This Row],[Program]],'Program MW '!$A$34:$S$44,8,FALSE))</f>
        <v>10091</v>
      </c>
      <c r="H35" s="402">
        <f>IF(OR(BUReporting[[#This Row],[Period]]=1,OR(BUReporting[[#This Row],[Period]]=2,OR(BUReporting[[#This Row],[Period]]=3,OR(BUReporting[[#This Row],[Period]]=4,OR(BUReporting[[#This Row],[Period]]=5,BUReporting[[#This Row],[Period]]=6))))),VLOOKUP(BUReporting[[#This Row],[Program]],'Program MW '!$A$12:$S$22,9,FALSE),VLOOKUP(BUReporting[[#This Row],[Program]],'Program MW '!$A$34:$S$44,9,FALSE))</f>
        <v>0</v>
      </c>
    </row>
    <row r="36" spans="1:8" ht="15.5" thickTop="1" thickBot="1">
      <c r="A36" s="391">
        <v>8</v>
      </c>
      <c r="B36" s="389" t="s">
        <v>23</v>
      </c>
      <c r="C36" s="404" t="s">
        <v>22</v>
      </c>
      <c r="D36" s="389" t="s">
        <v>9</v>
      </c>
      <c r="E36" s="392">
        <v>3</v>
      </c>
      <c r="F36" s="401" t="s">
        <v>29</v>
      </c>
      <c r="G36" s="390">
        <f>IF(OR(BUReporting[[#This Row],[Period]]=1,OR(BUReporting[[#This Row],[Period]]=2,OR(BUReporting[[#This Row],[Period]]=3,OR(BUReporting[[#This Row],[Period]]=4,OR(BUReporting[[#This Row],[Period]]=5,BUReporting[[#This Row],[Period]]=6))))),VLOOKUP(BUReporting[[#This Row],[Program]],'Program MW '!$A$12:$S$22,8,FALSE),VLOOKUP(BUReporting[[#This Row],[Program]],'Program MW '!$A$34:$S$44,8,FALSE))</f>
        <v>2627</v>
      </c>
      <c r="H36" s="402">
        <f>IF(OR(BUReporting[[#This Row],[Period]]=1,OR(BUReporting[[#This Row],[Period]]=2,OR(BUReporting[[#This Row],[Period]]=3,OR(BUReporting[[#This Row],[Period]]=4,OR(BUReporting[[#This Row],[Period]]=5,BUReporting[[#This Row],[Period]]=6))))),VLOOKUP(BUReporting[[#This Row],[Program]],'Program MW '!$A$12:$S$22,9,FALSE),VLOOKUP(BUReporting[[#This Row],[Program]],'Program MW '!$A$34:$S$44,9,FALSE))</f>
        <v>0</v>
      </c>
    </row>
    <row r="37" spans="1:8" ht="15.5" thickTop="1" thickBot="1">
      <c r="A37" s="391">
        <v>9</v>
      </c>
      <c r="B37" s="389" t="s">
        <v>24</v>
      </c>
      <c r="C37" s="404"/>
      <c r="D37" s="389" t="s">
        <v>9</v>
      </c>
      <c r="E37" s="392">
        <v>3</v>
      </c>
      <c r="F37" s="401" t="s">
        <v>29</v>
      </c>
      <c r="G37" s="390">
        <f>IF(OR(BUReporting[[#This Row],[Period]]=1,OR(BUReporting[[#This Row],[Period]]=2,OR(BUReporting[[#This Row],[Period]]=3,OR(BUReporting[[#This Row],[Period]]=4,OR(BUReporting[[#This Row],[Period]]=5,BUReporting[[#This Row],[Period]]=6))))),VLOOKUP(BUReporting[[#This Row],[Program]],'Program MW '!$A$12:$S$22,8,FALSE),VLOOKUP(BUReporting[[#This Row],[Program]],'Program MW '!$A$34:$S$44,8,FALSE))</f>
        <v>0</v>
      </c>
      <c r="H37" s="402">
        <f>IF(OR(BUReporting[[#This Row],[Period]]=1,OR(BUReporting[[#This Row],[Period]]=2,OR(BUReporting[[#This Row],[Period]]=3,OR(BUReporting[[#This Row],[Period]]=4,OR(BUReporting[[#This Row],[Period]]=5,BUReporting[[#This Row],[Period]]=6))))),VLOOKUP(BUReporting[[#This Row],[Program]],'Program MW '!$A$12:$S$22,9,FALSE),VLOOKUP(BUReporting[[#This Row],[Program]],'Program MW '!$A$34:$S$44,9,FALSE))</f>
        <v>0</v>
      </c>
    </row>
    <row r="38" spans="1:8" ht="15.5" thickTop="1" thickBot="1">
      <c r="A38" s="391">
        <v>10</v>
      </c>
      <c r="B38" s="389" t="s">
        <v>25</v>
      </c>
      <c r="C38" s="404"/>
      <c r="D38" s="389" t="s">
        <v>9</v>
      </c>
      <c r="E38" s="392">
        <v>3</v>
      </c>
      <c r="F38" s="401" t="s">
        <v>29</v>
      </c>
      <c r="G38" s="390">
        <f>IF(OR(BUReporting[[#This Row],[Period]]=1,OR(BUReporting[[#This Row],[Period]]=2,OR(BUReporting[[#This Row],[Period]]=3,OR(BUReporting[[#This Row],[Period]]=4,OR(BUReporting[[#This Row],[Period]]=5,BUReporting[[#This Row],[Period]]=6))))),VLOOKUP(BUReporting[[#This Row],[Program]],'Program MW '!$A$12:$S$22,8,FALSE),VLOOKUP(BUReporting[[#This Row],[Program]],'Program MW '!$A$34:$S$44,8,FALSE))</f>
        <v>0</v>
      </c>
      <c r="H38" s="402">
        <f>IF(OR(BUReporting[[#This Row],[Period]]=1,OR(BUReporting[[#This Row],[Period]]=2,OR(BUReporting[[#This Row],[Period]]=3,OR(BUReporting[[#This Row],[Period]]=4,OR(BUReporting[[#This Row],[Period]]=5,BUReporting[[#This Row],[Period]]=6))))),VLOOKUP(BUReporting[[#This Row],[Program]],'Program MW '!$A$12:$S$22,9,FALSE),VLOOKUP(BUReporting[[#This Row],[Program]],'Program MW '!$A$34:$S$44,9,FALSE))</f>
        <v>0</v>
      </c>
    </row>
    <row r="39" spans="1:8" ht="15.5" thickTop="1" thickBot="1">
      <c r="A39" s="391">
        <v>11</v>
      </c>
      <c r="B39" s="389" t="s">
        <v>26</v>
      </c>
      <c r="C39" s="404"/>
      <c r="D39" s="389" t="s">
        <v>9</v>
      </c>
      <c r="E39" s="392">
        <v>3</v>
      </c>
      <c r="F39" s="401" t="s">
        <v>29</v>
      </c>
      <c r="G39" s="390">
        <f>IF(OR(BUReporting[[#This Row],[Period]]=1,OR(BUReporting[[#This Row],[Period]]=2,OR(BUReporting[[#This Row],[Period]]=3,OR(BUReporting[[#This Row],[Period]]=4,OR(BUReporting[[#This Row],[Period]]=5,BUReporting[[#This Row],[Period]]=6))))),VLOOKUP(BUReporting[[#This Row],[Program]],'Program MW '!$A$12:$S$22,8,FALSE),VLOOKUP(BUReporting[[#This Row],[Program]],'Program MW '!$A$34:$S$44,8,FALSE))</f>
        <v>111470</v>
      </c>
      <c r="H39" s="402">
        <f>IF(OR(BUReporting[[#This Row],[Period]]=1,OR(BUReporting[[#This Row],[Period]]=2,OR(BUReporting[[#This Row],[Period]]=3,OR(BUReporting[[#This Row],[Period]]=4,OR(BUReporting[[#This Row],[Period]]=5,BUReporting[[#This Row],[Period]]=6))))),VLOOKUP(BUReporting[[#This Row],[Program]],'Program MW '!$A$12:$S$22,9,FALSE),VLOOKUP(BUReporting[[#This Row],[Program]],'Program MW '!$A$34:$S$44,9,FALSE))</f>
        <v>1.1604781531494454E-2</v>
      </c>
    </row>
    <row r="40" spans="1:8" ht="13.5" thickTop="1" thickBot="1">
      <c r="A40" s="391">
        <v>12</v>
      </c>
      <c r="B40" s="389" t="s">
        <v>27</v>
      </c>
      <c r="C40" s="388"/>
      <c r="D40" s="389" t="s">
        <v>19</v>
      </c>
      <c r="E40" s="392">
        <v>3</v>
      </c>
      <c r="F40" s="401" t="s">
        <v>29</v>
      </c>
      <c r="G40" s="390">
        <f>IF(OR(BUReporting[[#This Row],[Period]]=1,OR(BUReporting[[#This Row],[Period]]=2,OR(BUReporting[[#This Row],[Period]]=3,OR(BUReporting[[#This Row],[Period]]=4,OR(BUReporting[[#This Row],[Period]]=5,BUReporting[[#This Row],[Period]]=6))))),VLOOKUP(BUReporting[[#This Row],[Program]],'Program MW '!$A$12:$S$22,8,FALSE),VLOOKUP(BUReporting[[#This Row],[Program]],'Program MW '!$A$34:$S$44,8,FALSE))</f>
        <v>19323</v>
      </c>
      <c r="H40" s="402">
        <f>IF(OR(BUReporting[[#This Row],[Period]]=1,OR(BUReporting[[#This Row],[Period]]=2,OR(BUReporting[[#This Row],[Period]]=3,OR(BUReporting[[#This Row],[Period]]=4,OR(BUReporting[[#This Row],[Period]]=5,BUReporting[[#This Row],[Period]]=6))))),VLOOKUP(BUReporting[[#This Row],[Program]],'Program MW '!$A$12:$S$22,9,FALSE),VLOOKUP(BUReporting[[#This Row],[Program]],'Program MW '!$A$34:$S$44,9,FALSE))</f>
        <v>0.81720589716985104</v>
      </c>
    </row>
    <row r="41" spans="1:8" ht="15.5" thickTop="1" thickBot="1">
      <c r="A41" s="403">
        <v>0</v>
      </c>
      <c r="B41" s="85" t="s">
        <v>8</v>
      </c>
      <c r="C41" s="404"/>
      <c r="D41" s="394" t="s">
        <v>9</v>
      </c>
      <c r="E41" s="399">
        <v>4</v>
      </c>
      <c r="F41" s="400" t="s">
        <v>30</v>
      </c>
      <c r="G41" s="390">
        <f>IF(OR(BUReporting[[#This Row],[Period]]=1,OR(BUReporting[[#This Row],[Period]]=2,OR(BUReporting[[#This Row],[Period]]=2,OR(BUReporting[[#This Row],[Period]]=4,OR(BUReporting[[#This Row],[Period]]=5,BUReporting[[#This Row],[Period]]=6))))),VLOOKUP(BUReporting[[#This Row],[Program]],'Program MW '!$A$9:$S$9,11,FALSE),VLOOKUP(BUReporting[[#This Row],[Program]],'Program MW '!$A$31:$S$31,11,FALSE))</f>
        <v>2</v>
      </c>
      <c r="H41" s="402">
        <f>IF(OR(BUReporting[[#This Row],[Period]]=1,OR(BUReporting[[#This Row],[Period]]=2,OR(BUReporting[[#This Row],[Period]]=3,OR(BUReporting[[#This Row],[Period]]=4,OR(BUReporting[[#This Row],[Period]]=5,BUReporting[[#This Row],[Period]]=6))))),VLOOKUP(BUReporting[[#This Row],[Program]],'Program MW '!$A$9:$S$9,12,FALSE),VLOOKUP(BUReporting[[#This Row],[Program]],'Program MW '!$A$31:$S$31,12,FALSE))</f>
        <v>0.28272567749023436</v>
      </c>
    </row>
    <row r="42" spans="1:8" ht="15.5" thickTop="1" thickBot="1">
      <c r="A42" s="391">
        <v>1</v>
      </c>
      <c r="B42" s="389" t="s">
        <v>11</v>
      </c>
      <c r="C42" s="404"/>
      <c r="D42" s="389" t="s">
        <v>9</v>
      </c>
      <c r="E42" s="392">
        <v>4</v>
      </c>
      <c r="F42" s="401" t="s">
        <v>30</v>
      </c>
      <c r="G42" s="390">
        <f>IF(OR(BUReporting[[#This Row],[Period]]=1,OR(BUReporting[[#This Row],[Period]]=2,OR(BUReporting[[#This Row],[Period]]=3,OR(BUReporting[[#This Row],[Period]]=4,OR(BUReporting[[#This Row],[Period]]=5,BUReporting[[#This Row],[Period]]=6))))),VLOOKUP(BUReporting[[#This Row],[Program]],'Program MW '!$A$12:$S$22,11,FALSE),VLOOKUP(BUReporting[[#This Row],[Program]],'Program MW '!$A$34:$S$44,11,FALSE))</f>
        <v>14076</v>
      </c>
      <c r="H42" s="402">
        <f>IF(OR(BUReporting[[#This Row],[Period]]=1,OR(BUReporting[[#This Row],[Period]]=2,OR(BUReporting[[#This Row],[Period]]=3,OR(BUReporting[[#This Row],[Period]]=4,OR(BUReporting[[#This Row],[Period]]=5,BUReporting[[#This Row],[Period]]=6))))),VLOOKUP(BUReporting[[#This Row],[Program]],'Program MW '!$A$12:$S$22,12,FALSE),VLOOKUP(BUReporting[[#This Row],[Program]],'Program MW '!$A$34:$S$44,12,FALSE))</f>
        <v>0</v>
      </c>
    </row>
    <row r="43" spans="1:8" ht="15.5" thickTop="1" thickBot="1">
      <c r="A43" s="391">
        <v>2</v>
      </c>
      <c r="B43" s="389" t="s">
        <v>12</v>
      </c>
      <c r="C43" s="404" t="s">
        <v>13</v>
      </c>
      <c r="D43" s="389" t="s">
        <v>9</v>
      </c>
      <c r="E43" s="392">
        <v>4</v>
      </c>
      <c r="F43" s="401" t="s">
        <v>30</v>
      </c>
      <c r="G43" s="390" t="e">
        <f>IF(OR(BUReporting[[#This Row],[Period]]=1,OR(BUReporting[[#This Row],[Period]]=2,OR(BUReporting[[#This Row],[Period]]=3,OR(BUReporting[[#This Row],[Period]]=4,OR(BUReporting[[#This Row],[Period]]=5,BUReporting[[#This Row],[Period]]=6))))),VLOOKUP(BUReporting[[#This Row],[Program]],'Program MW '!$A$12:$S$22,11,FALSE),VLOOKUP(BUReporting[[#This Row],[Program]],'Program MW '!$A$34:$S$44,11,FALSE))</f>
        <v>#N/A</v>
      </c>
      <c r="H43" s="402" t="e">
        <f>IF(OR(BUReporting[[#This Row],[Period]]=1,OR(BUReporting[[#This Row],[Period]]=2,OR(BUReporting[[#This Row],[Period]]=3,OR(BUReporting[[#This Row],[Period]]=4,OR(BUReporting[[#This Row],[Period]]=5,BUReporting[[#This Row],[Period]]=6))))),VLOOKUP(BUReporting[[#This Row],[Program]],'Program MW '!$A$12:$S$22,12,FALSE),VLOOKUP(BUReporting[[#This Row],[Program]],'Program MW '!$A$34:$S$44,12,FALSE))</f>
        <v>#N/A</v>
      </c>
    </row>
    <row r="44" spans="1:8" ht="15.5" thickTop="1" thickBot="1">
      <c r="A44" s="391">
        <v>3</v>
      </c>
      <c r="B44" s="389" t="s">
        <v>14</v>
      </c>
      <c r="C44" s="404"/>
      <c r="D44" s="389" t="s">
        <v>9</v>
      </c>
      <c r="E44" s="392">
        <v>4</v>
      </c>
      <c r="F44" s="401" t="s">
        <v>30</v>
      </c>
      <c r="G44" s="390" t="e">
        <f>IF(OR(BUReporting[[#This Row],[Period]]=1,OR(BUReporting[[#This Row],[Period]]=2,OR(BUReporting[[#This Row],[Period]]=3,OR(BUReporting[[#This Row],[Period]]=4,OR(BUReporting[[#This Row],[Period]]=5,BUReporting[[#This Row],[Period]]=6))))),VLOOKUP(BUReporting[[#This Row],[Program]],'Program MW '!$A$12:$S$22,11,FALSE),VLOOKUP(BUReporting[[#This Row],[Program]],'Program MW '!$A$34:$S$44,11,FALSE))</f>
        <v>#N/A</v>
      </c>
      <c r="H44" s="402" t="e">
        <f>IF(OR(BUReporting[[#This Row],[Period]]=1,OR(BUReporting[[#This Row],[Period]]=2,OR(BUReporting[[#This Row],[Period]]=3,OR(BUReporting[[#This Row],[Period]]=4,OR(BUReporting[[#This Row],[Period]]=5,BUReporting[[#This Row],[Period]]=6))))),VLOOKUP(BUReporting[[#This Row],[Program]],'Program MW '!$A$12:$S$22,12,FALSE),VLOOKUP(BUReporting[[#This Row],[Program]],'Program MW '!$A$34:$S$44,12,FALSE))</f>
        <v>#N/A</v>
      </c>
    </row>
    <row r="45" spans="1:8" ht="15.5" thickTop="1" thickBot="1">
      <c r="A45" s="391">
        <v>4</v>
      </c>
      <c r="B45" s="389" t="s">
        <v>15</v>
      </c>
      <c r="C45" s="404" t="s">
        <v>16</v>
      </c>
      <c r="D45" s="389" t="s">
        <v>9</v>
      </c>
      <c r="E45" s="392">
        <v>4</v>
      </c>
      <c r="F45" s="401" t="s">
        <v>30</v>
      </c>
      <c r="G45" s="390" t="e">
        <f>IF(OR(BUReporting[[#This Row],[Period]]=1,OR(BUReporting[[#This Row],[Period]]=2,OR(BUReporting[[#This Row],[Period]]=3,OR(BUReporting[[#This Row],[Period]]=4,OR(BUReporting[[#This Row],[Period]]=5,BUReporting[[#This Row],[Period]]=6))))),VLOOKUP(BUReporting[[#This Row],[Program]],'Program MW '!$A$12:$S$22,11,FALSE),VLOOKUP(BUReporting[[#This Row],[Program]],'Program MW '!$A$34:$S$44,11,FALSE))</f>
        <v>#N/A</v>
      </c>
      <c r="H45" s="402" t="e">
        <f>IF(OR(BUReporting[[#This Row],[Period]]=1,OR(BUReporting[[#This Row],[Period]]=2,OR(BUReporting[[#This Row],[Period]]=3,OR(BUReporting[[#This Row],[Period]]=4,OR(BUReporting[[#This Row],[Period]]=5,BUReporting[[#This Row],[Period]]=6))))),VLOOKUP(BUReporting[[#This Row],[Program]],'Program MW '!$A$12:$S$22,12,FALSE),VLOOKUP(BUReporting[[#This Row],[Program]],'Program MW '!$A$34:$S$44,12,FALSE))</f>
        <v>#N/A</v>
      </c>
    </row>
    <row r="46" spans="1:8" ht="15.5" thickTop="1" thickBot="1">
      <c r="A46" s="391">
        <v>5</v>
      </c>
      <c r="B46" s="389" t="s">
        <v>17</v>
      </c>
      <c r="C46" s="404" t="s">
        <v>18</v>
      </c>
      <c r="D46" s="389" t="s">
        <v>19</v>
      </c>
      <c r="E46" s="392">
        <v>4</v>
      </c>
      <c r="F46" s="401" t="s">
        <v>30</v>
      </c>
      <c r="G46" s="390">
        <f>IF(OR(BUReporting[[#This Row],[Period]]=1,OR(BUReporting[[#This Row],[Period]]=2,OR(BUReporting[[#This Row],[Period]]=3,OR(BUReporting[[#This Row],[Period]]=4,OR(BUReporting[[#This Row],[Period]]=5,BUReporting[[#This Row],[Period]]=6))))),VLOOKUP(BUReporting[[#This Row],[Program]],'Program MW '!$A$12:$S$22,11,FALSE),VLOOKUP(BUReporting[[#This Row],[Program]],'Program MW '!$A$34:$S$44,11,FALSE))</f>
        <v>17283</v>
      </c>
      <c r="H46" s="402">
        <f>IF(OR(BUReporting[[#This Row],[Period]]=1,OR(BUReporting[[#This Row],[Period]]=2,OR(BUReporting[[#This Row],[Period]]=3,OR(BUReporting[[#This Row],[Period]]=4,OR(BUReporting[[#This Row],[Period]]=5,BUReporting[[#This Row],[Period]]=6))))),VLOOKUP(BUReporting[[#This Row],[Program]],'Program MW '!$A$12:$S$22,12,FALSE),VLOOKUP(BUReporting[[#This Row],[Program]],'Program MW '!$A$34:$S$44,12,FALSE))</f>
        <v>0.63219965072348705</v>
      </c>
    </row>
    <row r="47" spans="1:8" ht="15.5" thickTop="1" thickBot="1">
      <c r="A47" s="391">
        <v>6</v>
      </c>
      <c r="B47" s="389" t="s">
        <v>20</v>
      </c>
      <c r="C47" s="404" t="s">
        <v>18</v>
      </c>
      <c r="D47" s="389" t="s">
        <v>9</v>
      </c>
      <c r="E47" s="392">
        <v>4</v>
      </c>
      <c r="F47" s="401" t="s">
        <v>30</v>
      </c>
      <c r="G47" s="390">
        <f>IF(OR(BUReporting[[#This Row],[Period]]=1,OR(BUReporting[[#This Row],[Period]]=2,OR(BUReporting[[#This Row],[Period]]=3,OR(BUReporting[[#This Row],[Period]]=4,OR(BUReporting[[#This Row],[Period]]=5,BUReporting[[#This Row],[Period]]=6))))),VLOOKUP(BUReporting[[#This Row],[Program]],'Program MW '!$A$12:$S$22,11,FALSE),VLOOKUP(BUReporting[[#This Row],[Program]],'Program MW '!$A$34:$S$44,11,FALSE))</f>
        <v>268</v>
      </c>
      <c r="H47" s="402">
        <f>IF(OR(BUReporting[[#This Row],[Period]]=1,OR(BUReporting[[#This Row],[Period]]=2,OR(BUReporting[[#This Row],[Period]]=3,OR(BUReporting[[#This Row],[Period]]=4,OR(BUReporting[[#This Row],[Period]]=5,BUReporting[[#This Row],[Period]]=6))))),VLOOKUP(BUReporting[[#This Row],[Program]],'Program MW '!$A$12:$S$22,12,FALSE),VLOOKUP(BUReporting[[#This Row],[Program]],'Program MW '!$A$34:$S$44,12,FALSE))</f>
        <v>9.207833182811738E-2</v>
      </c>
    </row>
    <row r="48" spans="1:8" ht="15.5" thickTop="1" thickBot="1">
      <c r="A48" s="391">
        <v>7</v>
      </c>
      <c r="B48" s="389" t="s">
        <v>21</v>
      </c>
      <c r="C48" s="404" t="s">
        <v>22</v>
      </c>
      <c r="D48" s="389" t="s">
        <v>19</v>
      </c>
      <c r="E48" s="392">
        <v>4</v>
      </c>
      <c r="F48" s="401" t="s">
        <v>30</v>
      </c>
      <c r="G48" s="390">
        <f>IF(OR(BUReporting[[#This Row],[Period]]=1,OR(BUReporting[[#This Row],[Period]]=2,OR(BUReporting[[#This Row],[Period]]=3,OR(BUReporting[[#This Row],[Period]]=4,OR(BUReporting[[#This Row],[Period]]=5,BUReporting[[#This Row],[Period]]=6))))),VLOOKUP(BUReporting[[#This Row],[Program]],'Program MW '!$A$12:$S$22,11,FALSE),VLOOKUP(BUReporting[[#This Row],[Program]],'Program MW '!$A$34:$S$44,11,FALSE))</f>
        <v>9815</v>
      </c>
      <c r="H48" s="402">
        <f>IF(OR(BUReporting[[#This Row],[Period]]=1,OR(BUReporting[[#This Row],[Period]]=2,OR(BUReporting[[#This Row],[Period]]=3,OR(BUReporting[[#This Row],[Period]]=4,OR(BUReporting[[#This Row],[Period]]=5,BUReporting[[#This Row],[Period]]=6))))),VLOOKUP(BUReporting[[#This Row],[Program]],'Program MW '!$A$12:$S$22,12,FALSE),VLOOKUP(BUReporting[[#This Row],[Program]],'Program MW '!$A$34:$S$44,12,FALSE))</f>
        <v>0.27112955999999999</v>
      </c>
    </row>
    <row r="49" spans="1:8" ht="15.5" thickTop="1" thickBot="1">
      <c r="A49" s="391">
        <v>8</v>
      </c>
      <c r="B49" s="389" t="s">
        <v>23</v>
      </c>
      <c r="C49" s="404" t="s">
        <v>22</v>
      </c>
      <c r="D49" s="389" t="s">
        <v>9</v>
      </c>
      <c r="E49" s="392">
        <v>4</v>
      </c>
      <c r="F49" s="401" t="s">
        <v>30</v>
      </c>
      <c r="G49" s="390">
        <f>IF(OR(BUReporting[[#This Row],[Period]]=1,OR(BUReporting[[#This Row],[Period]]=2,OR(BUReporting[[#This Row],[Period]]=3,OR(BUReporting[[#This Row],[Period]]=4,OR(BUReporting[[#This Row],[Period]]=5,BUReporting[[#This Row],[Period]]=6))))),VLOOKUP(BUReporting[[#This Row],[Program]],'Program MW '!$A$12:$S$22,11,FALSE),VLOOKUP(BUReporting[[#This Row],[Program]],'Program MW '!$A$34:$S$44,11,FALSE))</f>
        <v>2774</v>
      </c>
      <c r="H49" s="402">
        <f>IF(OR(BUReporting[[#This Row],[Period]]=1,OR(BUReporting[[#This Row],[Period]]=2,OR(BUReporting[[#This Row],[Period]]=3,OR(BUReporting[[#This Row],[Period]]=4,OR(BUReporting[[#This Row],[Period]]=5,BUReporting[[#This Row],[Period]]=6))))),VLOOKUP(BUReporting[[#This Row],[Program]],'Program MW '!$A$12:$S$22,12,FALSE),VLOOKUP(BUReporting[[#This Row],[Program]],'Program MW '!$A$34:$S$44,12,FALSE))</f>
        <v>0.15616732319999999</v>
      </c>
    </row>
    <row r="50" spans="1:8" ht="15.5" thickTop="1" thickBot="1">
      <c r="A50" s="391">
        <v>9</v>
      </c>
      <c r="B50" s="389" t="s">
        <v>24</v>
      </c>
      <c r="C50" s="404"/>
      <c r="D50" s="389" t="s">
        <v>9</v>
      </c>
      <c r="E50" s="392">
        <v>4</v>
      </c>
      <c r="F50" s="401" t="s">
        <v>30</v>
      </c>
      <c r="G50" s="390">
        <f>IF(OR(BUReporting[[#This Row],[Period]]=1,OR(BUReporting[[#This Row],[Period]]=2,OR(BUReporting[[#This Row],[Period]]=3,OR(BUReporting[[#This Row],[Period]]=4,OR(BUReporting[[#This Row],[Period]]=5,BUReporting[[#This Row],[Period]]=6))))),VLOOKUP(BUReporting[[#This Row],[Program]],'Program MW '!$A$12:$S$22,11,FALSE),VLOOKUP(BUReporting[[#This Row],[Program]],'Program MW '!$A$34:$S$44,11,FALSE))</f>
        <v>0</v>
      </c>
      <c r="H50" s="402">
        <f>IF(OR(BUReporting[[#This Row],[Period]]=1,OR(BUReporting[[#This Row],[Period]]=2,OR(BUReporting[[#This Row],[Period]]=3,OR(BUReporting[[#This Row],[Period]]=4,OR(BUReporting[[#This Row],[Period]]=5,BUReporting[[#This Row],[Period]]=6))))),VLOOKUP(BUReporting[[#This Row],[Program]],'Program MW '!$A$12:$S$22,12,FALSE),VLOOKUP(BUReporting[[#This Row],[Program]],'Program MW '!$A$34:$S$44,12,FALSE))</f>
        <v>0</v>
      </c>
    </row>
    <row r="51" spans="1:8" ht="15.5" thickTop="1" thickBot="1">
      <c r="A51" s="391">
        <v>10</v>
      </c>
      <c r="B51" s="389" t="s">
        <v>25</v>
      </c>
      <c r="C51" s="404"/>
      <c r="D51" s="389" t="s">
        <v>9</v>
      </c>
      <c r="E51" s="392">
        <v>4</v>
      </c>
      <c r="F51" s="401" t="s">
        <v>30</v>
      </c>
      <c r="G51" s="390">
        <f>IF(OR(BUReporting[[#This Row],[Period]]=1,OR(BUReporting[[#This Row],[Period]]=2,OR(BUReporting[[#This Row],[Period]]=3,OR(BUReporting[[#This Row],[Period]]=4,OR(BUReporting[[#This Row],[Period]]=5,BUReporting[[#This Row],[Period]]=6))))),VLOOKUP(BUReporting[[#This Row],[Program]],'Program MW '!$A$12:$S$22,11,FALSE),VLOOKUP(BUReporting[[#This Row],[Program]],'Program MW '!$A$34:$S$44,11,FALSE))</f>
        <v>0</v>
      </c>
      <c r="H51" s="402">
        <f>IF(OR(BUReporting[[#This Row],[Period]]=1,OR(BUReporting[[#This Row],[Period]]=2,OR(BUReporting[[#This Row],[Period]]=3,OR(BUReporting[[#This Row],[Period]]=4,OR(BUReporting[[#This Row],[Period]]=5,BUReporting[[#This Row],[Period]]=6))))),VLOOKUP(BUReporting[[#This Row],[Program]],'Program MW '!$A$12:$S$22,12,FALSE),VLOOKUP(BUReporting[[#This Row],[Program]],'Program MW '!$A$34:$S$44,12,FALSE))</f>
        <v>0</v>
      </c>
    </row>
    <row r="52" spans="1:8" ht="15.5" thickTop="1" thickBot="1">
      <c r="A52" s="391">
        <v>11</v>
      </c>
      <c r="B52" s="389" t="s">
        <v>26</v>
      </c>
      <c r="C52" s="404"/>
      <c r="D52" s="389" t="s">
        <v>9</v>
      </c>
      <c r="E52" s="392">
        <v>4</v>
      </c>
      <c r="F52" s="401" t="s">
        <v>30</v>
      </c>
      <c r="G52" s="390">
        <f>IF(OR(BUReporting[[#This Row],[Period]]=1,OR(BUReporting[[#This Row],[Period]]=2,OR(BUReporting[[#This Row],[Period]]=3,OR(BUReporting[[#This Row],[Period]]=4,OR(BUReporting[[#This Row],[Period]]=5,BUReporting[[#This Row],[Period]]=6))))),VLOOKUP(BUReporting[[#This Row],[Program]],'Program MW '!$A$12:$S$22,11,FALSE),VLOOKUP(BUReporting[[#This Row],[Program]],'Program MW '!$A$34:$S$44,11,FALSE))</f>
        <v>112449</v>
      </c>
      <c r="H52" s="402">
        <f>IF(OR(BUReporting[[#This Row],[Period]]=1,OR(BUReporting[[#This Row],[Period]]=2,OR(BUReporting[[#This Row],[Period]]=3,OR(BUReporting[[#This Row],[Period]]=4,OR(BUReporting[[#This Row],[Period]]=5,BUReporting[[#This Row],[Period]]=6))))),VLOOKUP(BUReporting[[#This Row],[Program]],'Program MW '!$A$12:$S$22,12,FALSE),VLOOKUP(BUReporting[[#This Row],[Program]],'Program MW '!$A$34:$S$44,12,FALSE))</f>
        <v>8.2588858593487885E-2</v>
      </c>
    </row>
    <row r="53" spans="1:8" ht="13.5" thickTop="1" thickBot="1">
      <c r="A53" s="391">
        <v>12</v>
      </c>
      <c r="B53" s="389" t="s">
        <v>27</v>
      </c>
      <c r="C53" s="388"/>
      <c r="D53" s="389" t="s">
        <v>19</v>
      </c>
      <c r="E53" s="392">
        <v>4</v>
      </c>
      <c r="F53" s="401" t="s">
        <v>30</v>
      </c>
      <c r="G53" s="390">
        <f>IF(OR(BUReporting[[#This Row],[Period]]=1,OR(BUReporting[[#This Row],[Period]]=2,OR(BUReporting[[#This Row],[Period]]=3,OR(BUReporting[[#This Row],[Period]]=4,OR(BUReporting[[#This Row],[Period]]=5,BUReporting[[#This Row],[Period]]=6))))),VLOOKUP(BUReporting[[#This Row],[Program]],'Program MW '!$A$12:$S$22,11,FALSE),VLOOKUP(BUReporting[[#This Row],[Program]],'Program MW '!$A$34:$S$44,11,FALSE))</f>
        <v>16109</v>
      </c>
      <c r="H53" s="402">
        <f>IF(OR(BUReporting[[#This Row],[Period]]=1,OR(BUReporting[[#This Row],[Period]]=2,OR(BUReporting[[#This Row],[Period]]=3,OR(BUReporting[[#This Row],[Period]]=4,OR(BUReporting[[#This Row],[Period]]=5,BUReporting[[#This Row],[Period]]=6))))),VLOOKUP(BUReporting[[#This Row],[Program]],'Program MW '!$A$12:$S$22,12,FALSE),VLOOKUP(BUReporting[[#This Row],[Program]],'Program MW '!$A$34:$S$44,12,FALSE))</f>
        <v>0.74185605258546561</v>
      </c>
    </row>
    <row r="54" spans="1:8" ht="15.5" thickTop="1" thickBot="1">
      <c r="A54" s="403">
        <v>0</v>
      </c>
      <c r="B54" s="85" t="s">
        <v>8</v>
      </c>
      <c r="C54" s="404"/>
      <c r="D54" s="394" t="s">
        <v>9</v>
      </c>
      <c r="E54" s="399">
        <v>5</v>
      </c>
      <c r="F54" s="400" t="s">
        <v>31</v>
      </c>
      <c r="G54" s="390">
        <f>IF(OR(BUReporting[[#This Row],[Period]]=1,OR(BUReporting[[#This Row],[Period]]=2,OR(BUReporting[[#This Row],[Period]]=2,OR(BUReporting[[#This Row],[Period]]=4,OR(BUReporting[[#This Row],[Period]]=5,BUReporting[[#This Row],[Period]]=6))))),VLOOKUP(BUReporting[[#This Row],[Program]],'Program MW '!$A$9:$S$9,14,FALSE),VLOOKUP(BUReporting[[#This Row],[Program]],'Program MW '!$A$31:$S$31,14,FALSE))</f>
        <v>2</v>
      </c>
      <c r="H54" s="402">
        <f>IF(OR(BUReporting[[#This Row],[Period]]=1,OR(BUReporting[[#This Row],[Period]]=2,OR(BUReporting[[#This Row],[Period]]=3,OR(BUReporting[[#This Row],[Period]]=4,OR(BUReporting[[#This Row],[Period]]=5,BUReporting[[#This Row],[Period]]=6))))),VLOOKUP(BUReporting[[#This Row],[Program]],'Program MW '!$A$9:$S$9,15,FALSE),VLOOKUP(BUReporting[[#This Row],[Program]],'Program MW '!$A$31:$S$31,15,FALSE))</f>
        <v>0.27460052490234377</v>
      </c>
    </row>
    <row r="55" spans="1:8" ht="15.5" thickTop="1" thickBot="1">
      <c r="A55" s="391">
        <v>1</v>
      </c>
      <c r="B55" s="389" t="s">
        <v>11</v>
      </c>
      <c r="C55" s="404"/>
      <c r="D55" s="389" t="s">
        <v>9</v>
      </c>
      <c r="E55" s="392">
        <v>5</v>
      </c>
      <c r="F55" s="401" t="s">
        <v>31</v>
      </c>
      <c r="G55" s="390">
        <f>IF(OR(BUReporting[[#This Row],[Period]]=1,OR(BUReporting[[#This Row],[Period]]=2,OR(BUReporting[[#This Row],[Period]]=3,OR(BUReporting[[#This Row],[Period]]=4,OR(BUReporting[[#This Row],[Period]]=5,BUReporting[[#This Row],[Period]]=6))))),VLOOKUP(BUReporting[[#This Row],[Program]],'Program MW '!$A$12:$S$22,14,FALSE),VLOOKUP(BUReporting[[#This Row],[Program]],'Program MW '!$A$34:$S$44,14,FALSE))</f>
        <v>13310</v>
      </c>
      <c r="H55" s="402">
        <f>IF(OR(BUReporting[[#This Row],[Period]]=1,OR(BUReporting[[#This Row],[Period]]=2,OR(BUReporting[[#This Row],[Period]]=3,OR(BUReporting[[#This Row],[Period]]=4,OR(BUReporting[[#This Row],[Period]]=5,BUReporting[[#This Row],[Period]]=6))))),VLOOKUP(BUReporting[[#This Row],[Program]],'Program MW '!$A$12:$S$22,15,FALSE),VLOOKUP(BUReporting[[#This Row],[Program]],'Program MW '!$A$34:$S$44,15,FALSE))</f>
        <v>0</v>
      </c>
    </row>
    <row r="56" spans="1:8" ht="15.5" thickTop="1" thickBot="1">
      <c r="A56" s="391">
        <v>2</v>
      </c>
      <c r="B56" s="389" t="s">
        <v>12</v>
      </c>
      <c r="C56" s="404" t="s">
        <v>13</v>
      </c>
      <c r="D56" s="389" t="s">
        <v>9</v>
      </c>
      <c r="E56" s="392">
        <v>5</v>
      </c>
      <c r="F56" s="401" t="s">
        <v>31</v>
      </c>
      <c r="G56" s="390" t="e">
        <f>IF(OR(BUReporting[[#This Row],[Period]]=1,OR(BUReporting[[#This Row],[Period]]=2,OR(BUReporting[[#This Row],[Period]]=3,OR(BUReporting[[#This Row],[Period]]=4,OR(BUReporting[[#This Row],[Period]]=5,BUReporting[[#This Row],[Period]]=6))))),VLOOKUP(BUReporting[[#This Row],[Program]],'Program MW '!$A$12:$S$22,14,FALSE),VLOOKUP(BUReporting[[#This Row],[Program]],'Program MW '!$A$34:$S$44,14,FALSE))</f>
        <v>#N/A</v>
      </c>
      <c r="H56" s="402" t="e">
        <f>IF(OR(BUReporting[[#This Row],[Period]]=1,OR(BUReporting[[#This Row],[Period]]=2,OR(BUReporting[[#This Row],[Period]]=3,OR(BUReporting[[#This Row],[Period]]=4,OR(BUReporting[[#This Row],[Period]]=5,BUReporting[[#This Row],[Period]]=6))))),VLOOKUP(BUReporting[[#This Row],[Program]],'Program MW '!$A$12:$S$22,15,FALSE),VLOOKUP(BUReporting[[#This Row],[Program]],'Program MW '!$A$34:$S$44,15,FALSE))</f>
        <v>#N/A</v>
      </c>
    </row>
    <row r="57" spans="1:8" ht="15.5" thickTop="1" thickBot="1">
      <c r="A57" s="391">
        <v>3</v>
      </c>
      <c r="B57" s="389" t="s">
        <v>14</v>
      </c>
      <c r="C57" s="404"/>
      <c r="D57" s="389" t="s">
        <v>9</v>
      </c>
      <c r="E57" s="392">
        <v>5</v>
      </c>
      <c r="F57" s="401" t="s">
        <v>31</v>
      </c>
      <c r="G57" s="390" t="e">
        <f>IF(OR(BUReporting[[#This Row],[Period]]=1,OR(BUReporting[[#This Row],[Period]]=2,OR(BUReporting[[#This Row],[Period]]=3,OR(BUReporting[[#This Row],[Period]]=4,OR(BUReporting[[#This Row],[Period]]=5,BUReporting[[#This Row],[Period]]=6))))),VLOOKUP(BUReporting[[#This Row],[Program]],'Program MW '!$A$12:$S$22,14,FALSE),VLOOKUP(BUReporting[[#This Row],[Program]],'Program MW '!$A$34:$S$44,14,FALSE))</f>
        <v>#N/A</v>
      </c>
      <c r="H57" s="402" t="e">
        <f>IF(OR(BUReporting[[#This Row],[Period]]=1,OR(BUReporting[[#This Row],[Period]]=2,OR(BUReporting[[#This Row],[Period]]=3,OR(BUReporting[[#This Row],[Period]]=4,OR(BUReporting[[#This Row],[Period]]=5,BUReporting[[#This Row],[Period]]=6))))),VLOOKUP(BUReporting[[#This Row],[Program]],'Program MW '!$A$12:$S$22,15,FALSE),VLOOKUP(BUReporting[[#This Row],[Program]],'Program MW '!$A$34:$S$44,15,FALSE))</f>
        <v>#N/A</v>
      </c>
    </row>
    <row r="58" spans="1:8" ht="15.5" thickTop="1" thickBot="1">
      <c r="A58" s="391">
        <v>4</v>
      </c>
      <c r="B58" s="389" t="s">
        <v>15</v>
      </c>
      <c r="C58" s="404" t="s">
        <v>16</v>
      </c>
      <c r="D58" s="389" t="s">
        <v>9</v>
      </c>
      <c r="E58" s="392">
        <v>5</v>
      </c>
      <c r="F58" s="401" t="s">
        <v>31</v>
      </c>
      <c r="G58" s="390" t="e">
        <f>IF(OR(BUReporting[[#This Row],[Period]]=1,OR(BUReporting[[#This Row],[Period]]=2,OR(BUReporting[[#This Row],[Period]]=3,OR(BUReporting[[#This Row],[Period]]=4,OR(BUReporting[[#This Row],[Period]]=5,BUReporting[[#This Row],[Period]]=6))))),VLOOKUP(BUReporting[[#This Row],[Program]],'Program MW '!$A$12:$S$22,14,FALSE),VLOOKUP(BUReporting[[#This Row],[Program]],'Program MW '!$A$34:$S$44,14,FALSE))</f>
        <v>#N/A</v>
      </c>
      <c r="H58" s="402" t="e">
        <f>IF(OR(BUReporting[[#This Row],[Period]]=1,OR(BUReporting[[#This Row],[Period]]=2,OR(BUReporting[[#This Row],[Period]]=3,OR(BUReporting[[#This Row],[Period]]=4,OR(BUReporting[[#This Row],[Period]]=5,BUReporting[[#This Row],[Period]]=6))))),VLOOKUP(BUReporting[[#This Row],[Program]],'Program MW '!$A$12:$S$22,15,FALSE),VLOOKUP(BUReporting[[#This Row],[Program]],'Program MW '!$A$34:$S$44,15,FALSE))</f>
        <v>#N/A</v>
      </c>
    </row>
    <row r="59" spans="1:8" ht="15.5" thickTop="1" thickBot="1">
      <c r="A59" s="391">
        <v>5</v>
      </c>
      <c r="B59" s="389" t="s">
        <v>17</v>
      </c>
      <c r="C59" s="404" t="s">
        <v>18</v>
      </c>
      <c r="D59" s="389" t="s">
        <v>19</v>
      </c>
      <c r="E59" s="392">
        <v>5</v>
      </c>
      <c r="F59" s="401" t="s">
        <v>31</v>
      </c>
      <c r="G59" s="390">
        <f>IF(OR(BUReporting[[#This Row],[Period]]=1,OR(BUReporting[[#This Row],[Period]]=2,OR(BUReporting[[#This Row],[Period]]=3,OR(BUReporting[[#This Row],[Period]]=4,OR(BUReporting[[#This Row],[Period]]=5,BUReporting[[#This Row],[Period]]=6))))),VLOOKUP(BUReporting[[#This Row],[Program]],'Program MW '!$A$12:$S$22,14,FALSE),VLOOKUP(BUReporting[[#This Row],[Program]],'Program MW '!$A$34:$S$44,14,FALSE))</f>
        <v>17130</v>
      </c>
      <c r="H59" s="402">
        <f>IF(OR(BUReporting[[#This Row],[Period]]=1,OR(BUReporting[[#This Row],[Period]]=2,OR(BUReporting[[#This Row],[Period]]=3,OR(BUReporting[[#This Row],[Period]]=4,OR(BUReporting[[#This Row],[Period]]=5,BUReporting[[#This Row],[Period]]=6))))),VLOOKUP(BUReporting[[#This Row],[Program]],'Program MW '!$A$12:$S$22,15,FALSE),VLOOKUP(BUReporting[[#This Row],[Program]],'Program MW '!$A$34:$S$44,15,FALSE))</f>
        <v>1.3920932315289973</v>
      </c>
    </row>
    <row r="60" spans="1:8" ht="15.5" thickTop="1" thickBot="1">
      <c r="A60" s="391">
        <v>6</v>
      </c>
      <c r="B60" s="389" t="s">
        <v>20</v>
      </c>
      <c r="C60" s="404" t="s">
        <v>18</v>
      </c>
      <c r="D60" s="389" t="s">
        <v>9</v>
      </c>
      <c r="E60" s="392">
        <v>5</v>
      </c>
      <c r="F60" s="401" t="s">
        <v>31</v>
      </c>
      <c r="G60" s="390">
        <f>IF(OR(BUReporting[[#This Row],[Period]]=1,OR(BUReporting[[#This Row],[Period]]=2,OR(BUReporting[[#This Row],[Period]]=3,OR(BUReporting[[#This Row],[Period]]=4,OR(BUReporting[[#This Row],[Period]]=5,BUReporting[[#This Row],[Period]]=6))))),VLOOKUP(BUReporting[[#This Row],[Program]],'Program MW '!$A$12:$S$22,14,FALSE),VLOOKUP(BUReporting[[#This Row],[Program]],'Program MW '!$A$34:$S$44,14,FALSE))</f>
        <v>256</v>
      </c>
      <c r="H60" s="402">
        <f>IF(OR(BUReporting[[#This Row],[Period]]=1,OR(BUReporting[[#This Row],[Period]]=2,OR(BUReporting[[#This Row],[Period]]=3,OR(BUReporting[[#This Row],[Period]]=4,OR(BUReporting[[#This Row],[Period]]=5,BUReporting[[#This Row],[Period]]=6))))),VLOOKUP(BUReporting[[#This Row],[Program]],'Program MW '!$A$12:$S$22,15,FALSE),VLOOKUP(BUReporting[[#This Row],[Program]],'Program MW '!$A$34:$S$44,15,FALSE))</f>
        <v>0.23586849975585938</v>
      </c>
    </row>
    <row r="61" spans="1:8" ht="15.5" thickTop="1" thickBot="1">
      <c r="A61" s="391">
        <v>7</v>
      </c>
      <c r="B61" s="389" t="s">
        <v>21</v>
      </c>
      <c r="C61" s="404" t="s">
        <v>22</v>
      </c>
      <c r="D61" s="389" t="s">
        <v>19</v>
      </c>
      <c r="E61" s="392">
        <v>5</v>
      </c>
      <c r="F61" s="401" t="s">
        <v>31</v>
      </c>
      <c r="G61" s="390">
        <f>IF(OR(BUReporting[[#This Row],[Period]]=1,OR(BUReporting[[#This Row],[Period]]=2,OR(BUReporting[[#This Row],[Period]]=3,OR(BUReporting[[#This Row],[Period]]=4,OR(BUReporting[[#This Row],[Period]]=5,BUReporting[[#This Row],[Period]]=6))))),VLOOKUP(BUReporting[[#This Row],[Program]],'Program MW '!$A$12:$S$22,14,FALSE),VLOOKUP(BUReporting[[#This Row],[Program]],'Program MW '!$A$34:$S$44,14,FALSE))</f>
        <v>9593</v>
      </c>
      <c r="H61" s="402">
        <f>IF(OR(BUReporting[[#This Row],[Period]]=1,OR(BUReporting[[#This Row],[Period]]=2,OR(BUReporting[[#This Row],[Period]]=3,OR(BUReporting[[#This Row],[Period]]=4,OR(BUReporting[[#This Row],[Period]]=5,BUReporting[[#This Row],[Period]]=6))))),VLOOKUP(BUReporting[[#This Row],[Program]],'Program MW '!$A$12:$S$22,15,FALSE),VLOOKUP(BUReporting[[#This Row],[Program]],'Program MW '!$A$34:$S$44,15,FALSE))</f>
        <v>0.55346429780000006</v>
      </c>
    </row>
    <row r="62" spans="1:8" ht="15.5" thickTop="1" thickBot="1">
      <c r="A62" s="391">
        <v>8</v>
      </c>
      <c r="B62" s="389" t="s">
        <v>23</v>
      </c>
      <c r="C62" s="404" t="s">
        <v>22</v>
      </c>
      <c r="D62" s="389" t="s">
        <v>9</v>
      </c>
      <c r="E62" s="392">
        <v>5</v>
      </c>
      <c r="F62" s="401" t="s">
        <v>31</v>
      </c>
      <c r="G62" s="390">
        <f>IF(OR(BUReporting[[#This Row],[Period]]=1,OR(BUReporting[[#This Row],[Period]]=2,OR(BUReporting[[#This Row],[Period]]=3,OR(BUReporting[[#This Row],[Period]]=4,OR(BUReporting[[#This Row],[Period]]=5,BUReporting[[#This Row],[Period]]=6))))),VLOOKUP(BUReporting[[#This Row],[Program]],'Program MW '!$A$12:$S$22,14,FALSE),VLOOKUP(BUReporting[[#This Row],[Program]],'Program MW '!$A$34:$S$44,14,FALSE))</f>
        <v>2705</v>
      </c>
      <c r="H62" s="402">
        <f>IF(OR(BUReporting[[#This Row],[Period]]=1,OR(BUReporting[[#This Row],[Period]]=2,OR(BUReporting[[#This Row],[Period]]=3,OR(BUReporting[[#This Row],[Period]]=4,OR(BUReporting[[#This Row],[Period]]=5,BUReporting[[#This Row],[Period]]=6))))),VLOOKUP(BUReporting[[#This Row],[Program]],'Program MW '!$A$12:$S$22,15,FALSE),VLOOKUP(BUReporting[[#This Row],[Program]],'Program MW '!$A$34:$S$44,15,FALSE))</f>
        <v>0.1742817975</v>
      </c>
    </row>
    <row r="63" spans="1:8" ht="15.5" thickTop="1" thickBot="1">
      <c r="A63" s="391">
        <v>9</v>
      </c>
      <c r="B63" s="389" t="s">
        <v>24</v>
      </c>
      <c r="C63" s="404"/>
      <c r="D63" s="389" t="s">
        <v>9</v>
      </c>
      <c r="E63" s="392">
        <v>5</v>
      </c>
      <c r="F63" s="401" t="s">
        <v>31</v>
      </c>
      <c r="G63" s="390">
        <f>IF(OR(BUReporting[[#This Row],[Period]]=1,OR(BUReporting[[#This Row],[Period]]=2,OR(BUReporting[[#This Row],[Period]]=3,OR(BUReporting[[#This Row],[Period]]=4,OR(BUReporting[[#This Row],[Period]]=5,BUReporting[[#This Row],[Period]]=6))))),VLOOKUP(BUReporting[[#This Row],[Program]],'Program MW '!$A$12:$S$22,14,FALSE),VLOOKUP(BUReporting[[#This Row],[Program]],'Program MW '!$A$34:$S$44,14,FALSE))</f>
        <v>41</v>
      </c>
      <c r="H63" s="402">
        <f>IF(OR(BUReporting[[#This Row],[Period]]=1,OR(BUReporting[[#This Row],[Period]]=2,OR(BUReporting[[#This Row],[Period]]=3,OR(BUReporting[[#This Row],[Period]]=4,OR(BUReporting[[#This Row],[Period]]=5,BUReporting[[#This Row],[Period]]=6))))),VLOOKUP(BUReporting[[#This Row],[Program]],'Program MW '!$A$12:$S$22,15,FALSE),VLOOKUP(BUReporting[[#This Row],[Program]],'Program MW '!$A$34:$S$44,15,FALSE))</f>
        <v>0.48483278999999996</v>
      </c>
    </row>
    <row r="64" spans="1:8" ht="15.5" thickTop="1" thickBot="1">
      <c r="A64" s="391">
        <v>10</v>
      </c>
      <c r="B64" s="389" t="s">
        <v>25</v>
      </c>
      <c r="C64" s="404"/>
      <c r="D64" s="389" t="s">
        <v>9</v>
      </c>
      <c r="E64" s="392">
        <v>5</v>
      </c>
      <c r="F64" s="401" t="s">
        <v>31</v>
      </c>
      <c r="G64" s="390">
        <f>IF(OR(BUReporting[[#This Row],[Period]]=1,OR(BUReporting[[#This Row],[Period]]=2,OR(BUReporting[[#This Row],[Period]]=3,OR(BUReporting[[#This Row],[Period]]=4,OR(BUReporting[[#This Row],[Period]]=5,BUReporting[[#This Row],[Period]]=6))))),VLOOKUP(BUReporting[[#This Row],[Program]],'Program MW '!$A$12:$S$22,14,FALSE),VLOOKUP(BUReporting[[#This Row],[Program]],'Program MW '!$A$34:$S$44,14,FALSE))</f>
        <v>134</v>
      </c>
      <c r="H64" s="402">
        <f>IF(OR(BUReporting[[#This Row],[Period]]=1,OR(BUReporting[[#This Row],[Period]]=2,OR(BUReporting[[#This Row],[Period]]=3,OR(BUReporting[[#This Row],[Period]]=4,OR(BUReporting[[#This Row],[Period]]=5,BUReporting[[#This Row],[Period]]=6))))),VLOOKUP(BUReporting[[#This Row],[Program]],'Program MW '!$A$12:$S$22,15,FALSE),VLOOKUP(BUReporting[[#This Row],[Program]],'Program MW '!$A$34:$S$44,15,FALSE))</f>
        <v>1.214125358</v>
      </c>
    </row>
    <row r="65" spans="1:8" ht="15.5" thickTop="1" thickBot="1">
      <c r="A65" s="391">
        <v>11</v>
      </c>
      <c r="B65" s="389" t="s">
        <v>26</v>
      </c>
      <c r="C65" s="404"/>
      <c r="D65" s="389" t="s">
        <v>9</v>
      </c>
      <c r="E65" s="392">
        <v>5</v>
      </c>
      <c r="F65" s="401" t="s">
        <v>31</v>
      </c>
      <c r="G65" s="390">
        <f>IF(OR(BUReporting[[#This Row],[Period]]=1,OR(BUReporting[[#This Row],[Period]]=2,OR(BUReporting[[#This Row],[Period]]=3,OR(BUReporting[[#This Row],[Period]]=4,OR(BUReporting[[#This Row],[Period]]=5,BUReporting[[#This Row],[Period]]=6))))),VLOOKUP(BUReporting[[#This Row],[Program]],'Program MW '!$A$12:$S$22,14,FALSE),VLOOKUP(BUReporting[[#This Row],[Program]],'Program MW '!$A$34:$S$44,14,FALSE))</f>
        <v>106176</v>
      </c>
      <c r="H65" s="402">
        <f>IF(OR(BUReporting[[#This Row],[Period]]=1,OR(BUReporting[[#This Row],[Period]]=2,OR(BUReporting[[#This Row],[Period]]=3,OR(BUReporting[[#This Row],[Period]]=4,OR(BUReporting[[#This Row],[Period]]=5,BUReporting[[#This Row],[Period]]=6))))),VLOOKUP(BUReporting[[#This Row],[Program]],'Program MW '!$A$12:$S$22,15,FALSE),VLOOKUP(BUReporting[[#This Row],[Program]],'Program MW '!$A$34:$S$44,15,FALSE))</f>
        <v>0.14518625372857208</v>
      </c>
    </row>
    <row r="66" spans="1:8" ht="13.5" thickTop="1" thickBot="1">
      <c r="A66" s="391">
        <v>12</v>
      </c>
      <c r="B66" s="389" t="s">
        <v>27</v>
      </c>
      <c r="C66" s="388"/>
      <c r="D66" s="389" t="s">
        <v>19</v>
      </c>
      <c r="E66" s="392">
        <v>5</v>
      </c>
      <c r="F66" s="401" t="s">
        <v>31</v>
      </c>
      <c r="G66" s="390">
        <f>IF(OR(BUReporting[[#This Row],[Period]]=1,OR(BUReporting[[#This Row],[Period]]=2,OR(BUReporting[[#This Row],[Period]]=3,OR(BUReporting[[#This Row],[Period]]=4,OR(BUReporting[[#This Row],[Period]]=5,BUReporting[[#This Row],[Period]]=6))))),VLOOKUP(BUReporting[[#This Row],[Program]],'Program MW '!$A$12:$S$22,14,FALSE),VLOOKUP(BUReporting[[#This Row],[Program]],'Program MW '!$A$34:$S$44,14,FALSE))</f>
        <v>19517</v>
      </c>
      <c r="H66" s="402">
        <f>IF(OR(BUReporting[[#This Row],[Period]]=1,OR(BUReporting[[#This Row],[Period]]=2,OR(BUReporting[[#This Row],[Period]]=3,OR(BUReporting[[#This Row],[Period]]=4,OR(BUReporting[[#This Row],[Period]]=5,BUReporting[[#This Row],[Period]]=6))))),VLOOKUP(BUReporting[[#This Row],[Program]],'Program MW '!$A$12:$S$22,15,FALSE),VLOOKUP(BUReporting[[#This Row],[Program]],'Program MW '!$A$34:$S$44,15,FALSE))</f>
        <v>1.9292683404082556</v>
      </c>
    </row>
    <row r="67" spans="1:8" ht="15.5" thickTop="1" thickBot="1">
      <c r="A67" s="403">
        <v>0</v>
      </c>
      <c r="B67" s="85" t="s">
        <v>8</v>
      </c>
      <c r="C67" s="404"/>
      <c r="D67" s="394" t="s">
        <v>9</v>
      </c>
      <c r="E67" s="399">
        <v>6</v>
      </c>
      <c r="F67" s="400" t="s">
        <v>32</v>
      </c>
      <c r="G67" s="390">
        <f>IF(OR(BUReporting[[#This Row],[Period]]=1,OR(BUReporting[[#This Row],[Period]]=2,OR(BUReporting[[#This Row],[Period]]=2,OR(BUReporting[[#This Row],[Period]]=4,OR(BUReporting[[#This Row],[Period]]=5,BUReporting[[#This Row],[Period]]=6))))),VLOOKUP(BUReporting[[#This Row],[Program]],'Program MW '!$A$9:$S$9,17,FALSE),VLOOKUP(BUReporting[[#This Row],[Program]],'Program MW '!$A$31:$S$31,17,FALSE))</f>
        <v>1</v>
      </c>
      <c r="H67" s="402">
        <f>IF(OR(BUReporting[[#This Row],[Period]]=1,OR(BUReporting[[#This Row],[Period]]=2,OR(BUReporting[[#This Row],[Period]]=3,OR(BUReporting[[#This Row],[Period]]=4,OR(BUReporting[[#This Row],[Period]]=5,BUReporting[[#This Row],[Period]]=6))))),VLOOKUP(BUReporting[[#This Row],[Program]],'Program MW '!$A$9:$S$9,18,FALSE),VLOOKUP(BUReporting[[#This Row],[Program]],'Program MW '!$A$31:$S$31,18,FALSE))</f>
        <v>0.16708448791503908</v>
      </c>
    </row>
    <row r="68" spans="1:8" ht="15.5" thickTop="1" thickBot="1">
      <c r="A68" s="391">
        <v>1</v>
      </c>
      <c r="B68" s="389" t="s">
        <v>11</v>
      </c>
      <c r="C68" s="404"/>
      <c r="D68" s="389" t="s">
        <v>9</v>
      </c>
      <c r="E68" s="392">
        <v>6</v>
      </c>
      <c r="F68" s="401" t="s">
        <v>32</v>
      </c>
      <c r="G68" s="390">
        <f>IF(OR(BUReporting[[#This Row],[Period]]=1,OR(BUReporting[[#This Row],[Period]]=2,OR(BUReporting[[#This Row],[Period]]=3,OR(BUReporting[[#This Row],[Period]]=4,OR(BUReporting[[#This Row],[Period]]=5,BUReporting[[#This Row],[Period]]=6))))),VLOOKUP(BUReporting[[#This Row],[Program]],'Program MW '!$A$12:$S$22,17,FALSE),VLOOKUP(BUReporting[[#This Row],[Program]],'Program MW '!$A$34:$S$44,17,FALSE))</f>
        <v>7017</v>
      </c>
      <c r="H68" s="402">
        <f>IF(OR(BUReporting[[#This Row],[Period]]=1,OR(BUReporting[[#This Row],[Period]]=2,OR(BUReporting[[#This Row],[Period]]=3,OR(BUReporting[[#This Row],[Period]]=4,OR(BUReporting[[#This Row],[Period]]=5,BUReporting[[#This Row],[Period]]=6))))),VLOOKUP(BUReporting[[#This Row],[Program]],'Program MW '!$A$12:$S$22,18,FALSE),VLOOKUP(BUReporting[[#This Row],[Program]],'Program MW '!$A$34:$S$44,18,FALSE))</f>
        <v>0</v>
      </c>
    </row>
    <row r="69" spans="1:8" ht="15.5" thickTop="1" thickBot="1">
      <c r="A69" s="391">
        <v>2</v>
      </c>
      <c r="B69" s="389" t="s">
        <v>12</v>
      </c>
      <c r="C69" s="404" t="s">
        <v>13</v>
      </c>
      <c r="D69" s="389" t="s">
        <v>9</v>
      </c>
      <c r="E69" s="392">
        <v>6</v>
      </c>
      <c r="F69" s="401" t="s">
        <v>32</v>
      </c>
      <c r="G69" s="390" t="e">
        <f>IF(OR(BUReporting[[#This Row],[Period]]=1,OR(BUReporting[[#This Row],[Period]]=2,OR(BUReporting[[#This Row],[Period]]=3,OR(BUReporting[[#This Row],[Period]]=4,OR(BUReporting[[#This Row],[Period]]=5,BUReporting[[#This Row],[Period]]=6))))),VLOOKUP(BUReporting[[#This Row],[Program]],'Program MW '!$A$12:$S$22,17,FALSE),VLOOKUP(BUReporting[[#This Row],[Program]],'Program MW '!$A$34:$S$44,17,FALSE))</f>
        <v>#N/A</v>
      </c>
      <c r="H69" s="402" t="e">
        <f>IF(OR(BUReporting[[#This Row],[Period]]=1,OR(BUReporting[[#This Row],[Period]]=2,OR(BUReporting[[#This Row],[Period]]=3,OR(BUReporting[[#This Row],[Period]]=4,OR(BUReporting[[#This Row],[Period]]=5,BUReporting[[#This Row],[Period]]=6))))),VLOOKUP(BUReporting[[#This Row],[Program]],'Program MW '!$A$12:$S$22,18,FALSE),VLOOKUP(BUReporting[[#This Row],[Program]],'Program MW '!$A$34:$S$44,18,FALSE))</f>
        <v>#N/A</v>
      </c>
    </row>
    <row r="70" spans="1:8" ht="15.5" thickTop="1" thickBot="1">
      <c r="A70" s="391">
        <v>3</v>
      </c>
      <c r="B70" s="389" t="s">
        <v>14</v>
      </c>
      <c r="C70" s="404"/>
      <c r="D70" s="389" t="s">
        <v>9</v>
      </c>
      <c r="E70" s="392">
        <v>6</v>
      </c>
      <c r="F70" s="401" t="s">
        <v>32</v>
      </c>
      <c r="G70" s="390" t="e">
        <f>IF(OR(BUReporting[[#This Row],[Period]]=1,OR(BUReporting[[#This Row],[Period]]=2,OR(BUReporting[[#This Row],[Period]]=3,OR(BUReporting[[#This Row],[Period]]=4,OR(BUReporting[[#This Row],[Period]]=5,BUReporting[[#This Row],[Period]]=6))))),VLOOKUP(BUReporting[[#This Row],[Program]],'Program MW '!$A$12:$S$22,17,FALSE),VLOOKUP(BUReporting[[#This Row],[Program]],'Program MW '!$A$34:$S$44,17,FALSE))</f>
        <v>#N/A</v>
      </c>
      <c r="H70" s="402" t="e">
        <f>IF(OR(BUReporting[[#This Row],[Period]]=1,OR(BUReporting[[#This Row],[Period]]=2,OR(BUReporting[[#This Row],[Period]]=3,OR(BUReporting[[#This Row],[Period]]=4,OR(BUReporting[[#This Row],[Period]]=5,BUReporting[[#This Row],[Period]]=6))))),VLOOKUP(BUReporting[[#This Row],[Program]],'Program MW '!$A$12:$S$22,18,FALSE),VLOOKUP(BUReporting[[#This Row],[Program]],'Program MW '!$A$34:$S$44,18,FALSE))</f>
        <v>#N/A</v>
      </c>
    </row>
    <row r="71" spans="1:8" ht="15.5" thickTop="1" thickBot="1">
      <c r="A71" s="391">
        <v>4</v>
      </c>
      <c r="B71" s="389" t="s">
        <v>15</v>
      </c>
      <c r="C71" s="404" t="s">
        <v>16</v>
      </c>
      <c r="D71" s="389" t="s">
        <v>9</v>
      </c>
      <c r="E71" s="392">
        <v>6</v>
      </c>
      <c r="F71" s="401" t="s">
        <v>32</v>
      </c>
      <c r="G71" s="390" t="e">
        <f>IF(OR(BUReporting[[#This Row],[Period]]=1,OR(BUReporting[[#This Row],[Period]]=2,OR(BUReporting[[#This Row],[Period]]=3,OR(BUReporting[[#This Row],[Period]]=4,OR(BUReporting[[#This Row],[Period]]=5,BUReporting[[#This Row],[Period]]=6))))),VLOOKUP(BUReporting[[#This Row],[Program]],'Program MW '!$A$12:$S$22,17,FALSE),VLOOKUP(BUReporting[[#This Row],[Program]],'Program MW '!$A$34:$S$44,17,FALSE))</f>
        <v>#N/A</v>
      </c>
      <c r="H71" s="402" t="e">
        <f>IF(OR(BUReporting[[#This Row],[Period]]=1,OR(BUReporting[[#This Row],[Period]]=2,OR(BUReporting[[#This Row],[Period]]=3,OR(BUReporting[[#This Row],[Period]]=4,OR(BUReporting[[#This Row],[Period]]=5,BUReporting[[#This Row],[Period]]=6))))),VLOOKUP(BUReporting[[#This Row],[Program]],'Program MW '!$A$12:$S$22,18,FALSE),VLOOKUP(BUReporting[[#This Row],[Program]],'Program MW '!$A$34:$S$44,18,FALSE))</f>
        <v>#N/A</v>
      </c>
    </row>
    <row r="72" spans="1:8" ht="15.5" thickTop="1" thickBot="1">
      <c r="A72" s="391">
        <v>5</v>
      </c>
      <c r="B72" s="389" t="s">
        <v>17</v>
      </c>
      <c r="C72" s="404" t="s">
        <v>18</v>
      </c>
      <c r="D72" s="389" t="s">
        <v>19</v>
      </c>
      <c r="E72" s="392">
        <v>6</v>
      </c>
      <c r="F72" s="401" t="s">
        <v>32</v>
      </c>
      <c r="G72" s="390">
        <f>IF(OR(BUReporting[[#This Row],[Period]]=1,OR(BUReporting[[#This Row],[Period]]=2,OR(BUReporting[[#This Row],[Period]]=3,OR(BUReporting[[#This Row],[Period]]=4,OR(BUReporting[[#This Row],[Period]]=5,BUReporting[[#This Row],[Period]]=6))))),VLOOKUP(BUReporting[[#This Row],[Program]],'Program MW '!$A$12:$S$22,17,FALSE),VLOOKUP(BUReporting[[#This Row],[Program]],'Program MW '!$A$34:$S$44,17,FALSE))</f>
        <v>14623</v>
      </c>
      <c r="H72" s="402">
        <f>IF(OR(BUReporting[[#This Row],[Period]]=1,OR(BUReporting[[#This Row],[Period]]=2,OR(BUReporting[[#This Row],[Period]]=3,OR(BUReporting[[#This Row],[Period]]=4,OR(BUReporting[[#This Row],[Period]]=5,BUReporting[[#This Row],[Period]]=6))))),VLOOKUP(BUReporting[[#This Row],[Program]],'Program MW '!$A$12:$S$22,18,FALSE),VLOOKUP(BUReporting[[#This Row],[Program]],'Program MW '!$A$34:$S$44,18,FALSE))</f>
        <v>0.75110183168202638</v>
      </c>
    </row>
    <row r="73" spans="1:8" ht="15.5" thickTop="1" thickBot="1">
      <c r="A73" s="391">
        <v>6</v>
      </c>
      <c r="B73" s="389" t="s">
        <v>20</v>
      </c>
      <c r="C73" s="404" t="s">
        <v>18</v>
      </c>
      <c r="D73" s="389" t="s">
        <v>9</v>
      </c>
      <c r="E73" s="392">
        <v>6</v>
      </c>
      <c r="F73" s="401" t="s">
        <v>32</v>
      </c>
      <c r="G73" s="390">
        <f>IF(OR(BUReporting[[#This Row],[Period]]=1,OR(BUReporting[[#This Row],[Period]]=2,OR(BUReporting[[#This Row],[Period]]=3,OR(BUReporting[[#This Row],[Period]]=4,OR(BUReporting[[#This Row],[Period]]=5,BUReporting[[#This Row],[Period]]=6))))),VLOOKUP(BUReporting[[#This Row],[Program]],'Program MW '!$A$12:$S$22,17,FALSE),VLOOKUP(BUReporting[[#This Row],[Program]],'Program MW '!$A$34:$S$44,17,FALSE))</f>
        <v>236</v>
      </c>
      <c r="H73" s="402">
        <f>IF(OR(BUReporting[[#This Row],[Period]]=1,OR(BUReporting[[#This Row],[Period]]=2,OR(BUReporting[[#This Row],[Period]]=3,OR(BUReporting[[#This Row],[Period]]=4,OR(BUReporting[[#This Row],[Period]]=5,BUReporting[[#This Row],[Period]]=6))))),VLOOKUP(BUReporting[[#This Row],[Program]],'Program MW '!$A$12:$S$22,18,FALSE),VLOOKUP(BUReporting[[#This Row],[Program]],'Program MW '!$A$34:$S$44,18,FALSE))</f>
        <v>0.20210570478439333</v>
      </c>
    </row>
    <row r="74" spans="1:8" ht="15.5" thickTop="1" thickBot="1">
      <c r="A74" s="391">
        <v>7</v>
      </c>
      <c r="B74" s="389" t="s">
        <v>21</v>
      </c>
      <c r="C74" s="404" t="s">
        <v>22</v>
      </c>
      <c r="D74" s="389" t="s">
        <v>19</v>
      </c>
      <c r="E74" s="392">
        <v>6</v>
      </c>
      <c r="F74" s="401" t="s">
        <v>32</v>
      </c>
      <c r="G74" s="390">
        <f>IF(OR(BUReporting[[#This Row],[Period]]=1,OR(BUReporting[[#This Row],[Period]]=2,OR(BUReporting[[#This Row],[Period]]=3,OR(BUReporting[[#This Row],[Period]]=4,OR(BUReporting[[#This Row],[Period]]=5,BUReporting[[#This Row],[Period]]=6))))),VLOOKUP(BUReporting[[#This Row],[Program]],'Program MW '!$A$12:$S$22,17,FALSE),VLOOKUP(BUReporting[[#This Row],[Program]],'Program MW '!$A$34:$S$44,17,FALSE))</f>
        <v>9409</v>
      </c>
      <c r="H74" s="402">
        <f>IF(OR(BUReporting[[#This Row],[Period]]=1,OR(BUReporting[[#This Row],[Period]]=2,OR(BUReporting[[#This Row],[Period]]=3,OR(BUReporting[[#This Row],[Period]]=4,OR(BUReporting[[#This Row],[Period]]=5,BUReporting[[#This Row],[Period]]=6))))),VLOOKUP(BUReporting[[#This Row],[Program]],'Program MW '!$A$12:$S$22,18,FALSE),VLOOKUP(BUReporting[[#This Row],[Program]],'Program MW '!$A$34:$S$44,18,FALSE))</f>
        <v>0.34679127659999998</v>
      </c>
    </row>
    <row r="75" spans="1:8" ht="15.5" thickTop="1" thickBot="1">
      <c r="A75" s="391">
        <v>8</v>
      </c>
      <c r="B75" s="389" t="s">
        <v>23</v>
      </c>
      <c r="C75" s="404" t="s">
        <v>22</v>
      </c>
      <c r="D75" s="389" t="s">
        <v>9</v>
      </c>
      <c r="E75" s="392">
        <v>6</v>
      </c>
      <c r="F75" s="401" t="s">
        <v>32</v>
      </c>
      <c r="G75" s="390">
        <f>IF(OR(BUReporting[[#This Row],[Period]]=1,OR(BUReporting[[#This Row],[Period]]=2,OR(BUReporting[[#This Row],[Period]]=3,OR(BUReporting[[#This Row],[Period]]=4,OR(BUReporting[[#This Row],[Period]]=5,BUReporting[[#This Row],[Period]]=6))))),VLOOKUP(BUReporting[[#This Row],[Program]],'Program MW '!$A$12:$S$22,17,FALSE),VLOOKUP(BUReporting[[#This Row],[Program]],'Program MW '!$A$34:$S$44,17,FALSE))</f>
        <v>2244</v>
      </c>
      <c r="H75" s="402">
        <f>IF(OR(BUReporting[[#This Row],[Period]]=1,OR(BUReporting[[#This Row],[Period]]=2,OR(BUReporting[[#This Row],[Period]]=3,OR(BUReporting[[#This Row],[Period]]=4,OR(BUReporting[[#This Row],[Period]]=5,BUReporting[[#This Row],[Period]]=6))))),VLOOKUP(BUReporting[[#This Row],[Program]],'Program MW '!$A$12:$S$22,18,FALSE),VLOOKUP(BUReporting[[#This Row],[Program]],'Program MW '!$A$34:$S$44,18,FALSE))</f>
        <v>0.1342089276</v>
      </c>
    </row>
    <row r="76" spans="1:8" ht="15.5" thickTop="1" thickBot="1">
      <c r="A76" s="391">
        <v>9</v>
      </c>
      <c r="B76" s="389" t="s">
        <v>24</v>
      </c>
      <c r="C76" s="404"/>
      <c r="D76" s="389" t="s">
        <v>9</v>
      </c>
      <c r="E76" s="392">
        <v>6</v>
      </c>
      <c r="F76" s="401" t="s">
        <v>32</v>
      </c>
      <c r="G76" s="390">
        <f>IF(OR(BUReporting[[#This Row],[Period]]=1,OR(BUReporting[[#This Row],[Period]]=2,OR(BUReporting[[#This Row],[Period]]=3,OR(BUReporting[[#This Row],[Period]]=4,OR(BUReporting[[#This Row],[Period]]=5,BUReporting[[#This Row],[Period]]=6))))),VLOOKUP(BUReporting[[#This Row],[Program]],'Program MW '!$A$12:$S$22,17,FALSE),VLOOKUP(BUReporting[[#This Row],[Program]],'Program MW '!$A$34:$S$44,17,FALSE))</f>
        <v>49</v>
      </c>
      <c r="H76" s="402">
        <f>IF(OR(BUReporting[[#This Row],[Period]]=1,OR(BUReporting[[#This Row],[Period]]=2,OR(BUReporting[[#This Row],[Period]]=3,OR(BUReporting[[#This Row],[Period]]=4,OR(BUReporting[[#This Row],[Period]]=5,BUReporting[[#This Row],[Period]]=6))))),VLOOKUP(BUReporting[[#This Row],[Program]],'Program MW '!$A$12:$S$22,18,FALSE),VLOOKUP(BUReporting[[#This Row],[Program]],'Program MW '!$A$34:$S$44,18,FALSE))</f>
        <v>0.57943431000000001</v>
      </c>
    </row>
    <row r="77" spans="1:8" ht="15.5" thickTop="1" thickBot="1">
      <c r="A77" s="391">
        <v>10</v>
      </c>
      <c r="B77" s="389" t="s">
        <v>25</v>
      </c>
      <c r="C77" s="404"/>
      <c r="D77" s="389" t="s">
        <v>9</v>
      </c>
      <c r="E77" s="392">
        <v>6</v>
      </c>
      <c r="F77" s="401" t="s">
        <v>32</v>
      </c>
      <c r="G77" s="390">
        <f>IF(OR(BUReporting[[#This Row],[Period]]=1,OR(BUReporting[[#This Row],[Period]]=2,OR(BUReporting[[#This Row],[Period]]=3,OR(BUReporting[[#This Row],[Period]]=4,OR(BUReporting[[#This Row],[Period]]=5,BUReporting[[#This Row],[Period]]=6))))),VLOOKUP(BUReporting[[#This Row],[Program]],'Program MW '!$A$12:$S$22,17,FALSE),VLOOKUP(BUReporting[[#This Row],[Program]],'Program MW '!$A$34:$S$44,17,FALSE))</f>
        <v>125</v>
      </c>
      <c r="H77" s="402">
        <f>IF(OR(BUReporting[[#This Row],[Period]]=1,OR(BUReporting[[#This Row],[Period]]=2,OR(BUReporting[[#This Row],[Period]]=3,OR(BUReporting[[#This Row],[Period]]=4,OR(BUReporting[[#This Row],[Period]]=5,BUReporting[[#This Row],[Period]]=6))))),VLOOKUP(BUReporting[[#This Row],[Program]],'Program MW '!$A$12:$S$22,18,FALSE),VLOOKUP(BUReporting[[#This Row],[Program]],'Program MW '!$A$34:$S$44,18,FALSE))</f>
        <v>1.132579625</v>
      </c>
    </row>
    <row r="78" spans="1:8" ht="15.5" thickTop="1" thickBot="1">
      <c r="A78" s="391">
        <v>11</v>
      </c>
      <c r="B78" s="389" t="s">
        <v>26</v>
      </c>
      <c r="C78" s="404"/>
      <c r="D78" s="389" t="s">
        <v>9</v>
      </c>
      <c r="E78" s="392">
        <v>6</v>
      </c>
      <c r="F78" s="401" t="s">
        <v>32</v>
      </c>
      <c r="G78" s="390">
        <f>IF(OR(BUReporting[[#This Row],[Period]]=1,OR(BUReporting[[#This Row],[Period]]=2,OR(BUReporting[[#This Row],[Period]]=3,OR(BUReporting[[#This Row],[Period]]=4,OR(BUReporting[[#This Row],[Period]]=5,BUReporting[[#This Row],[Period]]=6))))),VLOOKUP(BUReporting[[#This Row],[Program]],'Program MW '!$A$12:$S$22,17,FALSE),VLOOKUP(BUReporting[[#This Row],[Program]],'Program MW '!$A$34:$S$44,17,FALSE))</f>
        <v>105904</v>
      </c>
      <c r="H78" s="402">
        <f>IF(OR(BUReporting[[#This Row],[Period]]=1,OR(BUReporting[[#This Row],[Period]]=2,OR(BUReporting[[#This Row],[Period]]=3,OR(BUReporting[[#This Row],[Period]]=4,OR(BUReporting[[#This Row],[Period]]=5,BUReporting[[#This Row],[Period]]=6))))),VLOOKUP(BUReporting[[#This Row],[Program]],'Program MW '!$A$12:$S$22,18,FALSE),VLOOKUP(BUReporting[[#This Row],[Program]],'Program MW '!$A$34:$S$44,18,FALSE))</f>
        <v>9.293238217800405E-2</v>
      </c>
    </row>
    <row r="79" spans="1:8" ht="13.5" thickTop="1" thickBot="1">
      <c r="A79" s="391">
        <v>12</v>
      </c>
      <c r="B79" s="389" t="s">
        <v>27</v>
      </c>
      <c r="C79" s="388"/>
      <c r="D79" s="389" t="s">
        <v>19</v>
      </c>
      <c r="E79" s="392">
        <v>6</v>
      </c>
      <c r="F79" s="401" t="s">
        <v>32</v>
      </c>
      <c r="G79" s="390">
        <f>IF(OR(BUReporting[[#This Row],[Period]]=1,OR(BUReporting[[#This Row],[Period]]=2,OR(BUReporting[[#This Row],[Period]]=3,OR(BUReporting[[#This Row],[Period]]=4,OR(BUReporting[[#This Row],[Period]]=5,BUReporting[[#This Row],[Period]]=6))))),VLOOKUP(BUReporting[[#This Row],[Program]],'Program MW '!$A$12:$S$22,17,FALSE),VLOOKUP(BUReporting[[#This Row],[Program]],'Program MW '!$A$34:$S$44,17,FALSE))</f>
        <v>20395</v>
      </c>
      <c r="H79" s="402">
        <f>IF(OR(BUReporting[[#This Row],[Period]]=1,OR(BUReporting[[#This Row],[Period]]=2,OR(BUReporting[[#This Row],[Period]]=3,OR(BUReporting[[#This Row],[Period]]=4,OR(BUReporting[[#This Row],[Period]]=5,BUReporting[[#This Row],[Period]]=6))))),VLOOKUP(BUReporting[[#This Row],[Program]],'Program MW '!$A$12:$S$22,18,FALSE),VLOOKUP(BUReporting[[#This Row],[Program]],'Program MW '!$A$34:$S$44,18,FALSE))</f>
        <v>1.5282490066869205</v>
      </c>
    </row>
    <row r="80" spans="1:8" ht="15.5" thickTop="1" thickBot="1">
      <c r="A80" s="403">
        <v>0</v>
      </c>
      <c r="B80" s="85" t="s">
        <v>8</v>
      </c>
      <c r="C80" s="404"/>
      <c r="D80" s="394" t="s">
        <v>9</v>
      </c>
      <c r="E80" s="399">
        <v>7</v>
      </c>
      <c r="F80" s="400" t="s">
        <v>33</v>
      </c>
      <c r="G80" s="390">
        <f>IF(OR(BUReporting[[#This Row],[Period]]=1,OR(BUReporting[[#This Row],[Period]]=2,OR(BUReporting[[#This Row],[Period]]=2,OR(BUReporting[[#This Row],[Period]]=4,OR(BUReporting[[#This Row],[Period]]=5,BUReporting[[#This Row],[Period]]=6))))),VLOOKUP(BUReporting[[#This Row],[Program]],'Program MW '!$A$9:$S$9,2,FALSE),VLOOKUP(BUReporting[[#This Row],[Program]],'Program MW '!$A$31:$S$31,2,FALSE))</f>
        <v>1</v>
      </c>
      <c r="H80" s="402">
        <f>IF(OR(BUReporting[[#This Row],[Period]]=1,OR(BUReporting[[#This Row],[Period]]=2,OR(BUReporting[[#This Row],[Period]]=3,OR(BUReporting[[#This Row],[Period]]=4,OR(BUReporting[[#This Row],[Period]]=5,BUReporting[[#This Row],[Period]]=6))))),VLOOKUP(BUReporting[[#This Row],[Program]],'Program MW '!$A$9:$S$9,3,FALSE),VLOOKUP(BUReporting[[#This Row],[Program]],'Program MW '!$A$31:$S$31,3,FALSE))</f>
        <v>0.15948800659179688</v>
      </c>
    </row>
    <row r="81" spans="1:8" ht="15.5" thickTop="1" thickBot="1">
      <c r="A81" s="391">
        <v>1</v>
      </c>
      <c r="B81" s="389" t="s">
        <v>11</v>
      </c>
      <c r="C81" s="404"/>
      <c r="D81" s="389" t="s">
        <v>9</v>
      </c>
      <c r="E81" s="392">
        <v>7</v>
      </c>
      <c r="F81" s="401" t="s">
        <v>33</v>
      </c>
      <c r="G81" s="390">
        <f>IF(OR(BUReporting[[#This Row],[Period]]=1,OR(BUReporting[[#This Row],[Period]]=2,OR(BUReporting[[#This Row],[Period]]=3,OR(BUReporting[[#This Row],[Period]]=4,OR(BUReporting[[#This Row],[Period]]=5,BUReporting[[#This Row],[Period]]=6))))),VLOOKUP(BUReporting[[#This Row],[Program]],'Program MW '!$A$12:$S$22,2,FALSE),VLOOKUP(BUReporting[[#This Row],[Program]],'Program MW '!$A$34:$S$44,2,FALSE))</f>
        <v>5806</v>
      </c>
      <c r="H81" s="402">
        <f>VLOOKUP(BUReporting[[#This Row],[Program]],'Program MW '!$A$34:$S$44,3,FALSE)</f>
        <v>0</v>
      </c>
    </row>
    <row r="82" spans="1:8" ht="15.5" thickTop="1" thickBot="1">
      <c r="A82" s="391">
        <v>2</v>
      </c>
      <c r="B82" s="389" t="s">
        <v>12</v>
      </c>
      <c r="C82" s="404" t="s">
        <v>13</v>
      </c>
      <c r="D82" s="389" t="s">
        <v>9</v>
      </c>
      <c r="E82" s="392">
        <v>7</v>
      </c>
      <c r="F82" s="401" t="s">
        <v>33</v>
      </c>
      <c r="G82" s="390" t="e">
        <f>IF(OR(BUReporting[[#This Row],[Period]]=1,OR(BUReporting[[#This Row],[Period]]=2,OR(BUReporting[[#This Row],[Period]]=3,OR(BUReporting[[#This Row],[Period]]=4,OR(BUReporting[[#This Row],[Period]]=5,BUReporting[[#This Row],[Period]]=6))))),VLOOKUP(BUReporting[[#This Row],[Program]],'Program MW '!$A$12:$S$22,2,FALSE),VLOOKUP(BUReporting[[#This Row],[Program]],'Program MW '!$A$34:$S$44,2,FALSE))</f>
        <v>#N/A</v>
      </c>
      <c r="H82" s="402" t="e">
        <f>VLOOKUP(BUReporting[[#This Row],[Program]],'Program MW '!$A$34:$S$44,3,FALSE)</f>
        <v>#N/A</v>
      </c>
    </row>
    <row r="83" spans="1:8" ht="15.5" thickTop="1" thickBot="1">
      <c r="A83" s="391">
        <v>3</v>
      </c>
      <c r="B83" s="389" t="s">
        <v>14</v>
      </c>
      <c r="C83" s="404"/>
      <c r="D83" s="389" t="s">
        <v>9</v>
      </c>
      <c r="E83" s="392">
        <v>7</v>
      </c>
      <c r="F83" s="401" t="s">
        <v>33</v>
      </c>
      <c r="G83" s="390" t="e">
        <f>IF(OR(BUReporting[[#This Row],[Period]]=1,OR(BUReporting[[#This Row],[Period]]=2,OR(BUReporting[[#This Row],[Period]]=3,OR(BUReporting[[#This Row],[Period]]=4,OR(BUReporting[[#This Row],[Period]]=5,BUReporting[[#This Row],[Period]]=6))))),VLOOKUP(BUReporting[[#This Row],[Program]],'Program MW '!$A$12:$S$22,2,FALSE),VLOOKUP(BUReporting[[#This Row],[Program]],'Program MW '!$A$34:$S$44,2,FALSE))</f>
        <v>#N/A</v>
      </c>
      <c r="H83" s="402" t="e">
        <f>VLOOKUP(BUReporting[[#This Row],[Program]],'Program MW '!$A$34:$S$44,3,FALSE)</f>
        <v>#N/A</v>
      </c>
    </row>
    <row r="84" spans="1:8" ht="15.5" thickTop="1" thickBot="1">
      <c r="A84" s="391">
        <v>4</v>
      </c>
      <c r="B84" s="389" t="s">
        <v>15</v>
      </c>
      <c r="C84" s="404" t="s">
        <v>16</v>
      </c>
      <c r="D84" s="389" t="s">
        <v>9</v>
      </c>
      <c r="E84" s="392">
        <v>7</v>
      </c>
      <c r="F84" s="401" t="s">
        <v>33</v>
      </c>
      <c r="G84" s="390" t="e">
        <f>IF(OR(BUReporting[[#This Row],[Period]]=1,OR(BUReporting[[#This Row],[Period]]=2,OR(BUReporting[[#This Row],[Period]]=3,OR(BUReporting[[#This Row],[Period]]=4,OR(BUReporting[[#This Row],[Period]]=5,BUReporting[[#This Row],[Period]]=6))))),VLOOKUP(BUReporting[[#This Row],[Program]],'Program MW '!$A$12:$S$22,2,FALSE),VLOOKUP(BUReporting[[#This Row],[Program]],'Program MW '!$A$34:$S$44,2,FALSE))</f>
        <v>#N/A</v>
      </c>
      <c r="H84" s="402" t="e">
        <f>VLOOKUP(BUReporting[[#This Row],[Program]],'Program MW '!$A$34:$S$44,3,FALSE)</f>
        <v>#N/A</v>
      </c>
    </row>
    <row r="85" spans="1:8" ht="15.5" thickTop="1" thickBot="1">
      <c r="A85" s="391">
        <v>5</v>
      </c>
      <c r="B85" s="389" t="s">
        <v>17</v>
      </c>
      <c r="C85" s="404" t="s">
        <v>18</v>
      </c>
      <c r="D85" s="389" t="s">
        <v>19</v>
      </c>
      <c r="E85" s="392">
        <v>7</v>
      </c>
      <c r="F85" s="401" t="s">
        <v>33</v>
      </c>
      <c r="G85" s="390">
        <f>IF(OR(BUReporting[[#This Row],[Period]]=1,OR(BUReporting[[#This Row],[Period]]=2,OR(BUReporting[[#This Row],[Period]]=3,OR(BUReporting[[#This Row],[Period]]=4,OR(BUReporting[[#This Row],[Period]]=5,BUReporting[[#This Row],[Period]]=6))))),VLOOKUP(BUReporting[[#This Row],[Program]],'Program MW '!$A$12:$S$22,2,FALSE),VLOOKUP(BUReporting[[#This Row],[Program]],'Program MW '!$A$34:$S$44,2,FALSE))</f>
        <v>14955</v>
      </c>
      <c r="H85" s="402">
        <f>VLOOKUP(BUReporting[[#This Row],[Program]],'Program MW '!$A$34:$S$44,3,FALSE)</f>
        <v>2.4866744115203621</v>
      </c>
    </row>
    <row r="86" spans="1:8" ht="15.5" thickTop="1" thickBot="1">
      <c r="A86" s="391">
        <v>6</v>
      </c>
      <c r="B86" s="389" t="s">
        <v>20</v>
      </c>
      <c r="C86" s="404" t="s">
        <v>18</v>
      </c>
      <c r="D86" s="389" t="s">
        <v>9</v>
      </c>
      <c r="E86" s="392">
        <v>7</v>
      </c>
      <c r="F86" s="401" t="s">
        <v>33</v>
      </c>
      <c r="G86" s="390">
        <f>IF(OR(BUReporting[[#This Row],[Period]]=1,OR(BUReporting[[#This Row],[Period]]=2,OR(BUReporting[[#This Row],[Period]]=3,OR(BUReporting[[#This Row],[Period]]=4,OR(BUReporting[[#This Row],[Period]]=5,BUReporting[[#This Row],[Period]]=6))))),VLOOKUP(BUReporting[[#This Row],[Program]],'Program MW '!$A$12:$S$22,2,FALSE),VLOOKUP(BUReporting[[#This Row],[Program]],'Program MW '!$A$34:$S$44,2,FALSE))</f>
        <v>249</v>
      </c>
      <c r="H86" s="402">
        <f>VLOOKUP(BUReporting[[#This Row],[Program]],'Program MW '!$A$34:$S$44,3,FALSE)</f>
        <v>0.51758776760101322</v>
      </c>
    </row>
    <row r="87" spans="1:8" ht="15.5" thickTop="1" thickBot="1">
      <c r="A87" s="391">
        <v>7</v>
      </c>
      <c r="B87" s="389" t="s">
        <v>21</v>
      </c>
      <c r="C87" s="404" t="s">
        <v>22</v>
      </c>
      <c r="D87" s="389" t="s">
        <v>19</v>
      </c>
      <c r="E87" s="392">
        <v>7</v>
      </c>
      <c r="F87" s="401" t="s">
        <v>33</v>
      </c>
      <c r="G87" s="390">
        <f>IF(OR(BUReporting[[#This Row],[Period]]=1,OR(BUReporting[[#This Row],[Period]]=2,OR(BUReporting[[#This Row],[Period]]=3,OR(BUReporting[[#This Row],[Period]]=4,OR(BUReporting[[#This Row],[Period]]=5,BUReporting[[#This Row],[Period]]=6))))),VLOOKUP(BUReporting[[#This Row],[Program]],'Program MW '!$A$12:$S$22,2,FALSE),VLOOKUP(BUReporting[[#This Row],[Program]],'Program MW '!$A$34:$S$44,2,FALSE))</f>
        <v>9340</v>
      </c>
      <c r="H87" s="402">
        <f>VLOOKUP(BUReporting[[#This Row],[Program]],'Program MW '!$A$34:$S$44,3,FALSE)</f>
        <v>1.2445325839999999</v>
      </c>
    </row>
    <row r="88" spans="1:8" ht="15.5" thickTop="1" thickBot="1">
      <c r="A88" s="391">
        <v>8</v>
      </c>
      <c r="B88" s="389" t="s">
        <v>23</v>
      </c>
      <c r="C88" s="404" t="s">
        <v>22</v>
      </c>
      <c r="D88" s="389" t="s">
        <v>9</v>
      </c>
      <c r="E88" s="392">
        <v>7</v>
      </c>
      <c r="F88" s="401" t="s">
        <v>33</v>
      </c>
      <c r="G88" s="390">
        <f>IF(OR(BUReporting[[#This Row],[Period]]=1,OR(BUReporting[[#This Row],[Period]]=2,OR(BUReporting[[#This Row],[Period]]=3,OR(BUReporting[[#This Row],[Period]]=4,OR(BUReporting[[#This Row],[Period]]=5,BUReporting[[#This Row],[Period]]=6))))),VLOOKUP(BUReporting[[#This Row],[Program]],'Program MW '!$A$12:$S$22,2,FALSE),VLOOKUP(BUReporting[[#This Row],[Program]],'Program MW '!$A$34:$S$44,2,FALSE))</f>
        <v>2705</v>
      </c>
      <c r="H88" s="402">
        <f>VLOOKUP(BUReporting[[#This Row],[Program]],'Program MW '!$A$34:$S$44,3,FALSE)</f>
        <v>0.21937090149999999</v>
      </c>
    </row>
    <row r="89" spans="1:8" ht="15.5" thickTop="1" thickBot="1">
      <c r="A89" s="391">
        <v>9</v>
      </c>
      <c r="B89" s="389" t="s">
        <v>24</v>
      </c>
      <c r="C89" s="404"/>
      <c r="D89" s="389" t="s">
        <v>9</v>
      </c>
      <c r="E89" s="392">
        <v>7</v>
      </c>
      <c r="F89" s="401" t="s">
        <v>33</v>
      </c>
      <c r="G89" s="390">
        <f>IF(OR(BUReporting[[#This Row],[Period]]=1,OR(BUReporting[[#This Row],[Period]]=2,OR(BUReporting[[#This Row],[Period]]=3,OR(BUReporting[[#This Row],[Period]]=4,OR(BUReporting[[#This Row],[Period]]=5,BUReporting[[#This Row],[Period]]=6))))),VLOOKUP(BUReporting[[#This Row],[Program]],'Program MW '!$A$12:$S$22,2,FALSE),VLOOKUP(BUReporting[[#This Row],[Program]],'Program MW '!$A$34:$S$44,2,FALSE))</f>
        <v>35</v>
      </c>
      <c r="H89" s="402">
        <f>VLOOKUP(BUReporting[[#This Row],[Program]],'Program MW '!$A$34:$S$44,3,FALSE)</f>
        <v>0.41388164999999999</v>
      </c>
    </row>
    <row r="90" spans="1:8" ht="15.5" thickTop="1" thickBot="1">
      <c r="A90" s="391">
        <v>10</v>
      </c>
      <c r="B90" s="389" t="s">
        <v>25</v>
      </c>
      <c r="C90" s="404"/>
      <c r="D90" s="389" t="s">
        <v>9</v>
      </c>
      <c r="E90" s="392">
        <v>7</v>
      </c>
      <c r="F90" s="401" t="s">
        <v>33</v>
      </c>
      <c r="G90" s="390">
        <f>IF(OR(BUReporting[[#This Row],[Period]]=1,OR(BUReporting[[#This Row],[Period]]=2,OR(BUReporting[[#This Row],[Period]]=3,OR(BUReporting[[#This Row],[Period]]=4,OR(BUReporting[[#This Row],[Period]]=5,BUReporting[[#This Row],[Period]]=6))))),VLOOKUP(BUReporting[[#This Row],[Program]],'Program MW '!$A$12:$S$22,2,FALSE),VLOOKUP(BUReporting[[#This Row],[Program]],'Program MW '!$A$34:$S$44,2,FALSE))</f>
        <v>131</v>
      </c>
      <c r="H90" s="402">
        <f>VLOOKUP(BUReporting[[#This Row],[Program]],'Program MW '!$A$34:$S$44,3,FALSE)</f>
        <v>1.186943447</v>
      </c>
    </row>
    <row r="91" spans="1:8" ht="15.5" thickTop="1" thickBot="1">
      <c r="A91" s="391">
        <v>11</v>
      </c>
      <c r="B91" s="389" t="s">
        <v>26</v>
      </c>
      <c r="C91" s="404"/>
      <c r="D91" s="389" t="s">
        <v>9</v>
      </c>
      <c r="E91" s="392">
        <v>7</v>
      </c>
      <c r="F91" s="401" t="s">
        <v>33</v>
      </c>
      <c r="G91" s="390">
        <f>IF(OR(BUReporting[[#This Row],[Period]]=1,OR(BUReporting[[#This Row],[Period]]=2,OR(BUReporting[[#This Row],[Period]]=3,OR(BUReporting[[#This Row],[Period]]=4,OR(BUReporting[[#This Row],[Period]]=5,BUReporting[[#This Row],[Period]]=6))))),VLOOKUP(BUReporting[[#This Row],[Program]],'Program MW '!$A$12:$S$22,2,FALSE),VLOOKUP(BUReporting[[#This Row],[Program]],'Program MW '!$A$34:$S$44,2,FALSE))</f>
        <v>62705</v>
      </c>
      <c r="H91" s="402">
        <f>VLOOKUP(BUReporting[[#This Row],[Program]],'Program MW '!$A$34:$S$44,3,FALSE)</f>
        <v>0.13718643118937368</v>
      </c>
    </row>
    <row r="92" spans="1:8" ht="13.5" thickTop="1" thickBot="1">
      <c r="A92" s="391">
        <v>12</v>
      </c>
      <c r="B92" s="389" t="s">
        <v>27</v>
      </c>
      <c r="C92" s="388"/>
      <c r="D92" s="389" t="s">
        <v>19</v>
      </c>
      <c r="E92" s="392">
        <v>7</v>
      </c>
      <c r="F92" s="401" t="s">
        <v>33</v>
      </c>
      <c r="G92" s="390">
        <f>IF(OR(BUReporting[[#This Row],[Period]]=1,OR(BUReporting[[#This Row],[Period]]=2,OR(BUReporting[[#This Row],[Period]]=3,OR(BUReporting[[#This Row],[Period]]=4,OR(BUReporting[[#This Row],[Period]]=5,BUReporting[[#This Row],[Period]]=6))))),VLOOKUP(BUReporting[[#This Row],[Program]],'Program MW '!$A$12:$S$22,2,FALSE),VLOOKUP(BUReporting[[#This Row],[Program]],'Program MW '!$A$34:$S$44,2,FALSE))</f>
        <v>21149</v>
      </c>
      <c r="H92" s="402">
        <f>VLOOKUP(BUReporting[[#This Row],[Program]],'Program MW '!$A$34:$S$44,3,FALSE)</f>
        <v>1.8182098268599642</v>
      </c>
    </row>
    <row r="93" spans="1:8" ht="15.5" thickTop="1" thickBot="1">
      <c r="A93" s="403">
        <v>0</v>
      </c>
      <c r="B93" s="85" t="s">
        <v>8</v>
      </c>
      <c r="C93" s="404"/>
      <c r="D93" s="394" t="s">
        <v>9</v>
      </c>
      <c r="E93" s="399">
        <v>8</v>
      </c>
      <c r="F93" s="400" t="s">
        <v>34</v>
      </c>
      <c r="G93" s="390">
        <f>IF(OR(BUReporting[[#This Row],[Period]]=1,OR(BUReporting[[#This Row],[Period]]=2,OR(BUReporting[[#This Row],[Period]]=2,OR(BUReporting[[#This Row],[Period]]=4,OR(BUReporting[[#This Row],[Period]]=5,BUReporting[[#This Row],[Period]]=6))))),VLOOKUP(BUReporting[[#This Row],[Program]],'Program MW '!$A$9:$S$9,5,FALSE),VLOOKUP(BUReporting[[#This Row],[Program]],'Program MW '!$A$31:$S$31,5,FALSE))</f>
        <v>0</v>
      </c>
      <c r="H93" s="402">
        <f>IF(OR(BUReporting[[#This Row],[Period]]=1,OR(BUReporting[[#This Row],[Period]]=2,OR(BUReporting[[#This Row],[Period]]=3,OR(BUReporting[[#This Row],[Period]]=4,OR(BUReporting[[#This Row],[Period]]=5,BUReporting[[#This Row],[Period]]=6))))),VLOOKUP(BUReporting[[#This Row],[Program]],'Program MW '!$A$9:$S$9,6,FALSE),VLOOKUP(BUReporting[[#This Row],[Program]],'Program MW '!$A$31:$S$31,6,FALSE))</f>
        <v>0</v>
      </c>
    </row>
    <row r="94" spans="1:8" ht="15.5" thickTop="1" thickBot="1">
      <c r="A94" s="391">
        <v>1</v>
      </c>
      <c r="B94" s="389" t="s">
        <v>11</v>
      </c>
      <c r="C94" s="404"/>
      <c r="D94" s="389" t="s">
        <v>9</v>
      </c>
      <c r="E94" s="392">
        <v>8</v>
      </c>
      <c r="F94" s="401" t="s">
        <v>34</v>
      </c>
      <c r="G94" s="390">
        <f>IF(OR(BUReporting[[#This Row],[Period]]=1,OR(BUReporting[[#This Row],[Period]]=2,OR(BUReporting[[#This Row],[Period]]=3,OR(BUReporting[[#This Row],[Period]]=4,OR(BUReporting[[#This Row],[Period]]=5,BUReporting[[#This Row],[Period]]=6))))),VLOOKUP(BUReporting[[#This Row],[Program]],'Program MW '!$A$12:$S$22,5,FALSE),VLOOKUP(BUReporting[[#This Row],[Program]],'Program MW '!$A$34:$S$44,5,FALSE))</f>
        <v>0</v>
      </c>
      <c r="H94" s="402">
        <f>VLOOKUP(BUReporting[[#This Row],[Program]],'Program MW '!$A$34:$S$44,6,FALSE)</f>
        <v>0</v>
      </c>
    </row>
    <row r="95" spans="1:8" ht="15.5" thickTop="1" thickBot="1">
      <c r="A95" s="391">
        <v>2</v>
      </c>
      <c r="B95" s="389" t="s">
        <v>12</v>
      </c>
      <c r="C95" s="404" t="s">
        <v>13</v>
      </c>
      <c r="D95" s="389" t="s">
        <v>9</v>
      </c>
      <c r="E95" s="392">
        <v>8</v>
      </c>
      <c r="F95" s="401" t="s">
        <v>34</v>
      </c>
      <c r="G95" s="390" t="e">
        <f>IF(OR(BUReporting[[#This Row],[Period]]=1,OR(BUReporting[[#This Row],[Period]]=2,OR(BUReporting[[#This Row],[Period]]=3,OR(BUReporting[[#This Row],[Period]]=4,OR(BUReporting[[#This Row],[Period]]=5,BUReporting[[#This Row],[Period]]=6))))),VLOOKUP(BUReporting[[#This Row],[Program]],'Program MW '!$A$12:$S$22,5,FALSE),VLOOKUP(BUReporting[[#This Row],[Program]],'Program MW '!$A$34:$S$44,5,FALSE))</f>
        <v>#N/A</v>
      </c>
      <c r="H95" s="402" t="e">
        <f>VLOOKUP(BUReporting[[#This Row],[Program]],'Program MW '!$A$34:$S$44,6,FALSE)</f>
        <v>#N/A</v>
      </c>
    </row>
    <row r="96" spans="1:8" ht="15.5" thickTop="1" thickBot="1">
      <c r="A96" s="391">
        <v>3</v>
      </c>
      <c r="B96" s="389" t="s">
        <v>14</v>
      </c>
      <c r="C96" s="404"/>
      <c r="D96" s="389" t="s">
        <v>9</v>
      </c>
      <c r="E96" s="392">
        <v>8</v>
      </c>
      <c r="F96" s="401" t="s">
        <v>34</v>
      </c>
      <c r="G96" s="390" t="e">
        <f>IF(OR(BUReporting[[#This Row],[Period]]=1,OR(BUReporting[[#This Row],[Period]]=2,OR(BUReporting[[#This Row],[Period]]=3,OR(BUReporting[[#This Row],[Period]]=4,OR(BUReporting[[#This Row],[Period]]=5,BUReporting[[#This Row],[Period]]=6))))),VLOOKUP(BUReporting[[#This Row],[Program]],'Program MW '!$A$12:$S$22,5,FALSE),VLOOKUP(BUReporting[[#This Row],[Program]],'Program MW '!$A$34:$S$44,5,FALSE))</f>
        <v>#N/A</v>
      </c>
      <c r="H96" s="402" t="e">
        <f>VLOOKUP(BUReporting[[#This Row],[Program]],'Program MW '!$A$34:$S$44,6,FALSE)</f>
        <v>#N/A</v>
      </c>
    </row>
    <row r="97" spans="1:8" ht="15.5" thickTop="1" thickBot="1">
      <c r="A97" s="391">
        <v>4</v>
      </c>
      <c r="B97" s="389" t="s">
        <v>15</v>
      </c>
      <c r="C97" s="404" t="s">
        <v>16</v>
      </c>
      <c r="D97" s="389" t="s">
        <v>9</v>
      </c>
      <c r="E97" s="392">
        <v>8</v>
      </c>
      <c r="F97" s="401" t="s">
        <v>34</v>
      </c>
      <c r="G97" s="390" t="e">
        <f>IF(OR(BUReporting[[#This Row],[Period]]=1,OR(BUReporting[[#This Row],[Period]]=2,OR(BUReporting[[#This Row],[Period]]=3,OR(BUReporting[[#This Row],[Period]]=4,OR(BUReporting[[#This Row],[Period]]=5,BUReporting[[#This Row],[Period]]=6))))),VLOOKUP(BUReporting[[#This Row],[Program]],'Program MW '!$A$12:$S$22,5,FALSE),VLOOKUP(BUReporting[[#This Row],[Program]],'Program MW '!$A$34:$S$44,5,FALSE))</f>
        <v>#N/A</v>
      </c>
      <c r="H97" s="402" t="e">
        <f>VLOOKUP(BUReporting[[#This Row],[Program]],'Program MW '!$A$34:$S$44,6,FALSE)</f>
        <v>#N/A</v>
      </c>
    </row>
    <row r="98" spans="1:8" ht="15.5" thickTop="1" thickBot="1">
      <c r="A98" s="391">
        <v>5</v>
      </c>
      <c r="B98" s="389" t="s">
        <v>17</v>
      </c>
      <c r="C98" s="404" t="s">
        <v>18</v>
      </c>
      <c r="D98" s="389" t="s">
        <v>19</v>
      </c>
      <c r="E98" s="392">
        <v>8</v>
      </c>
      <c r="F98" s="401" t="s">
        <v>34</v>
      </c>
      <c r="G98" s="390">
        <f>IF(OR(BUReporting[[#This Row],[Period]]=1,OR(BUReporting[[#This Row],[Period]]=2,OR(BUReporting[[#This Row],[Period]]=3,OR(BUReporting[[#This Row],[Period]]=4,OR(BUReporting[[#This Row],[Period]]=5,BUReporting[[#This Row],[Period]]=6))))),VLOOKUP(BUReporting[[#This Row],[Program]],'Program MW '!$A$12:$S$22,5,FALSE),VLOOKUP(BUReporting[[#This Row],[Program]],'Program MW '!$A$34:$S$44,5,FALSE))</f>
        <v>0</v>
      </c>
      <c r="H98" s="402">
        <f>VLOOKUP(BUReporting[[#This Row],[Program]],'Program MW '!$A$34:$S$44,6,FALSE)</f>
        <v>0</v>
      </c>
    </row>
    <row r="99" spans="1:8" ht="15.5" thickTop="1" thickBot="1">
      <c r="A99" s="391">
        <v>6</v>
      </c>
      <c r="B99" s="389" t="s">
        <v>20</v>
      </c>
      <c r="C99" s="404" t="s">
        <v>18</v>
      </c>
      <c r="D99" s="389" t="s">
        <v>9</v>
      </c>
      <c r="E99" s="392">
        <v>8</v>
      </c>
      <c r="F99" s="401" t="s">
        <v>34</v>
      </c>
      <c r="G99" s="390">
        <f>IF(OR(BUReporting[[#This Row],[Period]]=1,OR(BUReporting[[#This Row],[Period]]=2,OR(BUReporting[[#This Row],[Period]]=3,OR(BUReporting[[#This Row],[Period]]=4,OR(BUReporting[[#This Row],[Period]]=5,BUReporting[[#This Row],[Period]]=6))))),VLOOKUP(BUReporting[[#This Row],[Program]],'Program MW '!$A$12:$S$22,5,FALSE),VLOOKUP(BUReporting[[#This Row],[Program]],'Program MW '!$A$34:$S$44,5,FALSE))</f>
        <v>0</v>
      </c>
      <c r="H99" s="402">
        <f>VLOOKUP(BUReporting[[#This Row],[Program]],'Program MW '!$A$34:$S$44,6,FALSE)</f>
        <v>0</v>
      </c>
    </row>
    <row r="100" spans="1:8" ht="15.5" thickTop="1" thickBot="1">
      <c r="A100" s="391">
        <v>7</v>
      </c>
      <c r="B100" s="389" t="s">
        <v>21</v>
      </c>
      <c r="C100" s="404" t="s">
        <v>22</v>
      </c>
      <c r="D100" s="389" t="s">
        <v>19</v>
      </c>
      <c r="E100" s="392">
        <v>8</v>
      </c>
      <c r="F100" s="401" t="s">
        <v>34</v>
      </c>
      <c r="G100" s="390">
        <f>IF(OR(BUReporting[[#This Row],[Period]]=1,OR(BUReporting[[#This Row],[Period]]=2,OR(BUReporting[[#This Row],[Period]]=3,OR(BUReporting[[#This Row],[Period]]=4,OR(BUReporting[[#This Row],[Period]]=5,BUReporting[[#This Row],[Period]]=6))))),VLOOKUP(BUReporting[[#This Row],[Program]],'Program MW '!$A$12:$S$22,5,FALSE),VLOOKUP(BUReporting[[#This Row],[Program]],'Program MW '!$A$34:$S$44,5,FALSE))</f>
        <v>0</v>
      </c>
      <c r="H100" s="402">
        <f>VLOOKUP(BUReporting[[#This Row],[Program]],'Program MW '!$A$34:$S$44,6,FALSE)</f>
        <v>0</v>
      </c>
    </row>
    <row r="101" spans="1:8" ht="15.5" thickTop="1" thickBot="1">
      <c r="A101" s="391">
        <v>8</v>
      </c>
      <c r="B101" s="389" t="s">
        <v>23</v>
      </c>
      <c r="C101" s="404" t="s">
        <v>22</v>
      </c>
      <c r="D101" s="389" t="s">
        <v>9</v>
      </c>
      <c r="E101" s="392">
        <v>8</v>
      </c>
      <c r="F101" s="401" t="s">
        <v>34</v>
      </c>
      <c r="G101" s="390">
        <f>IF(OR(BUReporting[[#This Row],[Period]]=1,OR(BUReporting[[#This Row],[Period]]=2,OR(BUReporting[[#This Row],[Period]]=3,OR(BUReporting[[#This Row],[Period]]=4,OR(BUReporting[[#This Row],[Period]]=5,BUReporting[[#This Row],[Period]]=6))))),VLOOKUP(BUReporting[[#This Row],[Program]],'Program MW '!$A$12:$S$22,5,FALSE),VLOOKUP(BUReporting[[#This Row],[Program]],'Program MW '!$A$34:$S$44,5,FALSE))</f>
        <v>0</v>
      </c>
      <c r="H101" s="402">
        <f>VLOOKUP(BUReporting[[#This Row],[Program]],'Program MW '!$A$34:$S$44,6,FALSE)</f>
        <v>0</v>
      </c>
    </row>
    <row r="102" spans="1:8" ht="15.5" thickTop="1" thickBot="1">
      <c r="A102" s="391">
        <v>9</v>
      </c>
      <c r="B102" s="389" t="s">
        <v>24</v>
      </c>
      <c r="C102" s="404"/>
      <c r="D102" s="389" t="s">
        <v>9</v>
      </c>
      <c r="E102" s="392">
        <v>8</v>
      </c>
      <c r="F102" s="401" t="s">
        <v>34</v>
      </c>
      <c r="G102" s="390">
        <f>IF(OR(BUReporting[[#This Row],[Period]]=1,OR(BUReporting[[#This Row],[Period]]=2,OR(BUReporting[[#This Row],[Period]]=3,OR(BUReporting[[#This Row],[Period]]=4,OR(BUReporting[[#This Row],[Period]]=5,BUReporting[[#This Row],[Period]]=6))))),VLOOKUP(BUReporting[[#This Row],[Program]],'Program MW '!$A$12:$S$22,5,FALSE),VLOOKUP(BUReporting[[#This Row],[Program]],'Program MW '!$A$34:$S$44,5,FALSE))</f>
        <v>0</v>
      </c>
      <c r="H102" s="402">
        <f>VLOOKUP(BUReporting[[#This Row],[Program]],'Program MW '!$A$34:$S$44,6,FALSE)</f>
        <v>0</v>
      </c>
    </row>
    <row r="103" spans="1:8" ht="15.5" thickTop="1" thickBot="1">
      <c r="A103" s="391">
        <v>10</v>
      </c>
      <c r="B103" s="389" t="s">
        <v>25</v>
      </c>
      <c r="C103" s="404"/>
      <c r="D103" s="389" t="s">
        <v>9</v>
      </c>
      <c r="E103" s="392">
        <v>8</v>
      </c>
      <c r="F103" s="401" t="s">
        <v>34</v>
      </c>
      <c r="G103" s="390">
        <f>IF(OR(BUReporting[[#This Row],[Period]]=1,OR(BUReporting[[#This Row],[Period]]=2,OR(BUReporting[[#This Row],[Period]]=3,OR(BUReporting[[#This Row],[Period]]=4,OR(BUReporting[[#This Row],[Period]]=5,BUReporting[[#This Row],[Period]]=6))))),VLOOKUP(BUReporting[[#This Row],[Program]],'Program MW '!$A$12:$S$22,5,FALSE),VLOOKUP(BUReporting[[#This Row],[Program]],'Program MW '!$A$34:$S$44,5,FALSE))</f>
        <v>0</v>
      </c>
      <c r="H103" s="402">
        <f>VLOOKUP(BUReporting[[#This Row],[Program]],'Program MW '!$A$34:$S$44,6,FALSE)</f>
        <v>0</v>
      </c>
    </row>
    <row r="104" spans="1:8" ht="15.5" thickTop="1" thickBot="1">
      <c r="A104" s="391">
        <v>11</v>
      </c>
      <c r="B104" s="389" t="s">
        <v>26</v>
      </c>
      <c r="C104" s="404"/>
      <c r="D104" s="389" t="s">
        <v>9</v>
      </c>
      <c r="E104" s="392">
        <v>8</v>
      </c>
      <c r="F104" s="401" t="s">
        <v>34</v>
      </c>
      <c r="G104" s="390">
        <f>IF(OR(BUReporting[[#This Row],[Period]]=1,OR(BUReporting[[#This Row],[Period]]=2,OR(BUReporting[[#This Row],[Period]]=3,OR(BUReporting[[#This Row],[Period]]=4,OR(BUReporting[[#This Row],[Period]]=5,BUReporting[[#This Row],[Period]]=6))))),VLOOKUP(BUReporting[[#This Row],[Program]],'Program MW '!$A$12:$S$22,5,FALSE),VLOOKUP(BUReporting[[#This Row],[Program]],'Program MW '!$A$34:$S$44,5,FALSE))</f>
        <v>0</v>
      </c>
      <c r="H104" s="402">
        <f>VLOOKUP(BUReporting[[#This Row],[Program]],'Program MW '!$A$34:$S$44,6,FALSE)</f>
        <v>0</v>
      </c>
    </row>
    <row r="105" spans="1:8" ht="13.5" thickTop="1" thickBot="1">
      <c r="A105" s="391">
        <v>12</v>
      </c>
      <c r="B105" s="389" t="s">
        <v>27</v>
      </c>
      <c r="C105" s="388"/>
      <c r="D105" s="389" t="s">
        <v>19</v>
      </c>
      <c r="E105" s="392">
        <v>8</v>
      </c>
      <c r="F105" s="401" t="s">
        <v>34</v>
      </c>
      <c r="G105" s="390">
        <f>IF(OR(BUReporting[[#This Row],[Period]]=1,OR(BUReporting[[#This Row],[Period]]=2,OR(BUReporting[[#This Row],[Period]]=3,OR(BUReporting[[#This Row],[Period]]=4,OR(BUReporting[[#This Row],[Period]]=5,BUReporting[[#This Row],[Period]]=6))))),VLOOKUP(BUReporting[[#This Row],[Program]],'Program MW '!$A$12:$S$22,5,FALSE),VLOOKUP(BUReporting[[#This Row],[Program]],'Program MW '!$A$34:$S$44,5,FALSE))</f>
        <v>0</v>
      </c>
      <c r="H105" s="402">
        <f>VLOOKUP(BUReporting[[#This Row],[Program]],'Program MW '!$A$34:$S$44,6,FALSE)</f>
        <v>0</v>
      </c>
    </row>
    <row r="106" spans="1:8" ht="15.5" thickTop="1" thickBot="1">
      <c r="A106" s="403">
        <v>0</v>
      </c>
      <c r="B106" s="85" t="s">
        <v>8</v>
      </c>
      <c r="C106" s="404"/>
      <c r="D106" s="394" t="s">
        <v>9</v>
      </c>
      <c r="E106" s="399">
        <v>9</v>
      </c>
      <c r="F106" s="400" t="s">
        <v>35</v>
      </c>
      <c r="G106" s="390">
        <f>IF(OR(BUReporting[[#This Row],[Period]]=1,OR(BUReporting[[#This Row],[Period]]=2,OR(BUReporting[[#This Row],[Period]]=2,OR(BUReporting[[#This Row],[Period]]=4,OR(BUReporting[[#This Row],[Period]]=5,BUReporting[[#This Row],[Period]]=6))))),VLOOKUP(BUReporting[[#This Row],[Program]],'Program MW '!$A$9:$S$9,8,FALSE),VLOOKUP(BUReporting[[#This Row],[Program]],'Program MW '!$A$31:$S$31,8,FALSE))</f>
        <v>0</v>
      </c>
      <c r="H106" s="402">
        <f>IF(OR(BUReporting[[#This Row],[Period]]=1,OR(BUReporting[[#This Row],[Period]]=2,OR(BUReporting[[#This Row],[Period]]=3,OR(BUReporting[[#This Row],[Period]]=4,OR(BUReporting[[#This Row],[Period]]=5,BUReporting[[#This Row],[Period]]=6))))),VLOOKUP(BUReporting[[#This Row],[Program]],'Program MW '!$A$9:$S$9,9,FALSE),VLOOKUP(BUReporting[[#This Row],[Program]],'Program MW '!$A$31:$S$31,9,FALSE))</f>
        <v>0</v>
      </c>
    </row>
    <row r="107" spans="1:8" ht="15.5" thickTop="1" thickBot="1">
      <c r="A107" s="391">
        <v>1</v>
      </c>
      <c r="B107" s="389" t="s">
        <v>11</v>
      </c>
      <c r="C107" s="404"/>
      <c r="D107" s="389" t="s">
        <v>9</v>
      </c>
      <c r="E107" s="392">
        <v>9</v>
      </c>
      <c r="F107" s="401" t="s">
        <v>35</v>
      </c>
      <c r="G107" s="390">
        <f>IF(OR(BUReporting[[#This Row],[Period]]=1,OR(BUReporting[[#This Row],[Period]]=2,OR(BUReporting[[#This Row],[Period]]=3,OR(BUReporting[[#This Row],[Period]]=4,OR(BUReporting[[#This Row],[Period]]=5,BUReporting[[#This Row],[Period]]=6))))),VLOOKUP(BUReporting[[#This Row],[Program]],'Program MW '!$A$12:$S$22,8,FALSE),VLOOKUP(BUReporting[[#This Row],[Program]],'Program MW '!$A$34:$S$44,8,FALSE))</f>
        <v>0</v>
      </c>
      <c r="H107" s="402">
        <f>VLOOKUP(BUReporting[[#This Row],[Program]],'Program MW '!$A$34:$S$44,9,FALSE)</f>
        <v>0</v>
      </c>
    </row>
    <row r="108" spans="1:8" ht="15.5" thickTop="1" thickBot="1">
      <c r="A108" s="391">
        <v>2</v>
      </c>
      <c r="B108" s="389" t="s">
        <v>12</v>
      </c>
      <c r="C108" s="404" t="s">
        <v>13</v>
      </c>
      <c r="D108" s="389" t="s">
        <v>9</v>
      </c>
      <c r="E108" s="392">
        <v>9</v>
      </c>
      <c r="F108" s="401" t="s">
        <v>35</v>
      </c>
      <c r="G108" s="390" t="e">
        <f>IF(OR(BUReporting[[#This Row],[Period]]=1,OR(BUReporting[[#This Row],[Period]]=2,OR(BUReporting[[#This Row],[Period]]=3,OR(BUReporting[[#This Row],[Period]]=4,OR(BUReporting[[#This Row],[Period]]=5,BUReporting[[#This Row],[Period]]=6))))),VLOOKUP(BUReporting[[#This Row],[Program]],'Program MW '!$A$12:$S$22,8,FALSE),VLOOKUP(BUReporting[[#This Row],[Program]],'Program MW '!$A$34:$S$44,8,FALSE))</f>
        <v>#N/A</v>
      </c>
      <c r="H108" s="402" t="e">
        <f>VLOOKUP(BUReporting[[#This Row],[Program]],'Program MW '!$A$34:$S$44,9,FALSE)</f>
        <v>#N/A</v>
      </c>
    </row>
    <row r="109" spans="1:8" ht="15.5" thickTop="1" thickBot="1">
      <c r="A109" s="391">
        <v>3</v>
      </c>
      <c r="B109" s="389" t="s">
        <v>14</v>
      </c>
      <c r="C109" s="404"/>
      <c r="D109" s="389" t="s">
        <v>9</v>
      </c>
      <c r="E109" s="392">
        <v>9</v>
      </c>
      <c r="F109" s="401" t="s">
        <v>35</v>
      </c>
      <c r="G109" s="390" t="e">
        <f>IF(OR(BUReporting[[#This Row],[Period]]=1,OR(BUReporting[[#This Row],[Period]]=2,OR(BUReporting[[#This Row],[Period]]=3,OR(BUReporting[[#This Row],[Period]]=4,OR(BUReporting[[#This Row],[Period]]=5,BUReporting[[#This Row],[Period]]=6))))),VLOOKUP(BUReporting[[#This Row],[Program]],'Program MW '!$A$12:$S$22,8,FALSE),VLOOKUP(BUReporting[[#This Row],[Program]],'Program MW '!$A$34:$S$44,8,FALSE))</f>
        <v>#N/A</v>
      </c>
      <c r="H109" s="402" t="e">
        <f>VLOOKUP(BUReporting[[#This Row],[Program]],'Program MW '!$A$34:$S$44,9,FALSE)</f>
        <v>#N/A</v>
      </c>
    </row>
    <row r="110" spans="1:8" ht="15.5" thickTop="1" thickBot="1">
      <c r="A110" s="391">
        <v>4</v>
      </c>
      <c r="B110" s="389" t="s">
        <v>15</v>
      </c>
      <c r="C110" s="404" t="s">
        <v>16</v>
      </c>
      <c r="D110" s="389" t="s">
        <v>9</v>
      </c>
      <c r="E110" s="392">
        <v>9</v>
      </c>
      <c r="F110" s="401" t="s">
        <v>35</v>
      </c>
      <c r="G110" s="390" t="e">
        <f>IF(OR(BUReporting[[#This Row],[Period]]=1,OR(BUReporting[[#This Row],[Period]]=2,OR(BUReporting[[#This Row],[Period]]=3,OR(BUReporting[[#This Row],[Period]]=4,OR(BUReporting[[#This Row],[Period]]=5,BUReporting[[#This Row],[Period]]=6))))),VLOOKUP(BUReporting[[#This Row],[Program]],'Program MW '!$A$12:$S$22,8,FALSE),VLOOKUP(BUReporting[[#This Row],[Program]],'Program MW '!$A$34:$S$44,8,FALSE))</f>
        <v>#N/A</v>
      </c>
      <c r="H110" s="402" t="e">
        <f>VLOOKUP(BUReporting[[#This Row],[Program]],'Program MW '!$A$34:$S$44,9,FALSE)</f>
        <v>#N/A</v>
      </c>
    </row>
    <row r="111" spans="1:8" ht="15.5" thickTop="1" thickBot="1">
      <c r="A111" s="391">
        <v>5</v>
      </c>
      <c r="B111" s="389" t="s">
        <v>17</v>
      </c>
      <c r="C111" s="404" t="s">
        <v>18</v>
      </c>
      <c r="D111" s="389" t="s">
        <v>19</v>
      </c>
      <c r="E111" s="392">
        <v>9</v>
      </c>
      <c r="F111" s="401" t="s">
        <v>35</v>
      </c>
      <c r="G111" s="390">
        <f>IF(OR(BUReporting[[#This Row],[Period]]=1,OR(BUReporting[[#This Row],[Period]]=2,OR(BUReporting[[#This Row],[Period]]=3,OR(BUReporting[[#This Row],[Period]]=4,OR(BUReporting[[#This Row],[Period]]=5,BUReporting[[#This Row],[Period]]=6))))),VLOOKUP(BUReporting[[#This Row],[Program]],'Program MW '!$A$12:$S$22,8,FALSE),VLOOKUP(BUReporting[[#This Row],[Program]],'Program MW '!$A$34:$S$44,8,FALSE))</f>
        <v>0</v>
      </c>
      <c r="H111" s="402">
        <f>VLOOKUP(BUReporting[[#This Row],[Program]],'Program MW '!$A$34:$S$44,9,FALSE)</f>
        <v>0</v>
      </c>
    </row>
    <row r="112" spans="1:8" ht="15.5" thickTop="1" thickBot="1">
      <c r="A112" s="391">
        <v>6</v>
      </c>
      <c r="B112" s="389" t="s">
        <v>20</v>
      </c>
      <c r="C112" s="404" t="s">
        <v>18</v>
      </c>
      <c r="D112" s="389" t="s">
        <v>9</v>
      </c>
      <c r="E112" s="392">
        <v>9</v>
      </c>
      <c r="F112" s="401" t="s">
        <v>35</v>
      </c>
      <c r="G112" s="390">
        <f>IF(OR(BUReporting[[#This Row],[Period]]=1,OR(BUReporting[[#This Row],[Period]]=2,OR(BUReporting[[#This Row],[Period]]=3,OR(BUReporting[[#This Row],[Period]]=4,OR(BUReporting[[#This Row],[Period]]=5,BUReporting[[#This Row],[Period]]=6))))),VLOOKUP(BUReporting[[#This Row],[Program]],'Program MW '!$A$12:$S$22,8,FALSE),VLOOKUP(BUReporting[[#This Row],[Program]],'Program MW '!$A$34:$S$44,8,FALSE))</f>
        <v>0</v>
      </c>
      <c r="H112" s="402">
        <f>VLOOKUP(BUReporting[[#This Row],[Program]],'Program MW '!$A$34:$S$44,9,FALSE)</f>
        <v>0</v>
      </c>
    </row>
    <row r="113" spans="1:8" ht="15.5" thickTop="1" thickBot="1">
      <c r="A113" s="391">
        <v>7</v>
      </c>
      <c r="B113" s="389" t="s">
        <v>21</v>
      </c>
      <c r="C113" s="404" t="s">
        <v>22</v>
      </c>
      <c r="D113" s="389" t="s">
        <v>19</v>
      </c>
      <c r="E113" s="392">
        <v>9</v>
      </c>
      <c r="F113" s="401" t="s">
        <v>35</v>
      </c>
      <c r="G113" s="390">
        <f>IF(OR(BUReporting[[#This Row],[Period]]=1,OR(BUReporting[[#This Row],[Period]]=2,OR(BUReporting[[#This Row],[Period]]=3,OR(BUReporting[[#This Row],[Period]]=4,OR(BUReporting[[#This Row],[Period]]=5,BUReporting[[#This Row],[Period]]=6))))),VLOOKUP(BUReporting[[#This Row],[Program]],'Program MW '!$A$12:$S$22,8,FALSE),VLOOKUP(BUReporting[[#This Row],[Program]],'Program MW '!$A$34:$S$44,8,FALSE))</f>
        <v>0</v>
      </c>
      <c r="H113" s="402">
        <f>VLOOKUP(BUReporting[[#This Row],[Program]],'Program MW '!$A$34:$S$44,9,FALSE)</f>
        <v>0</v>
      </c>
    </row>
    <row r="114" spans="1:8" ht="15.5" thickTop="1" thickBot="1">
      <c r="A114" s="391">
        <v>8</v>
      </c>
      <c r="B114" s="389" t="s">
        <v>23</v>
      </c>
      <c r="C114" s="404" t="s">
        <v>22</v>
      </c>
      <c r="D114" s="389" t="s">
        <v>9</v>
      </c>
      <c r="E114" s="392">
        <v>9</v>
      </c>
      <c r="F114" s="401" t="s">
        <v>35</v>
      </c>
      <c r="G114" s="390">
        <f>IF(OR(BUReporting[[#This Row],[Period]]=1,OR(BUReporting[[#This Row],[Period]]=2,OR(BUReporting[[#This Row],[Period]]=3,OR(BUReporting[[#This Row],[Period]]=4,OR(BUReporting[[#This Row],[Period]]=5,BUReporting[[#This Row],[Period]]=6))))),VLOOKUP(BUReporting[[#This Row],[Program]],'Program MW '!$A$12:$S$22,8,FALSE),VLOOKUP(BUReporting[[#This Row],[Program]],'Program MW '!$A$34:$S$44,8,FALSE))</f>
        <v>0</v>
      </c>
      <c r="H114" s="402">
        <f>VLOOKUP(BUReporting[[#This Row],[Program]],'Program MW '!$A$34:$S$44,9,FALSE)</f>
        <v>0</v>
      </c>
    </row>
    <row r="115" spans="1:8" ht="15.5" thickTop="1" thickBot="1">
      <c r="A115" s="391">
        <v>9</v>
      </c>
      <c r="B115" s="389" t="s">
        <v>24</v>
      </c>
      <c r="C115" s="404"/>
      <c r="D115" s="389" t="s">
        <v>9</v>
      </c>
      <c r="E115" s="392">
        <v>9</v>
      </c>
      <c r="F115" s="401" t="s">
        <v>35</v>
      </c>
      <c r="G115" s="390">
        <f>IF(OR(BUReporting[[#This Row],[Period]]=1,OR(BUReporting[[#This Row],[Period]]=2,OR(BUReporting[[#This Row],[Period]]=3,OR(BUReporting[[#This Row],[Period]]=4,OR(BUReporting[[#This Row],[Period]]=5,BUReporting[[#This Row],[Period]]=6))))),VLOOKUP(BUReporting[[#This Row],[Program]],'Program MW '!$A$12:$S$22,8,FALSE),VLOOKUP(BUReporting[[#This Row],[Program]],'Program MW '!$A$34:$S$44,8,FALSE))</f>
        <v>0</v>
      </c>
      <c r="H115" s="402">
        <f>VLOOKUP(BUReporting[[#This Row],[Program]],'Program MW '!$A$34:$S$44,9,FALSE)</f>
        <v>0</v>
      </c>
    </row>
    <row r="116" spans="1:8" ht="15.5" thickTop="1" thickBot="1">
      <c r="A116" s="391">
        <v>10</v>
      </c>
      <c r="B116" s="389" t="s">
        <v>25</v>
      </c>
      <c r="C116" s="404"/>
      <c r="D116" s="389" t="s">
        <v>9</v>
      </c>
      <c r="E116" s="392">
        <v>9</v>
      </c>
      <c r="F116" s="401" t="s">
        <v>35</v>
      </c>
      <c r="G116" s="390">
        <f>IF(OR(BUReporting[[#This Row],[Period]]=1,OR(BUReporting[[#This Row],[Period]]=2,OR(BUReporting[[#This Row],[Period]]=3,OR(BUReporting[[#This Row],[Period]]=4,OR(BUReporting[[#This Row],[Period]]=5,BUReporting[[#This Row],[Period]]=6))))),VLOOKUP(BUReporting[[#This Row],[Program]],'Program MW '!$A$12:$S$22,8,FALSE),VLOOKUP(BUReporting[[#This Row],[Program]],'Program MW '!$A$34:$S$44,8,FALSE))</f>
        <v>0</v>
      </c>
      <c r="H116" s="402">
        <f>VLOOKUP(BUReporting[[#This Row],[Program]],'Program MW '!$A$34:$S$44,9,FALSE)</f>
        <v>0</v>
      </c>
    </row>
    <row r="117" spans="1:8" ht="15.5" thickTop="1" thickBot="1">
      <c r="A117" s="391">
        <v>11</v>
      </c>
      <c r="B117" s="389" t="s">
        <v>26</v>
      </c>
      <c r="C117" s="404"/>
      <c r="D117" s="389" t="s">
        <v>9</v>
      </c>
      <c r="E117" s="392">
        <v>9</v>
      </c>
      <c r="F117" s="401" t="s">
        <v>35</v>
      </c>
      <c r="G117" s="390">
        <f>IF(OR(BUReporting[[#This Row],[Period]]=1,OR(BUReporting[[#This Row],[Period]]=2,OR(BUReporting[[#This Row],[Period]]=3,OR(BUReporting[[#This Row],[Period]]=4,OR(BUReporting[[#This Row],[Period]]=5,BUReporting[[#This Row],[Period]]=6))))),VLOOKUP(BUReporting[[#This Row],[Program]],'Program MW '!$A$12:$S$22,8,FALSE),VLOOKUP(BUReporting[[#This Row],[Program]],'Program MW '!$A$34:$S$44,8,FALSE))</f>
        <v>0</v>
      </c>
      <c r="H117" s="402">
        <f>VLOOKUP(BUReporting[[#This Row],[Program]],'Program MW '!$A$34:$S$44,9,FALSE)</f>
        <v>0</v>
      </c>
    </row>
    <row r="118" spans="1:8" ht="13.5" thickTop="1" thickBot="1">
      <c r="A118" s="391">
        <v>12</v>
      </c>
      <c r="B118" s="389" t="s">
        <v>27</v>
      </c>
      <c r="C118" s="388"/>
      <c r="D118" s="389" t="s">
        <v>19</v>
      </c>
      <c r="E118" s="392">
        <v>9</v>
      </c>
      <c r="F118" s="401" t="s">
        <v>35</v>
      </c>
      <c r="G118" s="390">
        <f>IF(OR(BUReporting[[#This Row],[Period]]=1,OR(BUReporting[[#This Row],[Period]]=2,OR(BUReporting[[#This Row],[Period]]=3,OR(BUReporting[[#This Row],[Period]]=4,OR(BUReporting[[#This Row],[Period]]=5,BUReporting[[#This Row],[Period]]=6))))),VLOOKUP(BUReporting[[#This Row],[Program]],'Program MW '!$A$12:$S$22,8,FALSE),VLOOKUP(BUReporting[[#This Row],[Program]],'Program MW '!$A$34:$S$44,8,FALSE))</f>
        <v>0</v>
      </c>
      <c r="H118" s="402">
        <f>VLOOKUP(BUReporting[[#This Row],[Program]],'Program MW '!$A$34:$S$44,9,FALSE)</f>
        <v>0</v>
      </c>
    </row>
    <row r="119" spans="1:8" ht="15.5" thickTop="1" thickBot="1">
      <c r="A119" s="403">
        <v>0</v>
      </c>
      <c r="B119" s="85" t="s">
        <v>8</v>
      </c>
      <c r="C119" s="404"/>
      <c r="D119" s="394" t="s">
        <v>9</v>
      </c>
      <c r="E119" s="399">
        <v>10</v>
      </c>
      <c r="F119" s="400" t="s">
        <v>36</v>
      </c>
      <c r="G119" s="390">
        <f>IF(OR(BUReporting[[#This Row],[Period]]=1,OR(BUReporting[[#This Row],[Period]]=2,OR(BUReporting[[#This Row],[Period]]=2,OR(BUReporting[[#This Row],[Period]]=4,OR(BUReporting[[#This Row],[Period]]=5,BUReporting[[#This Row],[Period]]=6))))),VLOOKUP(BUReporting[[#This Row],[Program]],'Program MW '!$A$9:$S$9,11,FALSE),VLOOKUP(BUReporting[[#This Row],[Program]],'Program MW '!$A$31:$S$31,11,FALSE))</f>
        <v>0</v>
      </c>
      <c r="H119" s="402">
        <f>IF(OR(BUReporting[[#This Row],[Period]]=1,OR(BUReporting[[#This Row],[Period]]=2,OR(BUReporting[[#This Row],[Period]]=3,OR(BUReporting[[#This Row],[Period]]=4,OR(BUReporting[[#This Row],[Period]]=5,BUReporting[[#This Row],[Period]]=6))))),VLOOKUP(BUReporting[[#This Row],[Program]],'Program MW '!$A$9:$S$9,12,FALSE),VLOOKUP(BUReporting[[#This Row],[Program]],'Program MW '!$A$31:$S$31,12,FALSE))</f>
        <v>0</v>
      </c>
    </row>
    <row r="120" spans="1:8" ht="15.5" thickTop="1" thickBot="1">
      <c r="A120" s="391">
        <v>1</v>
      </c>
      <c r="B120" s="389" t="s">
        <v>11</v>
      </c>
      <c r="C120" s="404"/>
      <c r="D120" s="389" t="s">
        <v>9</v>
      </c>
      <c r="E120" s="392">
        <v>10</v>
      </c>
      <c r="F120" s="401" t="s">
        <v>36</v>
      </c>
      <c r="G120" s="390">
        <f>IF(OR(BUReporting[[#This Row],[Period]]=1,OR(BUReporting[[#This Row],[Period]]=2,OR(BUReporting[[#This Row],[Period]]=3,OR(BUReporting[[#This Row],[Period]]=4,OR(BUReporting[[#This Row],[Period]]=5,BUReporting[[#This Row],[Period]]=6))))),VLOOKUP(BUReporting[[#This Row],[Program]],'Program MW '!$A$12:$S$22,11,FALSE),VLOOKUP(BUReporting[[#This Row],[Program]],'Program MW '!$A$34:$S$44,11,FALSE))</f>
        <v>0</v>
      </c>
      <c r="H120" s="402">
        <f>VLOOKUP(BUReporting[[#This Row],[Program]],'Program MW '!$A$34:$S$44,12,FALSE)</f>
        <v>0</v>
      </c>
    </row>
    <row r="121" spans="1:8" ht="15.5" thickTop="1" thickBot="1">
      <c r="A121" s="391">
        <v>2</v>
      </c>
      <c r="B121" s="389" t="s">
        <v>12</v>
      </c>
      <c r="C121" s="404" t="s">
        <v>13</v>
      </c>
      <c r="D121" s="389" t="s">
        <v>9</v>
      </c>
      <c r="E121" s="392">
        <v>10</v>
      </c>
      <c r="F121" s="401" t="s">
        <v>36</v>
      </c>
      <c r="G121" s="390" t="e">
        <f>IF(OR(BUReporting[[#This Row],[Period]]=1,OR(BUReporting[[#This Row],[Period]]=2,OR(BUReporting[[#This Row],[Period]]=3,OR(BUReporting[[#This Row],[Period]]=4,OR(BUReporting[[#This Row],[Period]]=5,BUReporting[[#This Row],[Period]]=6))))),VLOOKUP(BUReporting[[#This Row],[Program]],'Program MW '!$A$12:$S$22,11,FALSE),VLOOKUP(BUReporting[[#This Row],[Program]],'Program MW '!$A$34:$S$44,11,FALSE))</f>
        <v>#N/A</v>
      </c>
      <c r="H121" s="402" t="e">
        <f>VLOOKUP(BUReporting[[#This Row],[Program]],'Program MW '!$A$34:$S$44,12,FALSE)</f>
        <v>#N/A</v>
      </c>
    </row>
    <row r="122" spans="1:8" ht="15.5" thickTop="1" thickBot="1">
      <c r="A122" s="391">
        <v>3</v>
      </c>
      <c r="B122" s="389" t="s">
        <v>14</v>
      </c>
      <c r="C122" s="404"/>
      <c r="D122" s="389" t="s">
        <v>9</v>
      </c>
      <c r="E122" s="392">
        <v>10</v>
      </c>
      <c r="F122" s="401" t="s">
        <v>36</v>
      </c>
      <c r="G122" s="390" t="e">
        <f>IF(OR(BUReporting[[#This Row],[Period]]=1,OR(BUReporting[[#This Row],[Period]]=2,OR(BUReporting[[#This Row],[Period]]=3,OR(BUReporting[[#This Row],[Period]]=4,OR(BUReporting[[#This Row],[Period]]=5,BUReporting[[#This Row],[Period]]=6))))),VLOOKUP(BUReporting[[#This Row],[Program]],'Program MW '!$A$12:$S$22,11,FALSE),VLOOKUP(BUReporting[[#This Row],[Program]],'Program MW '!$A$34:$S$44,11,FALSE))</f>
        <v>#N/A</v>
      </c>
      <c r="H122" s="402" t="e">
        <f>VLOOKUP(BUReporting[[#This Row],[Program]],'Program MW '!$A$34:$S$44,12,FALSE)</f>
        <v>#N/A</v>
      </c>
    </row>
    <row r="123" spans="1:8" ht="15.5" thickTop="1" thickBot="1">
      <c r="A123" s="391">
        <v>4</v>
      </c>
      <c r="B123" s="389" t="s">
        <v>15</v>
      </c>
      <c r="C123" s="404" t="s">
        <v>16</v>
      </c>
      <c r="D123" s="389" t="s">
        <v>9</v>
      </c>
      <c r="E123" s="392">
        <v>10</v>
      </c>
      <c r="F123" s="401" t="s">
        <v>36</v>
      </c>
      <c r="G123" s="390" t="e">
        <f>IF(OR(BUReporting[[#This Row],[Period]]=1,OR(BUReporting[[#This Row],[Period]]=2,OR(BUReporting[[#This Row],[Period]]=3,OR(BUReporting[[#This Row],[Period]]=4,OR(BUReporting[[#This Row],[Period]]=5,BUReporting[[#This Row],[Period]]=6))))),VLOOKUP(BUReporting[[#This Row],[Program]],'Program MW '!$A$12:$S$22,11,FALSE),VLOOKUP(BUReporting[[#This Row],[Program]],'Program MW '!$A$34:$S$44,11,FALSE))</f>
        <v>#N/A</v>
      </c>
      <c r="H123" s="402" t="e">
        <f>VLOOKUP(BUReporting[[#This Row],[Program]],'Program MW '!$A$34:$S$44,12,FALSE)</f>
        <v>#N/A</v>
      </c>
    </row>
    <row r="124" spans="1:8" ht="15.5" thickTop="1" thickBot="1">
      <c r="A124" s="391">
        <v>5</v>
      </c>
      <c r="B124" s="389" t="s">
        <v>17</v>
      </c>
      <c r="C124" s="404" t="s">
        <v>18</v>
      </c>
      <c r="D124" s="389" t="s">
        <v>19</v>
      </c>
      <c r="E124" s="392">
        <v>10</v>
      </c>
      <c r="F124" s="401" t="s">
        <v>36</v>
      </c>
      <c r="G124" s="390">
        <f>IF(OR(BUReporting[[#This Row],[Period]]=1,OR(BUReporting[[#This Row],[Period]]=2,OR(BUReporting[[#This Row],[Period]]=3,OR(BUReporting[[#This Row],[Period]]=4,OR(BUReporting[[#This Row],[Period]]=5,BUReporting[[#This Row],[Period]]=6))))),VLOOKUP(BUReporting[[#This Row],[Program]],'Program MW '!$A$12:$S$22,11,FALSE),VLOOKUP(BUReporting[[#This Row],[Program]],'Program MW '!$A$34:$S$44,11,FALSE))</f>
        <v>0</v>
      </c>
      <c r="H124" s="402">
        <f>VLOOKUP(BUReporting[[#This Row],[Program]],'Program MW '!$A$34:$S$44,12,FALSE)</f>
        <v>0</v>
      </c>
    </row>
    <row r="125" spans="1:8" ht="15.5" thickTop="1" thickBot="1">
      <c r="A125" s="391">
        <v>6</v>
      </c>
      <c r="B125" s="389" t="s">
        <v>20</v>
      </c>
      <c r="C125" s="404" t="s">
        <v>18</v>
      </c>
      <c r="D125" s="389" t="s">
        <v>9</v>
      </c>
      <c r="E125" s="392">
        <v>10</v>
      </c>
      <c r="F125" s="401" t="s">
        <v>36</v>
      </c>
      <c r="G125" s="390">
        <f>IF(OR(BUReporting[[#This Row],[Period]]=1,OR(BUReporting[[#This Row],[Period]]=2,OR(BUReporting[[#This Row],[Period]]=3,OR(BUReporting[[#This Row],[Period]]=4,OR(BUReporting[[#This Row],[Period]]=5,BUReporting[[#This Row],[Period]]=6))))),VLOOKUP(BUReporting[[#This Row],[Program]],'Program MW '!$A$12:$S$22,11,FALSE),VLOOKUP(BUReporting[[#This Row],[Program]],'Program MW '!$A$34:$S$44,11,FALSE))</f>
        <v>0</v>
      </c>
      <c r="H125" s="402">
        <f>VLOOKUP(BUReporting[[#This Row],[Program]],'Program MW '!$A$34:$S$44,12,FALSE)</f>
        <v>0</v>
      </c>
    </row>
    <row r="126" spans="1:8" ht="15.5" thickTop="1" thickBot="1">
      <c r="A126" s="391">
        <v>7</v>
      </c>
      <c r="B126" s="389" t="s">
        <v>21</v>
      </c>
      <c r="C126" s="404" t="s">
        <v>22</v>
      </c>
      <c r="D126" s="389" t="s">
        <v>19</v>
      </c>
      <c r="E126" s="392">
        <v>10</v>
      </c>
      <c r="F126" s="401" t="s">
        <v>36</v>
      </c>
      <c r="G126" s="390">
        <f>IF(OR(BUReporting[[#This Row],[Period]]=1,OR(BUReporting[[#This Row],[Period]]=2,OR(BUReporting[[#This Row],[Period]]=3,OR(BUReporting[[#This Row],[Period]]=4,OR(BUReporting[[#This Row],[Period]]=5,BUReporting[[#This Row],[Period]]=6))))),VLOOKUP(BUReporting[[#This Row],[Program]],'Program MW '!$A$12:$S$22,11,FALSE),VLOOKUP(BUReporting[[#This Row],[Program]],'Program MW '!$A$34:$S$44,11,FALSE))</f>
        <v>0</v>
      </c>
      <c r="H126" s="402">
        <f>VLOOKUP(BUReporting[[#This Row],[Program]],'Program MW '!$A$34:$S$44,12,FALSE)</f>
        <v>0</v>
      </c>
    </row>
    <row r="127" spans="1:8" ht="15.5" thickTop="1" thickBot="1">
      <c r="A127" s="391">
        <v>8</v>
      </c>
      <c r="B127" s="389" t="s">
        <v>23</v>
      </c>
      <c r="C127" s="404" t="s">
        <v>22</v>
      </c>
      <c r="D127" s="389" t="s">
        <v>9</v>
      </c>
      <c r="E127" s="392">
        <v>10</v>
      </c>
      <c r="F127" s="401" t="s">
        <v>36</v>
      </c>
      <c r="G127" s="390">
        <f>IF(OR(BUReporting[[#This Row],[Period]]=1,OR(BUReporting[[#This Row],[Period]]=2,OR(BUReporting[[#This Row],[Period]]=3,OR(BUReporting[[#This Row],[Period]]=4,OR(BUReporting[[#This Row],[Period]]=5,BUReporting[[#This Row],[Period]]=6))))),VLOOKUP(BUReporting[[#This Row],[Program]],'Program MW '!$A$12:$S$22,11,FALSE),VLOOKUP(BUReporting[[#This Row],[Program]],'Program MW '!$A$34:$S$44,11,FALSE))</f>
        <v>0</v>
      </c>
      <c r="H127" s="402">
        <f>VLOOKUP(BUReporting[[#This Row],[Program]],'Program MW '!$A$34:$S$44,12,FALSE)</f>
        <v>0</v>
      </c>
    </row>
    <row r="128" spans="1:8" ht="15.5" thickTop="1" thickBot="1">
      <c r="A128" s="391">
        <v>9</v>
      </c>
      <c r="B128" s="389" t="s">
        <v>24</v>
      </c>
      <c r="C128" s="404"/>
      <c r="D128" s="389" t="s">
        <v>9</v>
      </c>
      <c r="E128" s="392">
        <v>10</v>
      </c>
      <c r="F128" s="401" t="s">
        <v>36</v>
      </c>
      <c r="G128" s="390">
        <f>IF(OR(BUReporting[[#This Row],[Period]]=1,OR(BUReporting[[#This Row],[Period]]=2,OR(BUReporting[[#This Row],[Period]]=3,OR(BUReporting[[#This Row],[Period]]=4,OR(BUReporting[[#This Row],[Period]]=5,BUReporting[[#This Row],[Period]]=6))))),VLOOKUP(BUReporting[[#This Row],[Program]],'Program MW '!$A$12:$S$22,11,FALSE),VLOOKUP(BUReporting[[#This Row],[Program]],'Program MW '!$A$34:$S$44,11,FALSE))</f>
        <v>0</v>
      </c>
      <c r="H128" s="402">
        <f>VLOOKUP(BUReporting[[#This Row],[Program]],'Program MW '!$A$34:$S$44,12,FALSE)</f>
        <v>0</v>
      </c>
    </row>
    <row r="129" spans="1:8" ht="15.5" thickTop="1" thickBot="1">
      <c r="A129" s="391">
        <v>10</v>
      </c>
      <c r="B129" s="389" t="s">
        <v>25</v>
      </c>
      <c r="C129" s="404"/>
      <c r="D129" s="389" t="s">
        <v>9</v>
      </c>
      <c r="E129" s="392">
        <v>10</v>
      </c>
      <c r="F129" s="401" t="s">
        <v>36</v>
      </c>
      <c r="G129" s="390">
        <f>IF(OR(BUReporting[[#This Row],[Period]]=1,OR(BUReporting[[#This Row],[Period]]=2,OR(BUReporting[[#This Row],[Period]]=3,OR(BUReporting[[#This Row],[Period]]=4,OR(BUReporting[[#This Row],[Period]]=5,BUReporting[[#This Row],[Period]]=6))))),VLOOKUP(BUReporting[[#This Row],[Program]],'Program MW '!$A$12:$S$22,11,FALSE),VLOOKUP(BUReporting[[#This Row],[Program]],'Program MW '!$A$34:$S$44,11,FALSE))</f>
        <v>0</v>
      </c>
      <c r="H129" s="402">
        <f>VLOOKUP(BUReporting[[#This Row],[Program]],'Program MW '!$A$34:$S$44,12,FALSE)</f>
        <v>0</v>
      </c>
    </row>
    <row r="130" spans="1:8" ht="15.5" thickTop="1" thickBot="1">
      <c r="A130" s="391">
        <v>11</v>
      </c>
      <c r="B130" s="389" t="s">
        <v>26</v>
      </c>
      <c r="C130" s="404"/>
      <c r="D130" s="389" t="s">
        <v>9</v>
      </c>
      <c r="E130" s="392">
        <v>10</v>
      </c>
      <c r="F130" s="401" t="s">
        <v>36</v>
      </c>
      <c r="G130" s="390">
        <f>IF(OR(BUReporting[[#This Row],[Period]]=1,OR(BUReporting[[#This Row],[Period]]=2,OR(BUReporting[[#This Row],[Period]]=3,OR(BUReporting[[#This Row],[Period]]=4,OR(BUReporting[[#This Row],[Period]]=5,BUReporting[[#This Row],[Period]]=6))))),VLOOKUP(BUReporting[[#This Row],[Program]],'Program MW '!$A$12:$S$22,11,FALSE),VLOOKUP(BUReporting[[#This Row],[Program]],'Program MW '!$A$34:$S$44,11,FALSE))</f>
        <v>0</v>
      </c>
      <c r="H130" s="402">
        <f>VLOOKUP(BUReporting[[#This Row],[Program]],'Program MW '!$A$34:$S$44,12,FALSE)</f>
        <v>0</v>
      </c>
    </row>
    <row r="131" spans="1:8" ht="13.5" thickTop="1" thickBot="1">
      <c r="A131" s="391">
        <v>12</v>
      </c>
      <c r="B131" s="389" t="s">
        <v>27</v>
      </c>
      <c r="C131" s="388"/>
      <c r="D131" s="389" t="s">
        <v>19</v>
      </c>
      <c r="E131" s="392">
        <v>10</v>
      </c>
      <c r="F131" s="401" t="s">
        <v>36</v>
      </c>
      <c r="G131" s="390">
        <f>IF(OR(BUReporting[[#This Row],[Period]]=1,OR(BUReporting[[#This Row],[Period]]=2,OR(BUReporting[[#This Row],[Period]]=3,OR(BUReporting[[#This Row],[Period]]=4,OR(BUReporting[[#This Row],[Period]]=5,BUReporting[[#This Row],[Period]]=6))))),VLOOKUP(BUReporting[[#This Row],[Program]],'Program MW '!$A$12:$S$22,11,FALSE),VLOOKUP(BUReporting[[#This Row],[Program]],'Program MW '!$A$34:$S$44,11,FALSE))</f>
        <v>0</v>
      </c>
      <c r="H131" s="402">
        <f>VLOOKUP(BUReporting[[#This Row],[Program]],'Program MW '!$A$34:$S$44,12,FALSE)</f>
        <v>0</v>
      </c>
    </row>
    <row r="132" spans="1:8" ht="15.5" thickTop="1" thickBot="1">
      <c r="A132" s="403">
        <v>0</v>
      </c>
      <c r="B132" s="85" t="s">
        <v>8</v>
      </c>
      <c r="C132" s="404"/>
      <c r="D132" s="394" t="s">
        <v>9</v>
      </c>
      <c r="E132" s="399">
        <v>11</v>
      </c>
      <c r="F132" s="400" t="s">
        <v>37</v>
      </c>
      <c r="G132" s="390">
        <f>IF(OR(BUReporting[[#This Row],[Period]]=1,OR(BUReporting[[#This Row],[Period]]=2,OR(BUReporting[[#This Row],[Period]]=2,OR(BUReporting[[#This Row],[Period]]=4,OR(BUReporting[[#This Row],[Period]]=5,BUReporting[[#This Row],[Period]]=6))))),VLOOKUP(BUReporting[[#This Row],[Program]],'Program MW '!$A$9:$S$9,14,FALSE),VLOOKUP(BUReporting[[#This Row],[Program]],'Program MW '!$A$31:$S$31,14,FALSE))</f>
        <v>0</v>
      </c>
      <c r="H132" s="402">
        <f>IF(OR(BUReporting[[#This Row],[Period]]=1,OR(BUReporting[[#This Row],[Period]]=2,OR(BUReporting[[#This Row],[Period]]=3,OR(BUReporting[[#This Row],[Period]]=4,OR(BUReporting[[#This Row],[Period]]=5,BUReporting[[#This Row],[Period]]=6))))),VLOOKUP(BUReporting[[#This Row],[Program]],'Program MW '!$A$9:$S$9,15,FALSE),VLOOKUP(BUReporting[[#This Row],[Program]],'Program MW '!$A$31:$S$31,15,FALSE))</f>
        <v>0</v>
      </c>
    </row>
    <row r="133" spans="1:8" ht="15.5" thickTop="1" thickBot="1">
      <c r="A133" s="391">
        <v>1</v>
      </c>
      <c r="B133" s="389" t="s">
        <v>11</v>
      </c>
      <c r="C133" s="404"/>
      <c r="D133" s="389" t="s">
        <v>9</v>
      </c>
      <c r="E133" s="392">
        <v>11</v>
      </c>
      <c r="F133" s="401" t="s">
        <v>37</v>
      </c>
      <c r="G133" s="390">
        <f>IF(OR(BUReporting[[#This Row],[Period]]=1,OR(BUReporting[[#This Row],[Period]]=2,OR(BUReporting[[#This Row],[Period]]=3,OR(BUReporting[[#This Row],[Period]]=4,OR(BUReporting[[#This Row],[Period]]=5,BUReporting[[#This Row],[Period]]=6))))),VLOOKUP(BUReporting[[#This Row],[Program]],'Program MW '!$A$12:$S$22,14,FALSE),VLOOKUP(BUReporting[[#This Row],[Program]],'Program MW '!$A$34:$S$44,14,FALSE))</f>
        <v>0</v>
      </c>
      <c r="H133" s="402">
        <f>VLOOKUP(BUReporting[[#This Row],[Program]],'Program MW '!$A$34:$S$44,15,FALSE)</f>
        <v>0</v>
      </c>
    </row>
    <row r="134" spans="1:8" ht="15.5" thickTop="1" thickBot="1">
      <c r="A134" s="391">
        <v>2</v>
      </c>
      <c r="B134" s="389" t="s">
        <v>12</v>
      </c>
      <c r="C134" s="404" t="s">
        <v>13</v>
      </c>
      <c r="D134" s="389" t="s">
        <v>9</v>
      </c>
      <c r="E134" s="392">
        <v>11</v>
      </c>
      <c r="F134" s="401" t="s">
        <v>37</v>
      </c>
      <c r="G134" s="390" t="e">
        <f>IF(OR(BUReporting[[#This Row],[Period]]=1,OR(BUReporting[[#This Row],[Period]]=2,OR(BUReporting[[#This Row],[Period]]=3,OR(BUReporting[[#This Row],[Period]]=4,OR(BUReporting[[#This Row],[Period]]=5,BUReporting[[#This Row],[Period]]=6))))),VLOOKUP(BUReporting[[#This Row],[Program]],'Program MW '!$A$12:$S$22,14,FALSE),VLOOKUP(BUReporting[[#This Row],[Program]],'Program MW '!$A$34:$S$44,14,FALSE))</f>
        <v>#N/A</v>
      </c>
      <c r="H134" s="402" t="e">
        <f>VLOOKUP(BUReporting[[#This Row],[Program]],'Program MW '!$A$34:$S$44,15,FALSE)</f>
        <v>#N/A</v>
      </c>
    </row>
    <row r="135" spans="1:8" ht="15.5" thickTop="1" thickBot="1">
      <c r="A135" s="391">
        <v>3</v>
      </c>
      <c r="B135" s="389" t="s">
        <v>14</v>
      </c>
      <c r="C135" s="404"/>
      <c r="D135" s="389" t="s">
        <v>9</v>
      </c>
      <c r="E135" s="392">
        <v>11</v>
      </c>
      <c r="F135" s="401" t="s">
        <v>37</v>
      </c>
      <c r="G135" s="390" t="e">
        <f>IF(OR(BUReporting[[#This Row],[Period]]=1,OR(BUReporting[[#This Row],[Period]]=2,OR(BUReporting[[#This Row],[Period]]=3,OR(BUReporting[[#This Row],[Period]]=4,OR(BUReporting[[#This Row],[Period]]=5,BUReporting[[#This Row],[Period]]=6))))),VLOOKUP(BUReporting[[#This Row],[Program]],'Program MW '!$A$12:$S$22,14,FALSE),VLOOKUP(BUReporting[[#This Row],[Program]],'Program MW '!$A$34:$S$44,14,FALSE))</f>
        <v>#N/A</v>
      </c>
      <c r="H135" s="402" t="e">
        <f>VLOOKUP(BUReporting[[#This Row],[Program]],'Program MW '!$A$34:$S$44,15,FALSE)</f>
        <v>#N/A</v>
      </c>
    </row>
    <row r="136" spans="1:8" ht="15.5" thickTop="1" thickBot="1">
      <c r="A136" s="391">
        <v>4</v>
      </c>
      <c r="B136" s="389" t="s">
        <v>15</v>
      </c>
      <c r="C136" s="404" t="s">
        <v>16</v>
      </c>
      <c r="D136" s="389" t="s">
        <v>9</v>
      </c>
      <c r="E136" s="392">
        <v>11</v>
      </c>
      <c r="F136" s="401" t="s">
        <v>37</v>
      </c>
      <c r="G136" s="390" t="e">
        <f>IF(OR(BUReporting[[#This Row],[Period]]=1,OR(BUReporting[[#This Row],[Period]]=2,OR(BUReporting[[#This Row],[Period]]=3,OR(BUReporting[[#This Row],[Period]]=4,OR(BUReporting[[#This Row],[Period]]=5,BUReporting[[#This Row],[Period]]=6))))),VLOOKUP(BUReporting[[#This Row],[Program]],'Program MW '!$A$12:$S$22,14,FALSE),VLOOKUP(BUReporting[[#This Row],[Program]],'Program MW '!$A$34:$S$44,14,FALSE))</f>
        <v>#N/A</v>
      </c>
      <c r="H136" s="402" t="e">
        <f>VLOOKUP(BUReporting[[#This Row],[Program]],'Program MW '!$A$34:$S$44,15,FALSE)</f>
        <v>#N/A</v>
      </c>
    </row>
    <row r="137" spans="1:8" ht="15.5" thickTop="1" thickBot="1">
      <c r="A137" s="391">
        <v>5</v>
      </c>
      <c r="B137" s="389" t="s">
        <v>17</v>
      </c>
      <c r="C137" s="404" t="s">
        <v>18</v>
      </c>
      <c r="D137" s="389" t="s">
        <v>19</v>
      </c>
      <c r="E137" s="392">
        <v>11</v>
      </c>
      <c r="F137" s="401" t="s">
        <v>37</v>
      </c>
      <c r="G137" s="390">
        <f>IF(OR(BUReporting[[#This Row],[Period]]=1,OR(BUReporting[[#This Row],[Period]]=2,OR(BUReporting[[#This Row],[Period]]=3,OR(BUReporting[[#This Row],[Period]]=4,OR(BUReporting[[#This Row],[Period]]=5,BUReporting[[#This Row],[Period]]=6))))),VLOOKUP(BUReporting[[#This Row],[Program]],'Program MW '!$A$12:$S$22,14,FALSE),VLOOKUP(BUReporting[[#This Row],[Program]],'Program MW '!$A$34:$S$44,14,FALSE))</f>
        <v>0</v>
      </c>
      <c r="H137" s="402">
        <f>VLOOKUP(BUReporting[[#This Row],[Program]],'Program MW '!$A$34:$S$44,15,FALSE)</f>
        <v>0</v>
      </c>
    </row>
    <row r="138" spans="1:8" ht="15.5" thickTop="1" thickBot="1">
      <c r="A138" s="391">
        <v>6</v>
      </c>
      <c r="B138" s="389" t="s">
        <v>20</v>
      </c>
      <c r="C138" s="404" t="s">
        <v>18</v>
      </c>
      <c r="D138" s="389" t="s">
        <v>9</v>
      </c>
      <c r="E138" s="392">
        <v>11</v>
      </c>
      <c r="F138" s="401" t="s">
        <v>37</v>
      </c>
      <c r="G138" s="390">
        <f>IF(OR(BUReporting[[#This Row],[Period]]=1,OR(BUReporting[[#This Row],[Period]]=2,OR(BUReporting[[#This Row],[Period]]=3,OR(BUReporting[[#This Row],[Period]]=4,OR(BUReporting[[#This Row],[Period]]=5,BUReporting[[#This Row],[Period]]=6))))),VLOOKUP(BUReporting[[#This Row],[Program]],'Program MW '!$A$12:$S$22,14,FALSE),VLOOKUP(BUReporting[[#This Row],[Program]],'Program MW '!$A$34:$S$44,14,FALSE))</f>
        <v>0</v>
      </c>
      <c r="H138" s="402">
        <f>VLOOKUP(BUReporting[[#This Row],[Program]],'Program MW '!$A$34:$S$44,15,FALSE)</f>
        <v>0</v>
      </c>
    </row>
    <row r="139" spans="1:8" ht="15.5" thickTop="1" thickBot="1">
      <c r="A139" s="391">
        <v>7</v>
      </c>
      <c r="B139" s="389" t="s">
        <v>21</v>
      </c>
      <c r="C139" s="404" t="s">
        <v>22</v>
      </c>
      <c r="D139" s="389" t="s">
        <v>19</v>
      </c>
      <c r="E139" s="392">
        <v>11</v>
      </c>
      <c r="F139" s="401" t="s">
        <v>37</v>
      </c>
      <c r="G139" s="390">
        <f>IF(OR(BUReporting[[#This Row],[Period]]=1,OR(BUReporting[[#This Row],[Period]]=2,OR(BUReporting[[#This Row],[Period]]=3,OR(BUReporting[[#This Row],[Period]]=4,OR(BUReporting[[#This Row],[Period]]=5,BUReporting[[#This Row],[Period]]=6))))),VLOOKUP(BUReporting[[#This Row],[Program]],'Program MW '!$A$12:$S$22,14,FALSE),VLOOKUP(BUReporting[[#This Row],[Program]],'Program MW '!$A$34:$S$44,14,FALSE))</f>
        <v>0</v>
      </c>
      <c r="H139" s="402">
        <f>VLOOKUP(BUReporting[[#This Row],[Program]],'Program MW '!$A$34:$S$44,15,FALSE)</f>
        <v>0</v>
      </c>
    </row>
    <row r="140" spans="1:8" ht="15.5" thickTop="1" thickBot="1">
      <c r="A140" s="391">
        <v>8</v>
      </c>
      <c r="B140" s="389" t="s">
        <v>23</v>
      </c>
      <c r="C140" s="404" t="s">
        <v>22</v>
      </c>
      <c r="D140" s="389" t="s">
        <v>9</v>
      </c>
      <c r="E140" s="392">
        <v>11</v>
      </c>
      <c r="F140" s="401" t="s">
        <v>37</v>
      </c>
      <c r="G140" s="390">
        <f>IF(OR(BUReporting[[#This Row],[Period]]=1,OR(BUReporting[[#This Row],[Period]]=2,OR(BUReporting[[#This Row],[Period]]=3,OR(BUReporting[[#This Row],[Period]]=4,OR(BUReporting[[#This Row],[Period]]=5,BUReporting[[#This Row],[Period]]=6))))),VLOOKUP(BUReporting[[#This Row],[Program]],'Program MW '!$A$12:$S$22,14,FALSE),VLOOKUP(BUReporting[[#This Row],[Program]],'Program MW '!$A$34:$S$44,14,FALSE))</f>
        <v>0</v>
      </c>
      <c r="H140" s="402">
        <f>VLOOKUP(BUReporting[[#This Row],[Program]],'Program MW '!$A$34:$S$44,15,FALSE)</f>
        <v>0</v>
      </c>
    </row>
    <row r="141" spans="1:8" ht="15.5" thickTop="1" thickBot="1">
      <c r="A141" s="391">
        <v>9</v>
      </c>
      <c r="B141" s="389" t="s">
        <v>24</v>
      </c>
      <c r="C141" s="404"/>
      <c r="D141" s="389" t="s">
        <v>9</v>
      </c>
      <c r="E141" s="392">
        <v>11</v>
      </c>
      <c r="F141" s="401" t="s">
        <v>37</v>
      </c>
      <c r="G141" s="390">
        <f>IF(OR(BUReporting[[#This Row],[Period]]=1,OR(BUReporting[[#This Row],[Period]]=2,OR(BUReporting[[#This Row],[Period]]=3,OR(BUReporting[[#This Row],[Period]]=4,OR(BUReporting[[#This Row],[Period]]=5,BUReporting[[#This Row],[Period]]=6))))),VLOOKUP(BUReporting[[#This Row],[Program]],'Program MW '!$A$12:$S$22,14,FALSE),VLOOKUP(BUReporting[[#This Row],[Program]],'Program MW '!$A$34:$S$44,14,FALSE))</f>
        <v>0</v>
      </c>
      <c r="H141" s="402">
        <f>VLOOKUP(BUReporting[[#This Row],[Program]],'Program MW '!$A$34:$S$44,15,FALSE)</f>
        <v>0</v>
      </c>
    </row>
    <row r="142" spans="1:8" ht="15.5" thickTop="1" thickBot="1">
      <c r="A142" s="391">
        <v>10</v>
      </c>
      <c r="B142" s="389" t="s">
        <v>25</v>
      </c>
      <c r="C142" s="404"/>
      <c r="D142" s="389" t="s">
        <v>9</v>
      </c>
      <c r="E142" s="392">
        <v>11</v>
      </c>
      <c r="F142" s="401" t="s">
        <v>37</v>
      </c>
      <c r="G142" s="390">
        <f>IF(OR(BUReporting[[#This Row],[Period]]=1,OR(BUReporting[[#This Row],[Period]]=2,OR(BUReporting[[#This Row],[Period]]=3,OR(BUReporting[[#This Row],[Period]]=4,OR(BUReporting[[#This Row],[Period]]=5,BUReporting[[#This Row],[Period]]=6))))),VLOOKUP(BUReporting[[#This Row],[Program]],'Program MW '!$A$12:$S$22,14,FALSE),VLOOKUP(BUReporting[[#This Row],[Program]],'Program MW '!$A$34:$S$44,14,FALSE))</f>
        <v>0</v>
      </c>
      <c r="H142" s="402">
        <f>VLOOKUP(BUReporting[[#This Row],[Program]],'Program MW '!$A$34:$S$44,15,FALSE)</f>
        <v>0</v>
      </c>
    </row>
    <row r="143" spans="1:8" ht="15.5" thickTop="1" thickBot="1">
      <c r="A143" s="391">
        <v>11</v>
      </c>
      <c r="B143" s="389" t="s">
        <v>26</v>
      </c>
      <c r="C143" s="404"/>
      <c r="D143" s="389" t="s">
        <v>9</v>
      </c>
      <c r="E143" s="392">
        <v>11</v>
      </c>
      <c r="F143" s="401" t="s">
        <v>37</v>
      </c>
      <c r="G143" s="390">
        <f>IF(OR(BUReporting[[#This Row],[Period]]=1,OR(BUReporting[[#This Row],[Period]]=2,OR(BUReporting[[#This Row],[Period]]=3,OR(BUReporting[[#This Row],[Period]]=4,OR(BUReporting[[#This Row],[Period]]=5,BUReporting[[#This Row],[Period]]=6))))),VLOOKUP(BUReporting[[#This Row],[Program]],'Program MW '!$A$12:$S$22,14,FALSE),VLOOKUP(BUReporting[[#This Row],[Program]],'Program MW '!$A$34:$S$44,14,FALSE))</f>
        <v>0</v>
      </c>
      <c r="H143" s="402">
        <f>VLOOKUP(BUReporting[[#This Row],[Program]],'Program MW '!$A$34:$S$44,15,FALSE)</f>
        <v>0</v>
      </c>
    </row>
    <row r="144" spans="1:8" ht="13.5" thickTop="1" thickBot="1">
      <c r="A144" s="391">
        <v>12</v>
      </c>
      <c r="B144" s="389" t="s">
        <v>27</v>
      </c>
      <c r="C144" s="388"/>
      <c r="D144" s="389" t="s">
        <v>19</v>
      </c>
      <c r="E144" s="392">
        <v>11</v>
      </c>
      <c r="F144" s="401" t="s">
        <v>37</v>
      </c>
      <c r="G144" s="390">
        <f>IF(OR(BUReporting[[#This Row],[Period]]=1,OR(BUReporting[[#This Row],[Period]]=2,OR(BUReporting[[#This Row],[Period]]=3,OR(BUReporting[[#This Row],[Period]]=4,OR(BUReporting[[#This Row],[Period]]=5,BUReporting[[#This Row],[Period]]=6))))),VLOOKUP(BUReporting[[#This Row],[Program]],'Program MW '!$A$12:$S$22,14,FALSE),VLOOKUP(BUReporting[[#This Row],[Program]],'Program MW '!$A$34:$S$44,14,FALSE))</f>
        <v>0</v>
      </c>
      <c r="H144" s="402">
        <f>VLOOKUP(BUReporting[[#This Row],[Program]],'Program MW '!$A$34:$S$44,15,FALSE)</f>
        <v>0</v>
      </c>
    </row>
    <row r="145" spans="1:8" ht="15.5" thickTop="1" thickBot="1">
      <c r="A145" s="403">
        <v>0</v>
      </c>
      <c r="B145" s="85" t="s">
        <v>8</v>
      </c>
      <c r="C145" s="404"/>
      <c r="D145" s="394" t="s">
        <v>9</v>
      </c>
      <c r="E145" s="399">
        <v>12</v>
      </c>
      <c r="F145" s="400" t="s">
        <v>38</v>
      </c>
      <c r="G145" s="390">
        <f>IF(OR(BUReporting[[#This Row],[Period]]=1,OR(BUReporting[[#This Row],[Period]]=2,OR(BUReporting[[#This Row],[Period]]=2,OR(BUReporting[[#This Row],[Period]]=4,OR(BUReporting[[#This Row],[Period]]=5,BUReporting[[#This Row],[Period]]=6))))),VLOOKUP(BUReporting[[#This Row],[Program]],'Program MW '!$A$9:$S$9,17,FALSE),VLOOKUP(BUReporting[[#This Row],[Program]],'Program MW '!$A$31:$S$31,17,FALSE))</f>
        <v>0</v>
      </c>
      <c r="H145" s="402">
        <f>IF(OR(BUReporting[[#This Row],[Period]]=1,OR(BUReporting[[#This Row],[Period]]=2,OR(BUReporting[[#This Row],[Period]]=3,OR(BUReporting[[#This Row],[Period]]=4,OR(BUReporting[[#This Row],[Period]]=5,BUReporting[[#This Row],[Period]]=6))))),VLOOKUP(BUReporting[[#This Row],[Program]],'Program MW '!$A$9:$S$9,18,FALSE),VLOOKUP(BUReporting[[#This Row],[Program]],'Program MW '!$A$31:$S$31,18,FALSE))</f>
        <v>0</v>
      </c>
    </row>
    <row r="146" spans="1:8" ht="15.5" thickTop="1" thickBot="1">
      <c r="A146" s="391">
        <v>1</v>
      </c>
      <c r="B146" s="389" t="s">
        <v>11</v>
      </c>
      <c r="C146" s="404"/>
      <c r="D146" s="389" t="s">
        <v>9</v>
      </c>
      <c r="E146" s="392">
        <v>12</v>
      </c>
      <c r="F146" s="401" t="s">
        <v>38</v>
      </c>
      <c r="G146" s="390">
        <f>IF(OR(BUReporting[[#This Row],[Period]]=1,OR(BUReporting[[#This Row],[Period]]=2,OR(BUReporting[[#This Row],[Period]]=3,OR(BUReporting[[#This Row],[Period]]=4,OR(BUReporting[[#This Row],[Period]]=5,BUReporting[[#This Row],[Period]]=6))))),VLOOKUP(BUReporting[[#This Row],[Program]],'Program MW '!$A$12:$S$22,17,FALSE),VLOOKUP(BUReporting[[#This Row],[Program]],'Program MW '!$A$34:$S$44,17,FALSE))</f>
        <v>0</v>
      </c>
      <c r="H146" s="402">
        <f>VLOOKUP(BUReporting[[#This Row],[Program]],'Program MW '!$A$34:$S$44,18,FALSE)</f>
        <v>0</v>
      </c>
    </row>
    <row r="147" spans="1:8" ht="15.5" thickTop="1" thickBot="1">
      <c r="A147" s="391">
        <v>2</v>
      </c>
      <c r="B147" s="389" t="s">
        <v>12</v>
      </c>
      <c r="C147" s="404" t="s">
        <v>13</v>
      </c>
      <c r="D147" s="389" t="s">
        <v>9</v>
      </c>
      <c r="E147" s="392">
        <v>12</v>
      </c>
      <c r="F147" s="401" t="s">
        <v>38</v>
      </c>
      <c r="G147" s="390" t="e">
        <f>IF(OR(BUReporting[[#This Row],[Period]]=1,OR(BUReporting[[#This Row],[Period]]=2,OR(BUReporting[[#This Row],[Period]]=3,OR(BUReporting[[#This Row],[Period]]=4,OR(BUReporting[[#This Row],[Period]]=5,BUReporting[[#This Row],[Period]]=6))))),VLOOKUP(BUReporting[[#This Row],[Program]],'Program MW '!$A$12:$S$22,17,FALSE),VLOOKUP(BUReporting[[#This Row],[Program]],'Program MW '!$A$34:$S$44,17,FALSE))</f>
        <v>#N/A</v>
      </c>
      <c r="H147" s="402" t="e">
        <f>VLOOKUP(BUReporting[[#This Row],[Program]],'Program MW '!$A$34:$S$44,18,FALSE)</f>
        <v>#N/A</v>
      </c>
    </row>
    <row r="148" spans="1:8" ht="15.5" thickTop="1" thickBot="1">
      <c r="A148" s="391">
        <v>3</v>
      </c>
      <c r="B148" s="389" t="s">
        <v>14</v>
      </c>
      <c r="C148" s="404"/>
      <c r="D148" s="389" t="s">
        <v>9</v>
      </c>
      <c r="E148" s="392">
        <v>12</v>
      </c>
      <c r="F148" s="401" t="s">
        <v>38</v>
      </c>
      <c r="G148" s="390" t="e">
        <f>IF(OR(BUReporting[[#This Row],[Period]]=1,OR(BUReporting[[#This Row],[Period]]=2,OR(BUReporting[[#This Row],[Period]]=3,OR(BUReporting[[#This Row],[Period]]=4,OR(BUReporting[[#This Row],[Period]]=5,BUReporting[[#This Row],[Period]]=6))))),VLOOKUP(BUReporting[[#This Row],[Program]],'Program MW '!$A$12:$S$22,17,FALSE),VLOOKUP(BUReporting[[#This Row],[Program]],'Program MW '!$A$34:$S$44,17,FALSE))</f>
        <v>#N/A</v>
      </c>
      <c r="H148" s="402" t="e">
        <f>VLOOKUP(BUReporting[[#This Row],[Program]],'Program MW '!$A$34:$S$44,18,FALSE)</f>
        <v>#N/A</v>
      </c>
    </row>
    <row r="149" spans="1:8" ht="15.5" thickTop="1" thickBot="1">
      <c r="A149" s="391">
        <v>4</v>
      </c>
      <c r="B149" s="389" t="s">
        <v>15</v>
      </c>
      <c r="C149" s="404" t="s">
        <v>16</v>
      </c>
      <c r="D149" s="389" t="s">
        <v>9</v>
      </c>
      <c r="E149" s="392">
        <v>12</v>
      </c>
      <c r="F149" s="401" t="s">
        <v>38</v>
      </c>
      <c r="G149" s="390" t="e">
        <f>IF(OR(BUReporting[[#This Row],[Period]]=1,OR(BUReporting[[#This Row],[Period]]=2,OR(BUReporting[[#This Row],[Period]]=3,OR(BUReporting[[#This Row],[Period]]=4,OR(BUReporting[[#This Row],[Period]]=5,BUReporting[[#This Row],[Period]]=6))))),VLOOKUP(BUReporting[[#This Row],[Program]],'Program MW '!$A$12:$S$22,17,FALSE),VLOOKUP(BUReporting[[#This Row],[Program]],'Program MW '!$A$34:$S$44,17,FALSE))</f>
        <v>#N/A</v>
      </c>
      <c r="H149" s="402" t="e">
        <f>VLOOKUP(BUReporting[[#This Row],[Program]],'Program MW '!$A$34:$S$44,18,FALSE)</f>
        <v>#N/A</v>
      </c>
    </row>
    <row r="150" spans="1:8" ht="15.5" thickTop="1" thickBot="1">
      <c r="A150" s="391">
        <v>5</v>
      </c>
      <c r="B150" s="389" t="s">
        <v>17</v>
      </c>
      <c r="C150" s="404" t="s">
        <v>18</v>
      </c>
      <c r="D150" s="389" t="s">
        <v>19</v>
      </c>
      <c r="E150" s="392">
        <v>12</v>
      </c>
      <c r="F150" s="401" t="s">
        <v>38</v>
      </c>
      <c r="G150" s="390">
        <f>IF(OR(BUReporting[[#This Row],[Period]]=1,OR(BUReporting[[#This Row],[Period]]=2,OR(BUReporting[[#This Row],[Period]]=3,OR(BUReporting[[#This Row],[Period]]=4,OR(BUReporting[[#This Row],[Period]]=5,BUReporting[[#This Row],[Period]]=6))))),VLOOKUP(BUReporting[[#This Row],[Program]],'Program MW '!$A$12:$S$22,17,FALSE),VLOOKUP(BUReporting[[#This Row],[Program]],'Program MW '!$A$34:$S$44,17,FALSE))</f>
        <v>0</v>
      </c>
      <c r="H150" s="402">
        <f>VLOOKUP(BUReporting[[#This Row],[Program]],'Program MW '!$A$34:$S$44,18,FALSE)</f>
        <v>0</v>
      </c>
    </row>
    <row r="151" spans="1:8" ht="15.5" thickTop="1" thickBot="1">
      <c r="A151" s="391">
        <v>6</v>
      </c>
      <c r="B151" s="389" t="s">
        <v>20</v>
      </c>
      <c r="C151" s="404" t="s">
        <v>18</v>
      </c>
      <c r="D151" s="389" t="s">
        <v>9</v>
      </c>
      <c r="E151" s="392">
        <v>12</v>
      </c>
      <c r="F151" s="401" t="s">
        <v>38</v>
      </c>
      <c r="G151" s="390">
        <f>IF(OR(BUReporting[[#This Row],[Period]]=1,OR(BUReporting[[#This Row],[Period]]=2,OR(BUReporting[[#This Row],[Period]]=3,OR(BUReporting[[#This Row],[Period]]=4,OR(BUReporting[[#This Row],[Period]]=5,BUReporting[[#This Row],[Period]]=6))))),VLOOKUP(BUReporting[[#This Row],[Program]],'Program MW '!$A$12:$S$22,17,FALSE),VLOOKUP(BUReporting[[#This Row],[Program]],'Program MW '!$A$34:$S$44,17,FALSE))</f>
        <v>0</v>
      </c>
      <c r="H151" s="402">
        <f>VLOOKUP(BUReporting[[#This Row],[Program]],'Program MW '!$A$34:$S$44,18,FALSE)</f>
        <v>0</v>
      </c>
    </row>
    <row r="152" spans="1:8" ht="15.5" thickTop="1" thickBot="1">
      <c r="A152" s="391">
        <v>7</v>
      </c>
      <c r="B152" s="389" t="s">
        <v>21</v>
      </c>
      <c r="C152" s="404" t="s">
        <v>22</v>
      </c>
      <c r="D152" s="389" t="s">
        <v>19</v>
      </c>
      <c r="E152" s="392">
        <v>12</v>
      </c>
      <c r="F152" s="401" t="s">
        <v>38</v>
      </c>
      <c r="G152" s="390">
        <f>IF(OR(BUReporting[[#This Row],[Period]]=1,OR(BUReporting[[#This Row],[Period]]=2,OR(BUReporting[[#This Row],[Period]]=3,OR(BUReporting[[#This Row],[Period]]=4,OR(BUReporting[[#This Row],[Period]]=5,BUReporting[[#This Row],[Period]]=6))))),VLOOKUP(BUReporting[[#This Row],[Program]],'Program MW '!$A$12:$S$22,17,FALSE),VLOOKUP(BUReporting[[#This Row],[Program]],'Program MW '!$A$34:$S$44,17,FALSE))</f>
        <v>0</v>
      </c>
      <c r="H152" s="402">
        <f>VLOOKUP(BUReporting[[#This Row],[Program]],'Program MW '!$A$34:$S$44,18,FALSE)</f>
        <v>0</v>
      </c>
    </row>
    <row r="153" spans="1:8" ht="15.5" thickTop="1" thickBot="1">
      <c r="A153" s="391">
        <v>8</v>
      </c>
      <c r="B153" s="389" t="s">
        <v>23</v>
      </c>
      <c r="C153" s="404" t="s">
        <v>22</v>
      </c>
      <c r="D153" s="389" t="s">
        <v>9</v>
      </c>
      <c r="E153" s="392">
        <v>12</v>
      </c>
      <c r="F153" s="401" t="s">
        <v>38</v>
      </c>
      <c r="G153" s="390">
        <f>IF(OR(BUReporting[[#This Row],[Period]]=1,OR(BUReporting[[#This Row],[Period]]=2,OR(BUReporting[[#This Row],[Period]]=3,OR(BUReporting[[#This Row],[Period]]=4,OR(BUReporting[[#This Row],[Period]]=5,BUReporting[[#This Row],[Period]]=6))))),VLOOKUP(BUReporting[[#This Row],[Program]],'Program MW '!$A$12:$S$22,17,FALSE),VLOOKUP(BUReporting[[#This Row],[Program]],'Program MW '!$A$34:$S$44,17,FALSE))</f>
        <v>0</v>
      </c>
      <c r="H153" s="402">
        <f>VLOOKUP(BUReporting[[#This Row],[Program]],'Program MW '!$A$34:$S$44,18,FALSE)</f>
        <v>0</v>
      </c>
    </row>
    <row r="154" spans="1:8" ht="15.5" thickTop="1" thickBot="1">
      <c r="A154" s="391">
        <v>9</v>
      </c>
      <c r="B154" s="389" t="s">
        <v>24</v>
      </c>
      <c r="C154" s="404"/>
      <c r="D154" s="389" t="s">
        <v>9</v>
      </c>
      <c r="E154" s="392">
        <v>12</v>
      </c>
      <c r="F154" s="401" t="s">
        <v>38</v>
      </c>
      <c r="G154" s="390">
        <f>IF(OR(BUReporting[[#This Row],[Period]]=1,OR(BUReporting[[#This Row],[Period]]=2,OR(BUReporting[[#This Row],[Period]]=3,OR(BUReporting[[#This Row],[Period]]=4,OR(BUReporting[[#This Row],[Period]]=5,BUReporting[[#This Row],[Period]]=6))))),VLOOKUP(BUReporting[[#This Row],[Program]],'Program MW '!$A$12:$S$22,17,FALSE),VLOOKUP(BUReporting[[#This Row],[Program]],'Program MW '!$A$34:$S$44,17,FALSE))</f>
        <v>0</v>
      </c>
      <c r="H154" s="402">
        <f>VLOOKUP(BUReporting[[#This Row],[Program]],'Program MW '!$A$34:$S$44,18,FALSE)</f>
        <v>0</v>
      </c>
    </row>
    <row r="155" spans="1:8" ht="15.5" thickTop="1" thickBot="1">
      <c r="A155" s="391">
        <v>10</v>
      </c>
      <c r="B155" s="389" t="s">
        <v>25</v>
      </c>
      <c r="C155" s="404"/>
      <c r="D155" s="389" t="s">
        <v>9</v>
      </c>
      <c r="E155" s="392">
        <v>12</v>
      </c>
      <c r="F155" s="401" t="s">
        <v>38</v>
      </c>
      <c r="G155" s="390">
        <f>IF(OR(BUReporting[[#This Row],[Period]]=1,OR(BUReporting[[#This Row],[Period]]=2,OR(BUReporting[[#This Row],[Period]]=3,OR(BUReporting[[#This Row],[Period]]=4,OR(BUReporting[[#This Row],[Period]]=5,BUReporting[[#This Row],[Period]]=6))))),VLOOKUP(BUReporting[[#This Row],[Program]],'Program MW '!$A$12:$S$22,17,FALSE),VLOOKUP(BUReporting[[#This Row],[Program]],'Program MW '!$A$34:$S$44,17,FALSE))</f>
        <v>0</v>
      </c>
      <c r="H155" s="402">
        <f>VLOOKUP(BUReporting[[#This Row],[Program]],'Program MW '!$A$34:$S$44,18,FALSE)</f>
        <v>0</v>
      </c>
    </row>
    <row r="156" spans="1:8" ht="15.5" thickTop="1" thickBot="1">
      <c r="A156" s="391">
        <v>11</v>
      </c>
      <c r="B156" s="389" t="s">
        <v>26</v>
      </c>
      <c r="C156" s="404"/>
      <c r="D156" s="389" t="s">
        <v>9</v>
      </c>
      <c r="E156" s="392">
        <v>12</v>
      </c>
      <c r="F156" s="401" t="s">
        <v>38</v>
      </c>
      <c r="G156" s="390">
        <f>IF(OR(BUReporting[[#This Row],[Period]]=1,OR(BUReporting[[#This Row],[Period]]=2,OR(BUReporting[[#This Row],[Period]]=3,OR(BUReporting[[#This Row],[Period]]=4,OR(BUReporting[[#This Row],[Period]]=5,BUReporting[[#This Row],[Period]]=6))))),VLOOKUP(BUReporting[[#This Row],[Program]],'Program MW '!$A$12:$S$22,17,FALSE),VLOOKUP(BUReporting[[#This Row],[Program]],'Program MW '!$A$34:$S$44,17,FALSE))</f>
        <v>0</v>
      </c>
      <c r="H156" s="402">
        <f>VLOOKUP(BUReporting[[#This Row],[Program]],'Program MW '!$A$34:$S$44,18,FALSE)</f>
        <v>0</v>
      </c>
    </row>
    <row r="157" spans="1:8" ht="13" thickTop="1">
      <c r="A157" s="391">
        <v>12</v>
      </c>
      <c r="B157" s="389" t="s">
        <v>27</v>
      </c>
      <c r="C157" s="388"/>
      <c r="D157" s="389" t="s">
        <v>19</v>
      </c>
      <c r="E157" s="392">
        <v>12</v>
      </c>
      <c r="F157" s="401" t="s">
        <v>38</v>
      </c>
      <c r="G157" s="390">
        <f>IF(OR(BUReporting[[#This Row],[Period]]=1,OR(BUReporting[[#This Row],[Period]]=2,OR(BUReporting[[#This Row],[Period]]=3,OR(BUReporting[[#This Row],[Period]]=4,OR(BUReporting[[#This Row],[Period]]=5,BUReporting[[#This Row],[Period]]=6))))),VLOOKUP(BUReporting[[#This Row],[Program]],'Program MW '!$A$12:$S$22,17,FALSE),VLOOKUP(BUReporting[[#This Row],[Program]],'Program MW '!$A$34:$S$44,17,FALSE))</f>
        <v>0</v>
      </c>
      <c r="H157" s="402">
        <f>VLOOKUP(BUReporting[[#This Row],[Program]],'Program MW '!$A$34:$S$44,18,FALSE)</f>
        <v>0</v>
      </c>
    </row>
  </sheetData>
  <pageMargins left="0.7" right="0.7" top="0.75" bottom="0.75" header="0.3" footer="0.3"/>
  <customProperties>
    <customPr name="_pios_id" r:id="rId1"/>
  </customProperties>
  <tableParts count="1">
    <tablePart r:id="rId2"/>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E23"/>
  <sheetViews>
    <sheetView zoomScaleNormal="100" zoomScaleSheetLayoutView="100" workbookViewId="0">
      <selection activeCell="B55" sqref="B55"/>
    </sheetView>
  </sheetViews>
  <sheetFormatPr defaultColWidth="9.26953125" defaultRowHeight="12.5"/>
  <cols>
    <col min="1" max="1" width="29.26953125" style="142" customWidth="1"/>
    <col min="2" max="2" width="22.54296875" style="142" bestFit="1" customWidth="1"/>
    <col min="3" max="3" width="49.7265625" style="142" customWidth="1"/>
    <col min="4" max="4" width="11.26953125" style="142" customWidth="1"/>
    <col min="5" max="5" width="57" style="142" customWidth="1"/>
    <col min="6" max="13" width="9.26953125" style="142"/>
    <col min="14" max="14" width="23.7265625" style="142" bestFit="1" customWidth="1"/>
    <col min="15" max="16384" width="9.26953125" style="142"/>
  </cols>
  <sheetData>
    <row r="1" spans="1:5" ht="13">
      <c r="C1" s="148" t="s">
        <v>39</v>
      </c>
    </row>
    <row r="2" spans="1:5" ht="13">
      <c r="C2" s="148" t="s">
        <v>174</v>
      </c>
    </row>
    <row r="3" spans="1:5" ht="13">
      <c r="C3" s="198" t="s">
        <v>289</v>
      </c>
    </row>
    <row r="4" spans="1:5">
      <c r="C4" s="17"/>
    </row>
    <row r="5" spans="1:5">
      <c r="C5" s="17"/>
      <c r="D5" s="196"/>
    </row>
    <row r="6" spans="1:5" s="17" customFormat="1" ht="13">
      <c r="A6" s="268"/>
      <c r="B6" s="268"/>
    </row>
    <row r="7" spans="1:5" s="17" customFormat="1"/>
    <row r="8" spans="1:5" s="19" customFormat="1" ht="13">
      <c r="A8" s="18" t="s">
        <v>175</v>
      </c>
      <c r="B8" s="18" t="s">
        <v>176</v>
      </c>
      <c r="C8" s="18" t="s">
        <v>177</v>
      </c>
      <c r="D8" s="18" t="s">
        <v>178</v>
      </c>
      <c r="E8" s="18" t="s">
        <v>179</v>
      </c>
    </row>
    <row r="9" spans="1:5" s="19" customFormat="1" ht="50">
      <c r="A9" s="338" t="s">
        <v>149</v>
      </c>
      <c r="B9" s="339">
        <v>-234498</v>
      </c>
      <c r="C9" s="346" t="s">
        <v>207</v>
      </c>
      <c r="D9" s="341">
        <v>43302</v>
      </c>
      <c r="E9" s="340" t="s">
        <v>279</v>
      </c>
    </row>
    <row r="10" spans="1:5" s="19" customFormat="1" ht="50">
      <c r="A10" s="338" t="s">
        <v>287</v>
      </c>
      <c r="B10" s="339">
        <v>-700000</v>
      </c>
      <c r="C10" s="346" t="s">
        <v>280</v>
      </c>
      <c r="D10" s="341">
        <v>43302</v>
      </c>
      <c r="E10" s="340" t="s">
        <v>281</v>
      </c>
    </row>
    <row r="11" spans="1:5" s="19" customFormat="1" ht="62.5">
      <c r="A11" s="338" t="s">
        <v>288</v>
      </c>
      <c r="B11" s="339">
        <v>-194400</v>
      </c>
      <c r="C11" s="346" t="s">
        <v>282</v>
      </c>
      <c r="D11" s="341">
        <v>43304</v>
      </c>
      <c r="E11" s="340" t="s">
        <v>283</v>
      </c>
    </row>
    <row r="12" spans="1:5" s="19" customFormat="1" ht="137.5">
      <c r="A12" s="338" t="s">
        <v>286</v>
      </c>
      <c r="B12" s="339">
        <v>1128898</v>
      </c>
      <c r="C12" s="346" t="s">
        <v>284</v>
      </c>
      <c r="D12" s="341">
        <v>43302</v>
      </c>
      <c r="E12" s="340" t="s">
        <v>285</v>
      </c>
    </row>
    <row r="13" spans="1:5" s="342" customFormat="1" ht="50">
      <c r="A13" s="338" t="s">
        <v>169</v>
      </c>
      <c r="B13" s="339">
        <v>-166000</v>
      </c>
      <c r="C13" s="346" t="s">
        <v>170</v>
      </c>
      <c r="D13" s="341">
        <v>44061</v>
      </c>
      <c r="E13" s="340" t="s">
        <v>240</v>
      </c>
    </row>
    <row r="14" spans="1:5" s="345" customFormat="1" ht="50">
      <c r="A14" s="338" t="s">
        <v>169</v>
      </c>
      <c r="B14" s="344">
        <v>-400000</v>
      </c>
      <c r="C14" s="346" t="s">
        <v>239</v>
      </c>
      <c r="D14" s="341">
        <v>44061</v>
      </c>
      <c r="E14" s="340" t="s">
        <v>240</v>
      </c>
    </row>
    <row r="15" spans="1:5" s="345" customFormat="1" ht="50">
      <c r="A15" s="338" t="s">
        <v>169</v>
      </c>
      <c r="B15" s="344">
        <v>566000</v>
      </c>
      <c r="C15" s="347" t="s">
        <v>238</v>
      </c>
      <c r="D15" s="341">
        <v>44061</v>
      </c>
      <c r="E15" s="340" t="s">
        <v>240</v>
      </c>
    </row>
    <row r="16" spans="1:5" s="345" customFormat="1">
      <c r="A16" s="343" t="s">
        <v>56</v>
      </c>
      <c r="B16" s="344" t="s">
        <v>56</v>
      </c>
      <c r="C16" s="347" t="s">
        <v>56</v>
      </c>
      <c r="D16" s="341"/>
      <c r="E16" s="340"/>
    </row>
    <row r="17" spans="1:5" ht="13">
      <c r="A17" s="144" t="s">
        <v>91</v>
      </c>
      <c r="B17" s="228">
        <f>SUM(B9:B16)</f>
        <v>0</v>
      </c>
      <c r="C17" s="143"/>
      <c r="D17" s="143"/>
      <c r="E17" s="143"/>
    </row>
    <row r="18" spans="1:5">
      <c r="A18" s="143"/>
      <c r="B18" s="143"/>
      <c r="C18" s="143"/>
      <c r="D18" s="143"/>
      <c r="E18" s="143"/>
    </row>
    <row r="20" spans="1:5" ht="14">
      <c r="A20" s="435" t="s">
        <v>63</v>
      </c>
    </row>
    <row r="21" spans="1:5" ht="14">
      <c r="A21" s="436" t="s">
        <v>180</v>
      </c>
    </row>
    <row r="22" spans="1:5" ht="14">
      <c r="A22" s="435"/>
    </row>
    <row r="23" spans="1:5" ht="14.5">
      <c r="A23" s="437" t="s">
        <v>64</v>
      </c>
      <c r="E23" s="145"/>
    </row>
  </sheetData>
  <phoneticPr fontId="45" type="noConversion"/>
  <printOptions horizontalCentered="1"/>
  <pageMargins left="0" right="0" top="0.55000000000000004" bottom="0.17" header="0.3" footer="0.15"/>
  <pageSetup paperSize="5" orientation="landscape" cellComments="atEnd" r:id="rId1"/>
  <headerFooter alignWithMargins="0">
    <oddHeader xml:space="preserve">&amp;C&amp;"Arial,Bold"
</oddHeader>
    <oddFooter>&amp;Rpage 6 of 11
&amp;A
&amp;D  &amp;T</oddFooter>
  </headerFooter>
  <customProperties>
    <customPr name="_pios_id" r:id="rId2"/>
  </customPropertie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P67"/>
  <sheetViews>
    <sheetView showGridLines="0" tabSelected="1" zoomScale="140" zoomScaleNormal="140" zoomScaleSheetLayoutView="75" workbookViewId="0">
      <pane xSplit="1" ySplit="8" topLeftCell="B9" activePane="bottomRight" state="frozen"/>
      <selection activeCell="B55" sqref="B55"/>
      <selection pane="topRight" activeCell="B55" sqref="B55"/>
      <selection pane="bottomLeft" activeCell="B55" sqref="B55"/>
      <selection pane="bottomRight" activeCell="G22" sqref="G22"/>
    </sheetView>
  </sheetViews>
  <sheetFormatPr defaultColWidth="17" defaultRowHeight="11.5"/>
  <cols>
    <col min="1" max="1" width="46.26953125" style="211" customWidth="1"/>
    <col min="2" max="9" width="11.54296875" style="211" customWidth="1"/>
    <col min="10" max="10" width="11.54296875" style="212" customWidth="1"/>
    <col min="11" max="14" width="11.54296875" style="211" customWidth="1"/>
    <col min="15" max="16" width="0" style="211" hidden="1" customWidth="1"/>
    <col min="17" max="16384" width="17" style="211"/>
  </cols>
  <sheetData>
    <row r="1" spans="1:16">
      <c r="A1" s="211" t="s">
        <v>56</v>
      </c>
      <c r="E1" s="209" t="s">
        <v>39</v>
      </c>
    </row>
    <row r="2" spans="1:16">
      <c r="E2" s="209" t="s">
        <v>188</v>
      </c>
    </row>
    <row r="3" spans="1:16">
      <c r="D3" s="213"/>
      <c r="E3" s="214" t="str">
        <f>'Program MW '!H3</f>
        <v>July 2021</v>
      </c>
      <c r="F3" s="213"/>
      <c r="N3" s="651"/>
    </row>
    <row r="4" spans="1:16" ht="12" thickBot="1"/>
    <row r="5" spans="1:16">
      <c r="A5" s="215"/>
      <c r="B5" s="216"/>
      <c r="C5" s="216"/>
      <c r="D5" s="216"/>
      <c r="E5" s="216"/>
      <c r="F5" s="216"/>
      <c r="G5" s="216"/>
      <c r="H5" s="216"/>
      <c r="I5" s="216"/>
      <c r="J5" s="217"/>
      <c r="K5" s="216"/>
      <c r="L5" s="216"/>
      <c r="M5" s="216"/>
      <c r="N5" s="454"/>
    </row>
    <row r="6" spans="1:16" ht="23">
      <c r="A6" s="218" t="s">
        <v>189</v>
      </c>
      <c r="B6" s="443" t="s">
        <v>41</v>
      </c>
      <c r="C6" s="443" t="s">
        <v>42</v>
      </c>
      <c r="D6" s="443" t="s">
        <v>43</v>
      </c>
      <c r="E6" s="443" t="s">
        <v>44</v>
      </c>
      <c r="F6" s="443" t="s">
        <v>31</v>
      </c>
      <c r="G6" s="443" t="s">
        <v>45</v>
      </c>
      <c r="H6" s="443" t="s">
        <v>59</v>
      </c>
      <c r="I6" s="443" t="s">
        <v>66</v>
      </c>
      <c r="J6" s="444" t="s">
        <v>67</v>
      </c>
      <c r="K6" s="443" t="s">
        <v>61</v>
      </c>
      <c r="L6" s="443" t="s">
        <v>68</v>
      </c>
      <c r="M6" s="532" t="s">
        <v>62</v>
      </c>
      <c r="N6" s="533" t="s">
        <v>190</v>
      </c>
    </row>
    <row r="7" spans="1:16">
      <c r="A7" s="219"/>
      <c r="B7" s="220"/>
      <c r="C7" s="220"/>
      <c r="D7" s="220"/>
      <c r="E7" s="220"/>
      <c r="F7" s="659"/>
      <c r="G7" s="659"/>
      <c r="H7" s="660"/>
      <c r="I7" s="659"/>
      <c r="J7" s="661"/>
      <c r="K7" s="659"/>
      <c r="L7" s="659"/>
      <c r="M7" s="662"/>
      <c r="N7" s="663"/>
    </row>
    <row r="8" spans="1:16">
      <c r="A8" s="221" t="s">
        <v>191</v>
      </c>
      <c r="B8" s="220"/>
      <c r="C8" s="220"/>
      <c r="D8" s="220"/>
      <c r="E8" s="220"/>
      <c r="F8" s="659"/>
      <c r="G8" s="659"/>
      <c r="H8" s="660"/>
      <c r="I8" s="659"/>
      <c r="J8" s="661"/>
      <c r="K8" s="659"/>
      <c r="L8" s="659"/>
      <c r="M8" s="662"/>
      <c r="N8" s="663"/>
    </row>
    <row r="9" spans="1:16">
      <c r="A9" s="308" t="s">
        <v>192</v>
      </c>
      <c r="B9" s="754">
        <v>5.4340000000000002</v>
      </c>
      <c r="C9" s="753">
        <v>8.3640000000000008</v>
      </c>
      <c r="D9" s="753">
        <f>24.646-C9-B9</f>
        <v>10.847999999999999</v>
      </c>
      <c r="E9" s="753">
        <v>10.628</v>
      </c>
      <c r="F9" s="753">
        <v>12.351000000000001</v>
      </c>
      <c r="G9" s="753">
        <v>13.272</v>
      </c>
      <c r="H9" s="753">
        <v>11.590999999999999</v>
      </c>
      <c r="I9" s="753">
        <v>0</v>
      </c>
      <c r="J9" s="753">
        <v>0</v>
      </c>
      <c r="K9" s="753">
        <v>0</v>
      </c>
      <c r="L9" s="753">
        <v>0</v>
      </c>
      <c r="M9" s="753">
        <v>0</v>
      </c>
      <c r="N9" s="572">
        <f t="shared" ref="N9:N33" si="0">SUM(B9:M9)</f>
        <v>72.488</v>
      </c>
      <c r="O9" s="365">
        <v>0</v>
      </c>
      <c r="P9" s="365">
        <v>0</v>
      </c>
    </row>
    <row r="10" spans="1:16" ht="13.5">
      <c r="A10" s="308" t="s">
        <v>193</v>
      </c>
      <c r="B10" s="566">
        <v>44.155000000000001</v>
      </c>
      <c r="C10" s="567">
        <v>11.638999999999999</v>
      </c>
      <c r="D10" s="567">
        <f>131.908-C10-B10</f>
        <v>76.11399999999999</v>
      </c>
      <c r="E10" s="567">
        <v>45.377000000000002</v>
      </c>
      <c r="F10" s="664">
        <v>41.933999999999997</v>
      </c>
      <c r="G10" s="664">
        <v>48.670999999999999</v>
      </c>
      <c r="H10" s="664">
        <v>50.156999999999996</v>
      </c>
      <c r="I10" s="664">
        <v>0</v>
      </c>
      <c r="J10" s="664">
        <v>0</v>
      </c>
      <c r="K10" s="664">
        <v>0</v>
      </c>
      <c r="L10" s="664">
        <v>0</v>
      </c>
      <c r="M10" s="664">
        <v>0</v>
      </c>
      <c r="N10" s="572">
        <f t="shared" si="0"/>
        <v>318.04699999999997</v>
      </c>
    </row>
    <row r="11" spans="1:16" ht="14.25" customHeight="1">
      <c r="A11" s="308" t="s">
        <v>194</v>
      </c>
      <c r="B11" s="566">
        <v>5.3719999999999999</v>
      </c>
      <c r="C11" s="567">
        <v>5.4429999999999996</v>
      </c>
      <c r="D11" s="567">
        <f>16.812-C11-B11</f>
        <v>5.9970000000000017</v>
      </c>
      <c r="E11" s="567">
        <v>6.6950000000000003</v>
      </c>
      <c r="F11" s="664">
        <v>5.6539999999999999</v>
      </c>
      <c r="G11" s="664">
        <v>6.0540000000000003</v>
      </c>
      <c r="H11" s="664">
        <v>4.8209999999999997</v>
      </c>
      <c r="I11" s="664">
        <v>0</v>
      </c>
      <c r="J11" s="664">
        <v>0</v>
      </c>
      <c r="K11" s="664">
        <v>0</v>
      </c>
      <c r="L11" s="664">
        <v>0</v>
      </c>
      <c r="M11" s="664">
        <v>0</v>
      </c>
      <c r="N11" s="572">
        <f t="shared" si="0"/>
        <v>40.036000000000001</v>
      </c>
    </row>
    <row r="12" spans="1:16">
      <c r="A12" s="308" t="s">
        <v>195</v>
      </c>
      <c r="B12" s="566">
        <v>0</v>
      </c>
      <c r="C12" s="567">
        <v>0</v>
      </c>
      <c r="D12" s="567">
        <v>0</v>
      </c>
      <c r="E12" s="567">
        <v>0</v>
      </c>
      <c r="F12" s="664">
        <v>0</v>
      </c>
      <c r="G12" s="664">
        <v>0</v>
      </c>
      <c r="H12" s="664">
        <v>0</v>
      </c>
      <c r="I12" s="664">
        <v>0</v>
      </c>
      <c r="J12" s="664">
        <v>0</v>
      </c>
      <c r="K12" s="664">
        <v>0</v>
      </c>
      <c r="L12" s="664">
        <v>0</v>
      </c>
      <c r="M12" s="664">
        <v>0</v>
      </c>
      <c r="N12" s="572">
        <f t="shared" si="0"/>
        <v>0</v>
      </c>
    </row>
    <row r="13" spans="1:16">
      <c r="A13" s="308" t="s">
        <v>196</v>
      </c>
      <c r="B13" s="566">
        <v>6.5279999999999996</v>
      </c>
      <c r="C13" s="567">
        <v>9.1560000000000006</v>
      </c>
      <c r="D13" s="567">
        <f>25.223-C13-B13</f>
        <v>9.5390000000000015</v>
      </c>
      <c r="E13" s="567">
        <v>17.847000000000001</v>
      </c>
      <c r="F13" s="664">
        <v>16.437000000000001</v>
      </c>
      <c r="G13" s="664">
        <v>18.690999999999999</v>
      </c>
      <c r="H13" s="664">
        <v>15.734999999999999</v>
      </c>
      <c r="I13" s="664">
        <v>0</v>
      </c>
      <c r="J13" s="664">
        <v>0</v>
      </c>
      <c r="K13" s="664">
        <v>0</v>
      </c>
      <c r="L13" s="664">
        <v>0</v>
      </c>
      <c r="M13" s="664">
        <v>0</v>
      </c>
      <c r="N13" s="572">
        <f t="shared" si="0"/>
        <v>93.933000000000007</v>
      </c>
    </row>
    <row r="14" spans="1:16">
      <c r="A14" s="308" t="s">
        <v>197</v>
      </c>
      <c r="B14" s="593">
        <v>10.265000000000001</v>
      </c>
      <c r="C14" s="594">
        <v>9.8539999999999992</v>
      </c>
      <c r="D14" s="594">
        <v>13.487</v>
      </c>
      <c r="E14" s="594">
        <v>12.321999999999999</v>
      </c>
      <c r="F14" s="665">
        <v>28.375</v>
      </c>
      <c r="G14" s="665">
        <v>11.579000000000001</v>
      </c>
      <c r="H14" s="665">
        <v>25.823</v>
      </c>
      <c r="I14" s="665">
        <v>0</v>
      </c>
      <c r="J14" s="665">
        <v>0</v>
      </c>
      <c r="K14" s="665">
        <v>0</v>
      </c>
      <c r="L14" s="665">
        <v>0</v>
      </c>
      <c r="M14" s="665">
        <v>0</v>
      </c>
      <c r="N14" s="598">
        <f t="shared" si="0"/>
        <v>111.70500000000001</v>
      </c>
    </row>
    <row r="15" spans="1:16">
      <c r="A15" s="308" t="s">
        <v>198</v>
      </c>
      <c r="B15" s="593">
        <v>22.998999999999999</v>
      </c>
      <c r="C15" s="594">
        <v>17.649999999999999</v>
      </c>
      <c r="D15" s="594">
        <f>90.729-C15-B15</f>
        <v>50.080000000000013</v>
      </c>
      <c r="E15" s="594">
        <v>21.035</v>
      </c>
      <c r="F15" s="665">
        <v>41.122999999999998</v>
      </c>
      <c r="G15" s="665">
        <v>14.077</v>
      </c>
      <c r="H15" s="665">
        <v>15.606</v>
      </c>
      <c r="I15" s="665">
        <v>0</v>
      </c>
      <c r="J15" s="665">
        <v>0</v>
      </c>
      <c r="K15" s="665">
        <v>0</v>
      </c>
      <c r="L15" s="665">
        <v>0</v>
      </c>
      <c r="M15" s="665">
        <v>0</v>
      </c>
      <c r="N15" s="598">
        <f t="shared" si="0"/>
        <v>182.57</v>
      </c>
    </row>
    <row r="16" spans="1:16">
      <c r="A16" s="308" t="s">
        <v>160</v>
      </c>
      <c r="B16" s="593">
        <v>11.461</v>
      </c>
      <c r="C16" s="594">
        <v>10.833</v>
      </c>
      <c r="D16" s="594">
        <f>35.334-C16-B16</f>
        <v>13.040000000000004</v>
      </c>
      <c r="E16" s="594">
        <v>20.324000000000002</v>
      </c>
      <c r="F16" s="665">
        <v>12.916</v>
      </c>
      <c r="G16" s="665">
        <v>14.782999999999999</v>
      </c>
      <c r="H16" s="665">
        <v>13.433</v>
      </c>
      <c r="I16" s="665">
        <v>0</v>
      </c>
      <c r="J16" s="665">
        <v>0</v>
      </c>
      <c r="K16" s="665">
        <v>0</v>
      </c>
      <c r="L16" s="665">
        <v>0</v>
      </c>
      <c r="M16" s="665">
        <v>0</v>
      </c>
      <c r="N16" s="598">
        <f t="shared" si="0"/>
        <v>96.789999999999992</v>
      </c>
    </row>
    <row r="17" spans="1:15">
      <c r="A17" s="308" t="s">
        <v>161</v>
      </c>
      <c r="B17" s="593">
        <v>7.4180000000000001</v>
      </c>
      <c r="C17" s="594">
        <v>9.0180000000000007</v>
      </c>
      <c r="D17" s="594">
        <f>26.365-C17-B17</f>
        <v>9.9289999999999985</v>
      </c>
      <c r="E17" s="594">
        <v>25.263000000000002</v>
      </c>
      <c r="F17" s="665">
        <v>7.6420000000000003</v>
      </c>
      <c r="G17" s="665">
        <v>10.083</v>
      </c>
      <c r="H17" s="665">
        <v>8.7910000000000004</v>
      </c>
      <c r="I17" s="665">
        <v>0</v>
      </c>
      <c r="J17" s="665">
        <v>0</v>
      </c>
      <c r="K17" s="665">
        <v>0</v>
      </c>
      <c r="L17" s="665">
        <v>0</v>
      </c>
      <c r="M17" s="665">
        <v>0</v>
      </c>
      <c r="N17" s="598">
        <f t="shared" si="0"/>
        <v>78.144000000000005</v>
      </c>
    </row>
    <row r="18" spans="1:15">
      <c r="A18" s="308" t="s">
        <v>199</v>
      </c>
      <c r="B18" s="593">
        <v>0</v>
      </c>
      <c r="C18" s="594">
        <v>0</v>
      </c>
      <c r="D18" s="594">
        <v>0</v>
      </c>
      <c r="E18" s="594">
        <v>0</v>
      </c>
      <c r="F18" s="665">
        <v>0</v>
      </c>
      <c r="G18" s="665">
        <v>0</v>
      </c>
      <c r="H18" s="665">
        <v>0</v>
      </c>
      <c r="I18" s="665">
        <v>0</v>
      </c>
      <c r="J18" s="665">
        <v>0</v>
      </c>
      <c r="K18" s="665">
        <v>0</v>
      </c>
      <c r="L18" s="665">
        <v>0</v>
      </c>
      <c r="M18" s="665">
        <v>0</v>
      </c>
      <c r="N18" s="598">
        <f t="shared" si="0"/>
        <v>0</v>
      </c>
    </row>
    <row r="19" spans="1:15" ht="13.5">
      <c r="A19" s="308" t="s">
        <v>346</v>
      </c>
      <c r="B19" s="593">
        <v>1.681</v>
      </c>
      <c r="C19" s="594">
        <v>1.873</v>
      </c>
      <c r="D19" s="594">
        <f>6.233-C19-B19</f>
        <v>2.6789999999999994</v>
      </c>
      <c r="E19" s="594">
        <v>2.4420000000000002</v>
      </c>
      <c r="F19" s="665">
        <v>2.0979999999999999</v>
      </c>
      <c r="G19" s="665">
        <v>0.77700000000000002</v>
      </c>
      <c r="H19" s="665">
        <v>-1.9870000000000001</v>
      </c>
      <c r="I19" s="665">
        <v>0</v>
      </c>
      <c r="J19" s="665">
        <v>0</v>
      </c>
      <c r="K19" s="665">
        <v>0</v>
      </c>
      <c r="L19" s="665">
        <v>0</v>
      </c>
      <c r="M19" s="665">
        <v>0</v>
      </c>
      <c r="N19" s="598">
        <f t="shared" si="0"/>
        <v>9.5629999999999988</v>
      </c>
    </row>
    <row r="20" spans="1:15" s="213" customFormat="1">
      <c r="A20" s="407" t="s">
        <v>132</v>
      </c>
      <c r="B20" s="593">
        <v>0</v>
      </c>
      <c r="C20" s="594">
        <v>0</v>
      </c>
      <c r="D20" s="594">
        <v>0</v>
      </c>
      <c r="E20" s="594">
        <v>0</v>
      </c>
      <c r="F20" s="665">
        <v>0</v>
      </c>
      <c r="G20" s="665">
        <v>0</v>
      </c>
      <c r="H20" s="665">
        <v>0</v>
      </c>
      <c r="I20" s="665">
        <v>0</v>
      </c>
      <c r="J20" s="665">
        <v>0</v>
      </c>
      <c r="K20" s="665">
        <v>0</v>
      </c>
      <c r="L20" s="665">
        <v>0</v>
      </c>
      <c r="M20" s="665">
        <v>0</v>
      </c>
      <c r="N20" s="598">
        <f t="shared" si="0"/>
        <v>0</v>
      </c>
    </row>
    <row r="21" spans="1:15">
      <c r="A21" s="407" t="s">
        <v>200</v>
      </c>
      <c r="B21" s="593">
        <v>111.34399999999999</v>
      </c>
      <c r="C21" s="594">
        <v>1.498</v>
      </c>
      <c r="D21" s="594">
        <f>114.985-C21-B21</f>
        <v>2.1430000000000007</v>
      </c>
      <c r="E21" s="594">
        <v>1.9530000000000001</v>
      </c>
      <c r="F21" s="665">
        <v>1.6779999999999999</v>
      </c>
      <c r="G21" s="665">
        <v>0.622</v>
      </c>
      <c r="H21" s="665">
        <v>3.35</v>
      </c>
      <c r="I21" s="665">
        <v>0</v>
      </c>
      <c r="J21" s="665">
        <v>0</v>
      </c>
      <c r="K21" s="665">
        <v>0</v>
      </c>
      <c r="L21" s="665">
        <v>0</v>
      </c>
      <c r="M21" s="665">
        <v>0</v>
      </c>
      <c r="N21" s="598">
        <f t="shared" si="0"/>
        <v>122.58799999999999</v>
      </c>
    </row>
    <row r="22" spans="1:15" ht="14.5">
      <c r="A22" s="308" t="s">
        <v>263</v>
      </c>
      <c r="B22" s="593">
        <v>2.75</v>
      </c>
      <c r="C22" s="594">
        <v>0</v>
      </c>
      <c r="D22" s="594">
        <f>43.162-C22-B22</f>
        <v>40.411999999999999</v>
      </c>
      <c r="E22" s="594">
        <v>1.641</v>
      </c>
      <c r="F22" s="665">
        <v>43.448999999999998</v>
      </c>
      <c r="G22" s="665">
        <v>130.79300000000001</v>
      </c>
      <c r="H22" s="665">
        <v>27.632000000000001</v>
      </c>
      <c r="I22" s="665">
        <v>0</v>
      </c>
      <c r="J22" s="665">
        <v>0</v>
      </c>
      <c r="K22" s="665">
        <v>0</v>
      </c>
      <c r="L22" s="665">
        <v>0</v>
      </c>
      <c r="M22" s="665">
        <v>0</v>
      </c>
      <c r="N22" s="598">
        <f t="shared" si="0"/>
        <v>246.67700000000002</v>
      </c>
    </row>
    <row r="23" spans="1:15">
      <c r="A23" s="308" t="s">
        <v>201</v>
      </c>
      <c r="B23" s="593">
        <v>37.207999999999998</v>
      </c>
      <c r="C23" s="594">
        <v>42.548000000000002</v>
      </c>
      <c r="D23" s="594">
        <v>57.579000000000001</v>
      </c>
      <c r="E23" s="594">
        <v>51.548999999999999</v>
      </c>
      <c r="F23" s="665">
        <v>49.262999999999998</v>
      </c>
      <c r="G23" s="665">
        <v>43.06</v>
      </c>
      <c r="H23" s="665">
        <v>37.057000000000002</v>
      </c>
      <c r="I23" s="665">
        <v>0</v>
      </c>
      <c r="J23" s="665">
        <v>0</v>
      </c>
      <c r="K23" s="665">
        <v>0</v>
      </c>
      <c r="L23" s="665">
        <v>0</v>
      </c>
      <c r="M23" s="665">
        <v>0</v>
      </c>
      <c r="N23" s="598">
        <f t="shared" si="0"/>
        <v>318.26400000000001</v>
      </c>
    </row>
    <row r="24" spans="1:15">
      <c r="A24" s="308" t="s">
        <v>264</v>
      </c>
      <c r="B24" s="593">
        <v>120.524</v>
      </c>
      <c r="C24" s="594">
        <v>107.79600000000001</v>
      </c>
      <c r="D24" s="594">
        <f>380.534-C24-B24</f>
        <v>152.214</v>
      </c>
      <c r="E24" s="594">
        <v>150.024</v>
      </c>
      <c r="F24" s="665">
        <v>74.804000000000002</v>
      </c>
      <c r="G24" s="665">
        <v>506.28399999999999</v>
      </c>
      <c r="H24" s="665">
        <v>38.850999999999999</v>
      </c>
      <c r="I24" s="665">
        <v>0</v>
      </c>
      <c r="J24" s="665">
        <v>0</v>
      </c>
      <c r="K24" s="665">
        <v>0</v>
      </c>
      <c r="L24" s="665">
        <v>0</v>
      </c>
      <c r="M24" s="665">
        <v>0</v>
      </c>
      <c r="N24" s="598">
        <f t="shared" si="0"/>
        <v>1150.4969999999998</v>
      </c>
    </row>
    <row r="25" spans="1:15" ht="13.5">
      <c r="A25" s="308" t="s">
        <v>265</v>
      </c>
      <c r="B25" s="593">
        <v>23.262</v>
      </c>
      <c r="C25" s="594">
        <v>81.326999999999998</v>
      </c>
      <c r="D25" s="594">
        <f>174.323-C25-B25</f>
        <v>69.734000000000009</v>
      </c>
      <c r="E25" s="594">
        <v>49.412999999999997</v>
      </c>
      <c r="F25" s="665">
        <v>35.180999999999997</v>
      </c>
      <c r="G25" s="665">
        <v>33.500999999999998</v>
      </c>
      <c r="H25" s="665">
        <v>88.138999999999996</v>
      </c>
      <c r="I25" s="665">
        <v>0</v>
      </c>
      <c r="J25" s="665">
        <v>0</v>
      </c>
      <c r="K25" s="665">
        <v>0</v>
      </c>
      <c r="L25" s="665">
        <v>0</v>
      </c>
      <c r="M25" s="665">
        <v>0</v>
      </c>
      <c r="N25" s="598">
        <f t="shared" si="0"/>
        <v>380.55699999999996</v>
      </c>
    </row>
    <row r="26" spans="1:15" s="223" customFormat="1">
      <c r="A26" s="308" t="s">
        <v>171</v>
      </c>
      <c r="B26" s="593">
        <v>3.379</v>
      </c>
      <c r="C26" s="594">
        <v>24.798999999999999</v>
      </c>
      <c r="D26" s="594">
        <f>28.178-C26-B26</f>
        <v>0</v>
      </c>
      <c r="E26" s="594">
        <v>0</v>
      </c>
      <c r="F26" s="665">
        <v>0</v>
      </c>
      <c r="G26" s="665">
        <v>103.866</v>
      </c>
      <c r="H26" s="665">
        <v>0</v>
      </c>
      <c r="I26" s="665">
        <v>0</v>
      </c>
      <c r="J26" s="665">
        <v>0</v>
      </c>
      <c r="K26" s="665">
        <v>0</v>
      </c>
      <c r="L26" s="665">
        <v>0</v>
      </c>
      <c r="M26" s="665">
        <v>0</v>
      </c>
      <c r="N26" s="598">
        <f t="shared" si="0"/>
        <v>132.04400000000001</v>
      </c>
      <c r="O26" s="211"/>
    </row>
    <row r="27" spans="1:15" s="223" customFormat="1" ht="13.5">
      <c r="A27" s="408" t="s">
        <v>295</v>
      </c>
      <c r="B27" s="593">
        <v>55.295999999999999</v>
      </c>
      <c r="C27" s="594">
        <v>-33.177999999999997</v>
      </c>
      <c r="D27" s="594">
        <v>56.866</v>
      </c>
      <c r="E27" s="594">
        <v>0</v>
      </c>
      <c r="F27" s="665">
        <v>8.9420000000000002</v>
      </c>
      <c r="G27" s="665">
        <v>59.112000000000002</v>
      </c>
      <c r="H27" s="665">
        <v>0</v>
      </c>
      <c r="I27" s="665">
        <v>0</v>
      </c>
      <c r="J27" s="665">
        <v>0</v>
      </c>
      <c r="K27" s="665">
        <v>0</v>
      </c>
      <c r="L27" s="665">
        <v>0</v>
      </c>
      <c r="M27" s="665">
        <v>0</v>
      </c>
      <c r="N27" s="598">
        <f t="shared" si="0"/>
        <v>147.03800000000001</v>
      </c>
      <c r="O27" s="211"/>
    </row>
    <row r="28" spans="1:15" s="223" customFormat="1" ht="14.9" customHeight="1">
      <c r="A28" s="308" t="s">
        <v>347</v>
      </c>
      <c r="B28" s="593">
        <v>22.978999999999999</v>
      </c>
      <c r="C28" s="594">
        <v>1.4</v>
      </c>
      <c r="D28" s="594">
        <v>1.101</v>
      </c>
      <c r="E28" s="594">
        <v>1.042</v>
      </c>
      <c r="F28" s="665">
        <v>0.94699999999999995</v>
      </c>
      <c r="G28" s="665">
        <v>0.91600000000000004</v>
      </c>
      <c r="H28" s="665">
        <v>-0.193</v>
      </c>
      <c r="I28" s="665">
        <v>0</v>
      </c>
      <c r="J28" s="665">
        <v>0</v>
      </c>
      <c r="K28" s="665">
        <v>0</v>
      </c>
      <c r="L28" s="665">
        <v>0</v>
      </c>
      <c r="M28" s="665">
        <v>0</v>
      </c>
      <c r="N28" s="598">
        <f t="shared" si="0"/>
        <v>28.191999999999997</v>
      </c>
    </row>
    <row r="29" spans="1:15" s="223" customFormat="1" ht="13.5">
      <c r="A29" s="308" t="s">
        <v>266</v>
      </c>
      <c r="B29" s="593">
        <v>8.077</v>
      </c>
      <c r="C29" s="594">
        <v>40.624000000000002</v>
      </c>
      <c r="D29" s="594">
        <v>2.5049999999999999</v>
      </c>
      <c r="E29" s="594">
        <v>10.302</v>
      </c>
      <c r="F29" s="665">
        <v>0.998</v>
      </c>
      <c r="G29" s="665">
        <v>0.20699999999999999</v>
      </c>
      <c r="H29" s="665">
        <v>1.411</v>
      </c>
      <c r="I29" s="665">
        <v>0</v>
      </c>
      <c r="J29" s="665">
        <v>0</v>
      </c>
      <c r="K29" s="665">
        <v>0</v>
      </c>
      <c r="L29" s="665">
        <v>0</v>
      </c>
      <c r="M29" s="665">
        <v>0</v>
      </c>
      <c r="N29" s="598">
        <f t="shared" si="0"/>
        <v>64.123999999999995</v>
      </c>
    </row>
    <row r="30" spans="1:15" s="223" customFormat="1" ht="13.5">
      <c r="A30" s="308" t="s">
        <v>202</v>
      </c>
      <c r="B30" s="593">
        <v>7.1999999999999995E-2</v>
      </c>
      <c r="C30" s="594">
        <v>1.6519999999999999</v>
      </c>
      <c r="D30" s="594">
        <v>0.84399999999999997</v>
      </c>
      <c r="E30" s="594">
        <v>8.3000000000000004E-2</v>
      </c>
      <c r="F30" s="665">
        <v>0.85599999999999998</v>
      </c>
      <c r="G30" s="665">
        <v>1.637</v>
      </c>
      <c r="H30" s="665">
        <v>0.159</v>
      </c>
      <c r="I30" s="665">
        <v>0</v>
      </c>
      <c r="J30" s="665">
        <v>0</v>
      </c>
      <c r="K30" s="665">
        <v>0</v>
      </c>
      <c r="L30" s="665">
        <v>0</v>
      </c>
      <c r="M30" s="665">
        <v>0</v>
      </c>
      <c r="N30" s="598">
        <f t="shared" si="0"/>
        <v>5.3029999999999999</v>
      </c>
    </row>
    <row r="31" spans="1:15" s="223" customFormat="1">
      <c r="A31" s="308" t="s">
        <v>203</v>
      </c>
      <c r="B31" s="593">
        <v>11.85</v>
      </c>
      <c r="C31" s="594">
        <v>31.484999999999999</v>
      </c>
      <c r="D31" s="594">
        <v>36.584000000000003</v>
      </c>
      <c r="E31" s="594">
        <v>25.762</v>
      </c>
      <c r="F31" s="665">
        <v>10.907</v>
      </c>
      <c r="G31" s="665">
        <v>9.8930000000000007</v>
      </c>
      <c r="H31" s="665">
        <v>8.8230000000000004</v>
      </c>
      <c r="I31" s="665">
        <v>0</v>
      </c>
      <c r="J31" s="665">
        <v>0</v>
      </c>
      <c r="K31" s="665">
        <v>0</v>
      </c>
      <c r="L31" s="665">
        <v>0</v>
      </c>
      <c r="M31" s="665">
        <v>0</v>
      </c>
      <c r="N31" s="598">
        <f t="shared" si="0"/>
        <v>135.304</v>
      </c>
    </row>
    <row r="32" spans="1:15" s="223" customFormat="1" ht="13.5">
      <c r="A32" s="308" t="s">
        <v>294</v>
      </c>
      <c r="B32" s="593">
        <v>3.2120000000000002</v>
      </c>
      <c r="C32" s="594">
        <v>-50.23</v>
      </c>
      <c r="D32" s="594">
        <v>-2.1789999999999998</v>
      </c>
      <c r="E32" s="594">
        <v>0</v>
      </c>
      <c r="F32" s="665">
        <v>58.034999999999997</v>
      </c>
      <c r="G32" s="665">
        <v>35.96</v>
      </c>
      <c r="H32" s="665">
        <v>163.94399999999999</v>
      </c>
      <c r="I32" s="665">
        <v>0</v>
      </c>
      <c r="J32" s="665">
        <v>0</v>
      </c>
      <c r="K32" s="665">
        <v>0</v>
      </c>
      <c r="L32" s="665">
        <v>0</v>
      </c>
      <c r="M32" s="665">
        <v>0</v>
      </c>
      <c r="N32" s="598">
        <f t="shared" si="0"/>
        <v>208.74199999999999</v>
      </c>
    </row>
    <row r="33" spans="1:15" s="223" customFormat="1">
      <c r="A33" s="308" t="s">
        <v>267</v>
      </c>
      <c r="B33" s="595">
        <v>0</v>
      </c>
      <c r="C33" s="596">
        <v>544.17999999999995</v>
      </c>
      <c r="D33" s="596">
        <v>285.53699999999998</v>
      </c>
      <c r="E33" s="596">
        <v>285.32600000000002</v>
      </c>
      <c r="F33" s="666">
        <v>185.32599999999999</v>
      </c>
      <c r="G33" s="666">
        <v>235.32599999999999</v>
      </c>
      <c r="H33" s="666">
        <v>248.40199999999999</v>
      </c>
      <c r="I33" s="666">
        <v>0</v>
      </c>
      <c r="J33" s="666">
        <v>0</v>
      </c>
      <c r="K33" s="666">
        <v>0</v>
      </c>
      <c r="L33" s="666">
        <v>0</v>
      </c>
      <c r="M33" s="666">
        <v>0</v>
      </c>
      <c r="N33" s="598">
        <f t="shared" si="0"/>
        <v>1784.097</v>
      </c>
    </row>
    <row r="34" spans="1:15" ht="12" thickBot="1">
      <c r="A34" s="315" t="s">
        <v>204</v>
      </c>
      <c r="B34" s="597">
        <f t="shared" ref="B34:M34" si="1">SUM(B9:B33)</f>
        <v>515.26599999999996</v>
      </c>
      <c r="C34" s="568">
        <f t="shared" si="1"/>
        <v>877.73099999999999</v>
      </c>
      <c r="D34" s="568">
        <f t="shared" si="1"/>
        <v>895.05299999999988</v>
      </c>
      <c r="E34" s="568">
        <f t="shared" si="1"/>
        <v>739.02800000000002</v>
      </c>
      <c r="F34" s="667">
        <f t="shared" si="1"/>
        <v>638.91599999999994</v>
      </c>
      <c r="G34" s="667">
        <f t="shared" si="1"/>
        <v>1299.164</v>
      </c>
      <c r="H34" s="667">
        <f t="shared" si="1"/>
        <v>761.54500000000007</v>
      </c>
      <c r="I34" s="667">
        <f t="shared" si="1"/>
        <v>0</v>
      </c>
      <c r="J34" s="667">
        <f t="shared" si="1"/>
        <v>0</v>
      </c>
      <c r="K34" s="667">
        <f t="shared" si="1"/>
        <v>0</v>
      </c>
      <c r="L34" s="667">
        <f t="shared" si="1"/>
        <v>0</v>
      </c>
      <c r="M34" s="667">
        <f t="shared" si="1"/>
        <v>0</v>
      </c>
      <c r="N34" s="668">
        <f>SUM(N9:N33)</f>
        <v>5726.7029999999995</v>
      </c>
    </row>
    <row r="35" spans="1:15">
      <c r="A35" s="308"/>
      <c r="B35" s="593"/>
      <c r="C35" s="569"/>
      <c r="D35" s="569"/>
      <c r="E35" s="569"/>
      <c r="F35" s="669"/>
      <c r="G35" s="669"/>
      <c r="H35" s="669"/>
      <c r="I35" s="669"/>
      <c r="J35" s="669"/>
      <c r="K35" s="669"/>
      <c r="L35" s="669"/>
      <c r="M35" s="669"/>
      <c r="N35" s="598"/>
    </row>
    <row r="36" spans="1:15" s="223" customFormat="1">
      <c r="A36" s="307" t="s">
        <v>205</v>
      </c>
      <c r="B36" s="593"/>
      <c r="C36" s="569"/>
      <c r="D36" s="569"/>
      <c r="E36" s="569"/>
      <c r="F36" s="669"/>
      <c r="G36" s="669"/>
      <c r="H36" s="669"/>
      <c r="I36" s="669"/>
      <c r="J36" s="669"/>
      <c r="K36" s="669"/>
      <c r="L36" s="669"/>
      <c r="M36" s="669"/>
      <c r="N36" s="598"/>
      <c r="O36" s="211"/>
    </row>
    <row r="37" spans="1:15">
      <c r="A37" s="308" t="s">
        <v>192</v>
      </c>
      <c r="B37" s="594">
        <v>124.98</v>
      </c>
      <c r="C37" s="594">
        <v>0</v>
      </c>
      <c r="D37" s="594">
        <f>124.98-C37-B37</f>
        <v>0</v>
      </c>
      <c r="E37" s="594">
        <v>0</v>
      </c>
      <c r="F37" s="665">
        <v>0</v>
      </c>
      <c r="G37" s="665">
        <v>0</v>
      </c>
      <c r="H37" s="665">
        <v>0.08</v>
      </c>
      <c r="I37" s="665">
        <v>0</v>
      </c>
      <c r="J37" s="665">
        <v>0</v>
      </c>
      <c r="K37" s="665">
        <v>0</v>
      </c>
      <c r="L37" s="665">
        <v>0</v>
      </c>
      <c r="M37" s="665">
        <v>0</v>
      </c>
      <c r="N37" s="598">
        <f t="shared" ref="N37:N48" si="2">SUM(B37:M37)</f>
        <v>125.06</v>
      </c>
    </row>
    <row r="38" spans="1:15" s="213" customFormat="1" ht="14.5">
      <c r="A38" s="309" t="s">
        <v>206</v>
      </c>
      <c r="B38" s="594">
        <v>0.24199999999999999</v>
      </c>
      <c r="C38" s="594">
        <v>0.216</v>
      </c>
      <c r="D38" s="594">
        <f>0.782-C38-B38</f>
        <v>0.32400000000000007</v>
      </c>
      <c r="E38" s="594">
        <v>0</v>
      </c>
      <c r="F38" s="665">
        <v>0.2</v>
      </c>
      <c r="G38" s="665">
        <v>0</v>
      </c>
      <c r="H38" s="665">
        <v>0</v>
      </c>
      <c r="I38" s="665">
        <v>0</v>
      </c>
      <c r="J38" s="665">
        <v>0</v>
      </c>
      <c r="K38" s="665">
        <v>0</v>
      </c>
      <c r="L38" s="665">
        <v>0</v>
      </c>
      <c r="M38" s="665">
        <v>0</v>
      </c>
      <c r="N38" s="598">
        <f t="shared" si="2"/>
        <v>0.98199999999999998</v>
      </c>
    </row>
    <row r="39" spans="1:15" ht="13.5">
      <c r="A39" s="308" t="s">
        <v>310</v>
      </c>
      <c r="B39" s="594">
        <v>18.131</v>
      </c>
      <c r="C39" s="594">
        <v>0</v>
      </c>
      <c r="D39" s="594">
        <f>37.401-C39-B39</f>
        <v>19.270000000000003</v>
      </c>
      <c r="E39" s="594">
        <v>0</v>
      </c>
      <c r="F39" s="665">
        <v>1.9</v>
      </c>
      <c r="G39" s="665">
        <f>2.85-0.783</f>
        <v>2.0670000000000002</v>
      </c>
      <c r="H39" s="665">
        <v>2.75</v>
      </c>
      <c r="I39" s="665">
        <v>0</v>
      </c>
      <c r="J39" s="665">
        <v>0</v>
      </c>
      <c r="K39" s="665">
        <v>0</v>
      </c>
      <c r="L39" s="665">
        <v>0</v>
      </c>
      <c r="M39" s="665">
        <v>0</v>
      </c>
      <c r="N39" s="598">
        <f t="shared" si="2"/>
        <v>44.118000000000002</v>
      </c>
    </row>
    <row r="40" spans="1:15">
      <c r="A40" s="308" t="s">
        <v>207</v>
      </c>
      <c r="B40" s="594">
        <v>0</v>
      </c>
      <c r="C40" s="594">
        <v>0</v>
      </c>
      <c r="D40" s="594">
        <v>0</v>
      </c>
      <c r="E40" s="594">
        <v>3.0630000000000002</v>
      </c>
      <c r="F40" s="665">
        <v>0</v>
      </c>
      <c r="G40" s="665">
        <v>0</v>
      </c>
      <c r="H40" s="665">
        <v>15.327999999999999</v>
      </c>
      <c r="I40" s="665">
        <v>0</v>
      </c>
      <c r="J40" s="665">
        <v>0</v>
      </c>
      <c r="K40" s="665">
        <v>0</v>
      </c>
      <c r="L40" s="665">
        <v>0</v>
      </c>
      <c r="M40" s="665">
        <v>0</v>
      </c>
      <c r="N40" s="598">
        <f t="shared" si="2"/>
        <v>18.390999999999998</v>
      </c>
    </row>
    <row r="41" spans="1:15" ht="13.5">
      <c r="A41" s="308" t="s">
        <v>348</v>
      </c>
      <c r="B41" s="594">
        <v>86.581000000000003</v>
      </c>
      <c r="C41" s="594">
        <v>95.628</v>
      </c>
      <c r="D41" s="594">
        <v>254.01</v>
      </c>
      <c r="E41" s="594">
        <v>11.034000000000001</v>
      </c>
      <c r="F41" s="665">
        <v>-47.726999999999997</v>
      </c>
      <c r="G41" s="665">
        <v>308.97899999999998</v>
      </c>
      <c r="H41" s="665">
        <v>-10.928000000000001</v>
      </c>
      <c r="I41" s="665">
        <v>0</v>
      </c>
      <c r="J41" s="665">
        <v>0</v>
      </c>
      <c r="K41" s="665">
        <v>0</v>
      </c>
      <c r="L41" s="665">
        <v>0</v>
      </c>
      <c r="M41" s="665">
        <v>0</v>
      </c>
      <c r="N41" s="598">
        <f t="shared" si="2"/>
        <v>697.577</v>
      </c>
    </row>
    <row r="42" spans="1:15">
      <c r="A42" s="309" t="s">
        <v>208</v>
      </c>
      <c r="B42" s="594">
        <v>18.05</v>
      </c>
      <c r="C42" s="594">
        <v>15.7</v>
      </c>
      <c r="D42" s="594">
        <f>49.05-C42-B42</f>
        <v>15.299999999999994</v>
      </c>
      <c r="E42" s="594">
        <v>20.05</v>
      </c>
      <c r="F42" s="665">
        <v>5.5</v>
      </c>
      <c r="G42" s="665">
        <v>13.75</v>
      </c>
      <c r="H42" s="665">
        <v>15.45</v>
      </c>
      <c r="I42" s="665">
        <v>0</v>
      </c>
      <c r="J42" s="665">
        <v>0</v>
      </c>
      <c r="K42" s="665">
        <v>0</v>
      </c>
      <c r="L42" s="665">
        <v>0</v>
      </c>
      <c r="M42" s="665">
        <v>0</v>
      </c>
      <c r="N42" s="598">
        <f t="shared" si="2"/>
        <v>103.8</v>
      </c>
    </row>
    <row r="43" spans="1:15">
      <c r="A43" s="308" t="s">
        <v>161</v>
      </c>
      <c r="B43" s="594">
        <v>0</v>
      </c>
      <c r="C43" s="594">
        <v>0</v>
      </c>
      <c r="D43" s="594">
        <f>0.276-C43-B43</f>
        <v>0.27600000000000002</v>
      </c>
      <c r="E43" s="594">
        <v>0</v>
      </c>
      <c r="F43" s="665">
        <v>0</v>
      </c>
      <c r="G43" s="665">
        <v>0</v>
      </c>
      <c r="H43" s="665">
        <v>0</v>
      </c>
      <c r="I43" s="665">
        <v>0</v>
      </c>
      <c r="J43" s="665">
        <v>0</v>
      </c>
      <c r="K43" s="665">
        <v>0</v>
      </c>
      <c r="L43" s="665">
        <v>0</v>
      </c>
      <c r="M43" s="665">
        <v>0</v>
      </c>
      <c r="N43" s="598">
        <f t="shared" si="2"/>
        <v>0.27600000000000002</v>
      </c>
    </row>
    <row r="44" spans="1:15">
      <c r="A44" s="308" t="s">
        <v>199</v>
      </c>
      <c r="B44" s="594">
        <v>0</v>
      </c>
      <c r="C44" s="594">
        <v>0</v>
      </c>
      <c r="D44" s="594">
        <v>0</v>
      </c>
      <c r="E44" s="594">
        <v>0</v>
      </c>
      <c r="F44" s="665">
        <v>0</v>
      </c>
      <c r="G44" s="665">
        <v>0</v>
      </c>
      <c r="H44" s="665">
        <v>0</v>
      </c>
      <c r="I44" s="665">
        <v>0</v>
      </c>
      <c r="J44" s="665">
        <v>0</v>
      </c>
      <c r="K44" s="665">
        <v>0</v>
      </c>
      <c r="L44" s="665">
        <v>0</v>
      </c>
      <c r="M44" s="665">
        <v>0</v>
      </c>
      <c r="N44" s="598">
        <f t="shared" si="2"/>
        <v>0</v>
      </c>
    </row>
    <row r="45" spans="1:15">
      <c r="A45" s="407" t="s">
        <v>209</v>
      </c>
      <c r="B45" s="594">
        <v>0</v>
      </c>
      <c r="C45" s="594">
        <v>0</v>
      </c>
      <c r="D45" s="594">
        <v>0</v>
      </c>
      <c r="E45" s="594">
        <v>0</v>
      </c>
      <c r="F45" s="665">
        <v>0</v>
      </c>
      <c r="G45" s="665">
        <v>0</v>
      </c>
      <c r="H45" s="665">
        <v>0</v>
      </c>
      <c r="I45" s="665">
        <v>0</v>
      </c>
      <c r="J45" s="665">
        <v>0</v>
      </c>
      <c r="K45" s="665">
        <v>0</v>
      </c>
      <c r="L45" s="665">
        <v>0</v>
      </c>
      <c r="M45" s="665">
        <v>0</v>
      </c>
      <c r="N45" s="598">
        <f t="shared" si="2"/>
        <v>0</v>
      </c>
    </row>
    <row r="46" spans="1:15" ht="13.5">
      <c r="A46" s="407" t="s">
        <v>309</v>
      </c>
      <c r="B46" s="594">
        <v>0</v>
      </c>
      <c r="C46" s="594">
        <v>0</v>
      </c>
      <c r="D46" s="594">
        <v>0</v>
      </c>
      <c r="E46" s="594">
        <v>0</v>
      </c>
      <c r="F46" s="665">
        <v>0.54</v>
      </c>
      <c r="G46" s="665">
        <v>0</v>
      </c>
      <c r="H46" s="665">
        <v>-0.54</v>
      </c>
      <c r="I46" s="665">
        <v>0</v>
      </c>
      <c r="J46" s="665">
        <v>0</v>
      </c>
      <c r="K46" s="665">
        <v>0</v>
      </c>
      <c r="L46" s="665">
        <v>0</v>
      </c>
      <c r="M46" s="665">
        <v>0</v>
      </c>
      <c r="N46" s="598">
        <f t="shared" si="2"/>
        <v>0</v>
      </c>
    </row>
    <row r="47" spans="1:15" s="645" customFormat="1" ht="13.5">
      <c r="A47" s="646" t="s">
        <v>333</v>
      </c>
      <c r="B47" s="648">
        <v>0</v>
      </c>
      <c r="C47" s="648">
        <v>0</v>
      </c>
      <c r="D47" s="648">
        <v>0</v>
      </c>
      <c r="E47" s="648">
        <v>0</v>
      </c>
      <c r="F47" s="665">
        <v>0</v>
      </c>
      <c r="G47" s="665">
        <v>-0.54</v>
      </c>
      <c r="H47" s="665">
        <v>0.54</v>
      </c>
      <c r="I47" s="665">
        <v>0</v>
      </c>
      <c r="J47" s="665">
        <v>0</v>
      </c>
      <c r="K47" s="665">
        <v>0</v>
      </c>
      <c r="L47" s="665">
        <v>0</v>
      </c>
      <c r="M47" s="665">
        <v>0</v>
      </c>
      <c r="N47" s="598">
        <f t="shared" si="2"/>
        <v>0</v>
      </c>
    </row>
    <row r="48" spans="1:15">
      <c r="A48" s="308" t="s">
        <v>210</v>
      </c>
      <c r="B48" s="596">
        <v>0</v>
      </c>
      <c r="C48" s="596">
        <v>0</v>
      </c>
      <c r="D48" s="596">
        <v>0</v>
      </c>
      <c r="E48" s="596">
        <v>0</v>
      </c>
      <c r="F48" s="666">
        <v>0</v>
      </c>
      <c r="G48" s="666">
        <v>0</v>
      </c>
      <c r="H48" s="666">
        <v>0</v>
      </c>
      <c r="I48" s="666">
        <v>0</v>
      </c>
      <c r="J48" s="666">
        <v>0</v>
      </c>
      <c r="K48" s="666">
        <v>0</v>
      </c>
      <c r="L48" s="666">
        <v>0</v>
      </c>
      <c r="M48" s="666">
        <v>0</v>
      </c>
      <c r="N48" s="598">
        <f t="shared" si="2"/>
        <v>0</v>
      </c>
    </row>
    <row r="49" spans="1:14">
      <c r="A49" s="409" t="s">
        <v>211</v>
      </c>
      <c r="B49" s="570">
        <f t="shared" ref="B49:M49" si="3">SUM(B37:B48)</f>
        <v>247.98400000000004</v>
      </c>
      <c r="C49" s="570">
        <f t="shared" si="3"/>
        <v>111.544</v>
      </c>
      <c r="D49" s="570">
        <f t="shared" si="3"/>
        <v>289.18</v>
      </c>
      <c r="E49" s="570">
        <f t="shared" si="3"/>
        <v>34.147000000000006</v>
      </c>
      <c r="F49" s="670">
        <f t="shared" si="3"/>
        <v>-39.586999999999996</v>
      </c>
      <c r="G49" s="670">
        <f t="shared" si="3"/>
        <v>324.25599999999997</v>
      </c>
      <c r="H49" s="670">
        <f t="shared" si="3"/>
        <v>22.68</v>
      </c>
      <c r="I49" s="670">
        <f t="shared" si="3"/>
        <v>0</v>
      </c>
      <c r="J49" s="670">
        <f t="shared" si="3"/>
        <v>0</v>
      </c>
      <c r="K49" s="670">
        <f t="shared" si="3"/>
        <v>0</v>
      </c>
      <c r="L49" s="670">
        <f t="shared" si="3"/>
        <v>0</v>
      </c>
      <c r="M49" s="670">
        <f t="shared" si="3"/>
        <v>0</v>
      </c>
      <c r="N49" s="668">
        <f>SUM(N37:N48)</f>
        <v>990.20399999999984</v>
      </c>
    </row>
    <row r="50" spans="1:14" ht="20.25" customHeight="1" thickBot="1">
      <c r="A50" s="224" t="s">
        <v>212</v>
      </c>
      <c r="B50" s="599">
        <f t="shared" ref="B50:M50" si="4">B49+B34</f>
        <v>763.25</v>
      </c>
      <c r="C50" s="571">
        <f t="shared" si="4"/>
        <v>989.27499999999998</v>
      </c>
      <c r="D50" s="571">
        <f t="shared" si="4"/>
        <v>1184.2329999999999</v>
      </c>
      <c r="E50" s="571">
        <f t="shared" si="4"/>
        <v>773.17500000000007</v>
      </c>
      <c r="F50" s="671">
        <f t="shared" si="4"/>
        <v>599.32899999999995</v>
      </c>
      <c r="G50" s="671">
        <f t="shared" si="4"/>
        <v>1623.42</v>
      </c>
      <c r="H50" s="671">
        <f t="shared" si="4"/>
        <v>784.22500000000002</v>
      </c>
      <c r="I50" s="671">
        <f t="shared" si="4"/>
        <v>0</v>
      </c>
      <c r="J50" s="671">
        <f t="shared" si="4"/>
        <v>0</v>
      </c>
      <c r="K50" s="671">
        <f t="shared" si="4"/>
        <v>0</v>
      </c>
      <c r="L50" s="671">
        <f t="shared" si="4"/>
        <v>0</v>
      </c>
      <c r="M50" s="671">
        <f t="shared" si="4"/>
        <v>0</v>
      </c>
      <c r="N50" s="672">
        <f>N49+N34</f>
        <v>6716.9069999999992</v>
      </c>
    </row>
    <row r="51" spans="1:14" ht="16.5" customHeight="1">
      <c r="A51" s="225"/>
      <c r="B51" s="568"/>
      <c r="C51" s="568"/>
      <c r="D51" s="568"/>
      <c r="E51" s="568"/>
      <c r="F51" s="667"/>
      <c r="G51" s="667"/>
      <c r="H51" s="667"/>
      <c r="I51" s="667"/>
      <c r="J51" s="673"/>
      <c r="K51" s="667"/>
      <c r="L51" s="667"/>
      <c r="M51" s="667"/>
      <c r="N51" s="674"/>
    </row>
    <row r="52" spans="1:14" s="213" customFormat="1" ht="30.75" customHeight="1" thickBot="1">
      <c r="A52" s="529" t="s">
        <v>213</v>
      </c>
      <c r="B52" s="600">
        <f>B50+0.041</f>
        <v>763.29100000000005</v>
      </c>
      <c r="C52" s="600">
        <f>C50+0.105</f>
        <v>989.38</v>
      </c>
      <c r="D52" s="600">
        <f>D50+0.156</f>
        <v>1184.3889999999999</v>
      </c>
      <c r="E52" s="600">
        <f>E50+0.222</f>
        <v>773.39700000000005</v>
      </c>
      <c r="F52" s="675">
        <f>F50+0.201</f>
        <v>599.53</v>
      </c>
      <c r="G52" s="675">
        <f>G50+0.213</f>
        <v>1623.633</v>
      </c>
      <c r="H52" s="675">
        <f>H50+0.264</f>
        <v>784.48900000000003</v>
      </c>
      <c r="I52" s="675">
        <v>0</v>
      </c>
      <c r="J52" s="675">
        <v>0</v>
      </c>
      <c r="K52" s="675">
        <v>0</v>
      </c>
      <c r="L52" s="675">
        <v>0</v>
      </c>
      <c r="M52" s="675">
        <v>0</v>
      </c>
      <c r="N52" s="676">
        <f>SUM(B52:M52)</f>
        <v>6718.1090000000004</v>
      </c>
    </row>
    <row r="53" spans="1:14" ht="12.75" customHeight="1">
      <c r="A53" s="250"/>
      <c r="B53" s="251"/>
      <c r="C53" s="251"/>
      <c r="D53" s="251"/>
      <c r="E53" s="251"/>
      <c r="F53" s="251"/>
      <c r="G53" s="251"/>
      <c r="H53" s="251"/>
      <c r="I53" s="251"/>
      <c r="J53" s="251"/>
      <c r="K53" s="251"/>
      <c r="L53" s="251"/>
      <c r="M53" s="251"/>
      <c r="N53" s="252"/>
    </row>
    <row r="54" spans="1:14" ht="12.75" customHeight="1">
      <c r="A54" s="416" t="s">
        <v>81</v>
      </c>
      <c r="B54" s="251"/>
      <c r="C54" s="251"/>
      <c r="D54" s="251"/>
      <c r="E54" s="251"/>
      <c r="F54" s="251"/>
      <c r="G54" s="251"/>
      <c r="H54" s="251"/>
      <c r="I54" s="251"/>
      <c r="J54" s="251"/>
      <c r="K54" s="251"/>
      <c r="L54" s="251"/>
      <c r="M54" s="251"/>
      <c r="N54" s="252"/>
    </row>
    <row r="55" spans="1:14" s="223" customFormat="1" ht="14.5">
      <c r="A55" s="561" t="s">
        <v>296</v>
      </c>
      <c r="G55" s="222"/>
      <c r="H55" s="222"/>
      <c r="J55" s="276"/>
    </row>
    <row r="56" spans="1:14" s="223" customFormat="1" ht="16.5" customHeight="1">
      <c r="A56" s="562" t="s">
        <v>297</v>
      </c>
      <c r="G56" s="222"/>
      <c r="H56" s="222"/>
      <c r="J56" s="276"/>
    </row>
    <row r="57" spans="1:14" s="223" customFormat="1" ht="16.5" customHeight="1">
      <c r="A57" s="562" t="s">
        <v>301</v>
      </c>
      <c r="G57" s="222"/>
      <c r="H57" s="222"/>
      <c r="J57" s="276"/>
    </row>
    <row r="58" spans="1:14" s="449" customFormat="1" ht="15">
      <c r="A58" s="562" t="s">
        <v>365</v>
      </c>
      <c r="B58" s="562"/>
      <c r="C58" s="562"/>
      <c r="D58" s="562"/>
      <c r="J58" s="450"/>
    </row>
    <row r="59" spans="1:14" ht="14.5">
      <c r="A59" s="562" t="s">
        <v>311</v>
      </c>
      <c r="B59" s="130"/>
      <c r="C59" s="130"/>
      <c r="D59" s="130"/>
      <c r="E59" s="130"/>
      <c r="F59" s="130"/>
    </row>
    <row r="60" spans="1:14" s="213" customFormat="1" ht="14.5">
      <c r="A60" s="631" t="s">
        <v>312</v>
      </c>
      <c r="B60" s="197"/>
      <c r="C60" s="197"/>
      <c r="D60" s="197"/>
      <c r="E60" s="197"/>
      <c r="F60" s="197"/>
      <c r="J60" s="451"/>
    </row>
    <row r="61" spans="1:14" ht="14.5">
      <c r="A61" s="649" t="s">
        <v>334</v>
      </c>
    </row>
    <row r="62" spans="1:14" ht="14.5">
      <c r="A62" s="649" t="s">
        <v>356</v>
      </c>
    </row>
    <row r="63" spans="1:14" ht="14.5">
      <c r="A63" s="649" t="s">
        <v>357</v>
      </c>
    </row>
    <row r="67" spans="1:1" ht="14">
      <c r="A67" s="235" t="s">
        <v>64</v>
      </c>
    </row>
  </sheetData>
  <printOptions horizontalCentered="1"/>
  <pageMargins left="0" right="0" top="0.55000000000000004" bottom="0" header="0.3" footer="0.15"/>
  <pageSetup paperSize="5" scale="77" orientation="landscape" cellComments="atEnd" r:id="rId1"/>
  <headerFooter alignWithMargins="0">
    <oddHeader xml:space="preserve">&amp;C&amp;"Arial,Bold"
</oddHeader>
    <oddFooter>&amp;Rpage 9 of 11
&amp;A
&amp;D  &amp;T</oddFooter>
  </headerFooter>
  <customProperties>
    <customPr name="_pios_id" r:id="rId2"/>
  </customPropertie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2:S38"/>
  <sheetViews>
    <sheetView showGridLines="0" zoomScale="130" zoomScaleNormal="130" zoomScaleSheetLayoutView="75" workbookViewId="0">
      <selection activeCell="K48" sqref="K48"/>
    </sheetView>
  </sheetViews>
  <sheetFormatPr defaultColWidth="9.26953125" defaultRowHeight="12.5"/>
  <cols>
    <col min="1" max="1" width="39.453125" style="16" customWidth="1"/>
    <col min="2" max="13" width="11" style="16" customWidth="1"/>
    <col min="14" max="14" width="15.7265625" style="16" bestFit="1" customWidth="1"/>
    <col min="15" max="15" width="9.7265625" style="16" bestFit="1" customWidth="1"/>
    <col min="16" max="16" width="9.26953125" style="16"/>
    <col min="17" max="17" width="22.26953125" style="16" customWidth="1"/>
    <col min="18" max="16384" width="9.26953125" style="16"/>
  </cols>
  <sheetData>
    <row r="2" spans="1:14" ht="13">
      <c r="E2" s="148" t="s">
        <v>39</v>
      </c>
    </row>
    <row r="3" spans="1:14" ht="13">
      <c r="C3" s="160"/>
      <c r="D3" s="160"/>
      <c r="E3" s="161" t="s">
        <v>214</v>
      </c>
      <c r="F3" s="160"/>
      <c r="G3" s="160"/>
    </row>
    <row r="4" spans="1:14" ht="13">
      <c r="A4" s="22"/>
      <c r="D4" s="160"/>
      <c r="E4" s="151" t="str">
        <f>'Program MW '!H3</f>
        <v>July 2021</v>
      </c>
      <c r="F4" s="160"/>
    </row>
    <row r="5" spans="1:14" ht="13">
      <c r="A5" s="410"/>
      <c r="E5" s="151"/>
    </row>
    <row r="6" spans="1:14" ht="13.5" thickBot="1">
      <c r="A6" s="22"/>
      <c r="E6" s="151"/>
    </row>
    <row r="7" spans="1:14" ht="32.25" customHeight="1">
      <c r="A7" s="23" t="s">
        <v>189</v>
      </c>
      <c r="B7" s="24" t="s">
        <v>41</v>
      </c>
      <c r="C7" s="24" t="s">
        <v>42</v>
      </c>
      <c r="D7" s="24" t="s">
        <v>43</v>
      </c>
      <c r="E7" s="24" t="s">
        <v>44</v>
      </c>
      <c r="F7" s="24" t="s">
        <v>31</v>
      </c>
      <c r="G7" s="24" t="s">
        <v>45</v>
      </c>
      <c r="H7" s="24" t="s">
        <v>59</v>
      </c>
      <c r="I7" s="24" t="s">
        <v>66</v>
      </c>
      <c r="J7" s="24" t="s">
        <v>67</v>
      </c>
      <c r="K7" s="24" t="s">
        <v>61</v>
      </c>
      <c r="L7" s="24" t="s">
        <v>68</v>
      </c>
      <c r="M7" s="24" t="s">
        <v>62</v>
      </c>
      <c r="N7" s="452" t="s">
        <v>215</v>
      </c>
    </row>
    <row r="8" spans="1:14" ht="16.5">
      <c r="A8" s="25" t="s">
        <v>216</v>
      </c>
      <c r="N8" s="318"/>
    </row>
    <row r="9" spans="1:14" ht="6" customHeight="1">
      <c r="A9" s="26"/>
      <c r="N9" s="318"/>
    </row>
    <row r="10" spans="1:14" ht="13">
      <c r="A10" s="26" t="s">
        <v>191</v>
      </c>
      <c r="N10" s="318"/>
    </row>
    <row r="11" spans="1:14" ht="14.25" customHeight="1">
      <c r="A11" s="27" t="s">
        <v>349</v>
      </c>
      <c r="B11" s="578">
        <v>2.012</v>
      </c>
      <c r="C11" s="578">
        <v>2.2959999999999998</v>
      </c>
      <c r="D11" s="578">
        <v>3.0379999999999998</v>
      </c>
      <c r="E11" s="578">
        <v>4.9740000000000002</v>
      </c>
      <c r="F11" s="578">
        <v>4.1189999999999998</v>
      </c>
      <c r="G11" s="578">
        <v>6.4640000000000004</v>
      </c>
      <c r="H11" s="578">
        <v>-1.4610000000000001</v>
      </c>
      <c r="I11" s="578">
        <v>0</v>
      </c>
      <c r="J11" s="578">
        <v>0</v>
      </c>
      <c r="K11" s="578">
        <v>0</v>
      </c>
      <c r="L11" s="578">
        <v>0</v>
      </c>
      <c r="M11" s="578">
        <v>0</v>
      </c>
      <c r="N11" s="574">
        <f>SUM(B11:M11)</f>
        <v>21.442</v>
      </c>
    </row>
    <row r="12" spans="1:14">
      <c r="A12" s="27" t="s">
        <v>93</v>
      </c>
      <c r="B12" s="578">
        <v>0</v>
      </c>
      <c r="C12" s="578">
        <v>0</v>
      </c>
      <c r="D12" s="578">
        <v>0</v>
      </c>
      <c r="E12" s="578">
        <v>0</v>
      </c>
      <c r="F12" s="578">
        <v>0</v>
      </c>
      <c r="G12" s="578">
        <v>0</v>
      </c>
      <c r="H12" s="578">
        <v>0</v>
      </c>
      <c r="I12" s="578">
        <v>0</v>
      </c>
      <c r="J12" s="578">
        <v>0</v>
      </c>
      <c r="K12" s="578">
        <v>0</v>
      </c>
      <c r="L12" s="578">
        <v>0</v>
      </c>
      <c r="M12" s="578">
        <v>0</v>
      </c>
      <c r="N12" s="574">
        <f>SUM(B12:M12)</f>
        <v>0</v>
      </c>
    </row>
    <row r="13" spans="1:14">
      <c r="A13" s="27" t="s">
        <v>217</v>
      </c>
      <c r="B13" s="578">
        <v>0</v>
      </c>
      <c r="C13" s="578">
        <v>0</v>
      </c>
      <c r="D13" s="578">
        <v>0</v>
      </c>
      <c r="E13" s="578">
        <v>0</v>
      </c>
      <c r="F13" s="578">
        <v>0</v>
      </c>
      <c r="G13" s="578">
        <v>0</v>
      </c>
      <c r="H13" s="578">
        <v>0</v>
      </c>
      <c r="I13" s="578">
        <v>0</v>
      </c>
      <c r="J13" s="578">
        <v>0</v>
      </c>
      <c r="K13" s="578">
        <v>0</v>
      </c>
      <c r="L13" s="578">
        <v>0</v>
      </c>
      <c r="M13" s="578">
        <v>0</v>
      </c>
      <c r="N13" s="574">
        <f>SUM(B13:M13)</f>
        <v>0</v>
      </c>
    </row>
    <row r="14" spans="1:14" ht="13">
      <c r="A14" s="20" t="s">
        <v>218</v>
      </c>
      <c r="B14" s="576">
        <f t="shared" ref="B14:M14" si="0">SUM(B11:B13)</f>
        <v>2.012</v>
      </c>
      <c r="C14" s="576">
        <f t="shared" si="0"/>
        <v>2.2959999999999998</v>
      </c>
      <c r="D14" s="576">
        <f t="shared" si="0"/>
        <v>3.0379999999999998</v>
      </c>
      <c r="E14" s="576">
        <f t="shared" si="0"/>
        <v>4.9740000000000002</v>
      </c>
      <c r="F14" s="576">
        <f t="shared" si="0"/>
        <v>4.1189999999999998</v>
      </c>
      <c r="G14" s="576">
        <f t="shared" si="0"/>
        <v>6.4640000000000004</v>
      </c>
      <c r="H14" s="576">
        <f t="shared" si="0"/>
        <v>-1.4610000000000001</v>
      </c>
      <c r="I14" s="576">
        <f t="shared" si="0"/>
        <v>0</v>
      </c>
      <c r="J14" s="576">
        <f t="shared" si="0"/>
        <v>0</v>
      </c>
      <c r="K14" s="576">
        <f t="shared" si="0"/>
        <v>0</v>
      </c>
      <c r="L14" s="576">
        <f t="shared" si="0"/>
        <v>0</v>
      </c>
      <c r="M14" s="576">
        <f t="shared" si="0"/>
        <v>0</v>
      </c>
      <c r="N14" s="577">
        <f>SUM(B14:M14)</f>
        <v>21.442</v>
      </c>
    </row>
    <row r="15" spans="1:14">
      <c r="A15" s="27"/>
      <c r="B15" s="578"/>
      <c r="C15" s="578"/>
      <c r="D15" s="578"/>
      <c r="E15" s="578"/>
      <c r="F15" s="578"/>
      <c r="G15" s="578"/>
      <c r="H15" s="578"/>
      <c r="I15" s="578"/>
      <c r="J15" s="578"/>
      <c r="K15" s="578"/>
      <c r="L15" s="578"/>
      <c r="M15" s="578"/>
      <c r="N15" s="574"/>
    </row>
    <row r="16" spans="1:14" ht="13">
      <c r="A16" s="26" t="s">
        <v>219</v>
      </c>
      <c r="B16" s="578"/>
      <c r="C16" s="578"/>
      <c r="D16" s="578"/>
      <c r="E16" s="578"/>
      <c r="F16" s="578"/>
      <c r="G16" s="578"/>
      <c r="H16" s="578"/>
      <c r="I16" s="578"/>
      <c r="J16" s="578"/>
      <c r="K16" s="578"/>
      <c r="L16" s="578"/>
      <c r="M16" s="578"/>
      <c r="N16" s="574"/>
    </row>
    <row r="17" spans="1:19" ht="15">
      <c r="A17" s="27" t="s">
        <v>220</v>
      </c>
      <c r="B17" s="578">
        <v>0</v>
      </c>
      <c r="C17" s="578">
        <v>0</v>
      </c>
      <c r="D17" s="578">
        <v>0</v>
      </c>
      <c r="E17" s="578">
        <v>0</v>
      </c>
      <c r="F17" s="578">
        <v>0</v>
      </c>
      <c r="G17" s="578">
        <v>0</v>
      </c>
      <c r="H17" s="579">
        <v>0</v>
      </c>
      <c r="I17" s="579">
        <v>0</v>
      </c>
      <c r="J17" s="579">
        <v>0</v>
      </c>
      <c r="K17" s="579">
        <v>0</v>
      </c>
      <c r="L17" s="579">
        <v>0</v>
      </c>
      <c r="M17" s="579">
        <v>0</v>
      </c>
      <c r="N17" s="574">
        <f>SUM(B17:M17)</f>
        <v>0</v>
      </c>
    </row>
    <row r="18" spans="1:19" ht="13">
      <c r="A18" s="20" t="s">
        <v>221</v>
      </c>
      <c r="B18" s="576">
        <f t="shared" ref="B18:M18" si="1">SUM(B17:B17)</f>
        <v>0</v>
      </c>
      <c r="C18" s="576">
        <f t="shared" si="1"/>
        <v>0</v>
      </c>
      <c r="D18" s="576">
        <f t="shared" si="1"/>
        <v>0</v>
      </c>
      <c r="E18" s="576">
        <f t="shared" si="1"/>
        <v>0</v>
      </c>
      <c r="F18" s="576">
        <f t="shared" si="1"/>
        <v>0</v>
      </c>
      <c r="G18" s="576">
        <f t="shared" si="1"/>
        <v>0</v>
      </c>
      <c r="H18" s="576">
        <f t="shared" si="1"/>
        <v>0</v>
      </c>
      <c r="I18" s="576">
        <f t="shared" si="1"/>
        <v>0</v>
      </c>
      <c r="J18" s="576">
        <f t="shared" si="1"/>
        <v>0</v>
      </c>
      <c r="K18" s="576">
        <f t="shared" si="1"/>
        <v>0</v>
      </c>
      <c r="L18" s="576">
        <f t="shared" si="1"/>
        <v>0</v>
      </c>
      <c r="M18" s="576">
        <f t="shared" si="1"/>
        <v>0</v>
      </c>
      <c r="N18" s="577">
        <f>SUM(B18:M18)</f>
        <v>0</v>
      </c>
    </row>
    <row r="19" spans="1:19" ht="13">
      <c r="A19" s="29"/>
      <c r="B19" s="578"/>
      <c r="C19" s="578"/>
      <c r="D19" s="578"/>
      <c r="E19" s="578"/>
      <c r="F19" s="578"/>
      <c r="G19" s="578"/>
      <c r="H19" s="578"/>
      <c r="I19" s="578"/>
      <c r="J19" s="578"/>
      <c r="K19" s="578"/>
      <c r="L19" s="578"/>
      <c r="M19" s="578"/>
      <c r="N19" s="574"/>
    </row>
    <row r="20" spans="1:19" ht="13">
      <c r="A20" s="26" t="s">
        <v>222</v>
      </c>
      <c r="B20" s="578" t="s">
        <v>56</v>
      </c>
      <c r="C20" s="578" t="s">
        <v>56</v>
      </c>
      <c r="D20" s="578" t="s">
        <v>56</v>
      </c>
      <c r="E20" s="578"/>
      <c r="F20" s="578" t="s">
        <v>56</v>
      </c>
      <c r="G20" s="578"/>
      <c r="H20" s="578" t="s">
        <v>56</v>
      </c>
      <c r="I20" s="578" t="s">
        <v>56</v>
      </c>
      <c r="J20" s="578" t="s">
        <v>56</v>
      </c>
      <c r="K20" s="578" t="s">
        <v>56</v>
      </c>
      <c r="L20" s="578" t="s">
        <v>56</v>
      </c>
      <c r="M20" s="578" t="s">
        <v>56</v>
      </c>
      <c r="N20" s="574" t="s">
        <v>56</v>
      </c>
    </row>
    <row r="21" spans="1:19">
      <c r="A21" s="27" t="s">
        <v>223</v>
      </c>
      <c r="B21" s="578">
        <v>0</v>
      </c>
      <c r="C21" s="578">
        <v>0</v>
      </c>
      <c r="D21" s="578">
        <v>0</v>
      </c>
      <c r="E21" s="578">
        <v>0</v>
      </c>
      <c r="F21" s="578">
        <v>0</v>
      </c>
      <c r="G21" s="578">
        <v>0</v>
      </c>
      <c r="H21" s="579">
        <v>0</v>
      </c>
      <c r="I21" s="579">
        <v>0</v>
      </c>
      <c r="J21" s="579">
        <v>0</v>
      </c>
      <c r="K21" s="579">
        <v>0</v>
      </c>
      <c r="L21" s="579">
        <v>0</v>
      </c>
      <c r="M21" s="579">
        <v>0</v>
      </c>
      <c r="N21" s="574">
        <f>SUM(B21:M21)</f>
        <v>0</v>
      </c>
    </row>
    <row r="22" spans="1:19" ht="13">
      <c r="A22" s="207" t="s">
        <v>224</v>
      </c>
      <c r="B22" s="576">
        <f t="shared" ref="B22:M22" si="2">SUM(B21:B21)</f>
        <v>0</v>
      </c>
      <c r="C22" s="576">
        <f t="shared" si="2"/>
        <v>0</v>
      </c>
      <c r="D22" s="576">
        <f t="shared" si="2"/>
        <v>0</v>
      </c>
      <c r="E22" s="576">
        <f t="shared" si="2"/>
        <v>0</v>
      </c>
      <c r="F22" s="576">
        <f t="shared" si="2"/>
        <v>0</v>
      </c>
      <c r="G22" s="576">
        <f t="shared" si="2"/>
        <v>0</v>
      </c>
      <c r="H22" s="576">
        <f t="shared" si="2"/>
        <v>0</v>
      </c>
      <c r="I22" s="576">
        <f t="shared" si="2"/>
        <v>0</v>
      </c>
      <c r="J22" s="576">
        <f t="shared" si="2"/>
        <v>0</v>
      </c>
      <c r="K22" s="576">
        <f t="shared" si="2"/>
        <v>0</v>
      </c>
      <c r="L22" s="576">
        <f t="shared" si="2"/>
        <v>0</v>
      </c>
      <c r="M22" s="576">
        <f t="shared" si="2"/>
        <v>0</v>
      </c>
      <c r="N22" s="577">
        <f>SUM(B22:M22)</f>
        <v>0</v>
      </c>
    </row>
    <row r="23" spans="1:19" ht="13">
      <c r="A23" s="31"/>
      <c r="B23" s="578"/>
      <c r="C23" s="578"/>
      <c r="D23" s="578"/>
      <c r="E23" s="578"/>
      <c r="F23" s="578"/>
      <c r="G23" s="581"/>
      <c r="H23" s="578"/>
      <c r="I23" s="581"/>
      <c r="J23" s="578"/>
      <c r="K23" s="578"/>
      <c r="L23" s="581"/>
      <c r="M23" s="578"/>
      <c r="N23" s="574"/>
    </row>
    <row r="24" spans="1:19" ht="13">
      <c r="A24" s="32" t="s">
        <v>205</v>
      </c>
      <c r="B24" s="578"/>
      <c r="C24" s="578"/>
      <c r="D24" s="578"/>
      <c r="E24" s="578"/>
      <c r="F24" s="578"/>
      <c r="G24" s="578"/>
      <c r="H24" s="578"/>
      <c r="I24" s="578"/>
      <c r="J24" s="578"/>
      <c r="K24" s="578"/>
      <c r="L24" s="578"/>
      <c r="M24" s="578"/>
      <c r="N24" s="574"/>
    </row>
    <row r="25" spans="1:19">
      <c r="A25" s="27" t="s">
        <v>92</v>
      </c>
      <c r="B25" s="578">
        <v>0</v>
      </c>
      <c r="C25" s="578">
        <v>0</v>
      </c>
      <c r="D25" s="578">
        <v>0</v>
      </c>
      <c r="E25" s="578">
        <v>0</v>
      </c>
      <c r="F25" s="578">
        <v>0</v>
      </c>
      <c r="G25" s="578">
        <v>0</v>
      </c>
      <c r="H25" s="579">
        <v>0</v>
      </c>
      <c r="I25" s="579">
        <v>0</v>
      </c>
      <c r="J25" s="579">
        <v>0</v>
      </c>
      <c r="K25" s="579">
        <v>0</v>
      </c>
      <c r="L25" s="579">
        <v>0</v>
      </c>
      <c r="M25" s="579">
        <v>0</v>
      </c>
      <c r="N25" s="574">
        <f>SUM(B25:M25)</f>
        <v>0</v>
      </c>
    </row>
    <row r="26" spans="1:19">
      <c r="A26" s="27" t="s">
        <v>93</v>
      </c>
      <c r="B26" s="578">
        <v>0</v>
      </c>
      <c r="C26" s="578">
        <v>0</v>
      </c>
      <c r="D26" s="578">
        <v>0</v>
      </c>
      <c r="E26" s="578">
        <v>0</v>
      </c>
      <c r="F26" s="578">
        <v>0</v>
      </c>
      <c r="G26" s="578">
        <v>0</v>
      </c>
      <c r="H26" s="579">
        <v>0</v>
      </c>
      <c r="I26" s="579">
        <v>0</v>
      </c>
      <c r="J26" s="579">
        <v>0</v>
      </c>
      <c r="K26" s="579">
        <v>0</v>
      </c>
      <c r="L26" s="579">
        <v>0</v>
      </c>
      <c r="M26" s="579">
        <v>0</v>
      </c>
      <c r="N26" s="574">
        <f>SUM(B26:M26)</f>
        <v>0</v>
      </c>
    </row>
    <row r="27" spans="1:19">
      <c r="A27" s="27" t="s">
        <v>217</v>
      </c>
      <c r="B27" s="578">
        <v>0</v>
      </c>
      <c r="C27" s="578">
        <v>0</v>
      </c>
      <c r="D27" s="578">
        <v>0</v>
      </c>
      <c r="E27" s="578">
        <v>0</v>
      </c>
      <c r="F27" s="578">
        <v>0</v>
      </c>
      <c r="G27" s="578">
        <v>0</v>
      </c>
      <c r="H27" s="579">
        <v>0</v>
      </c>
      <c r="I27" s="579">
        <v>0</v>
      </c>
      <c r="J27" s="579">
        <v>0</v>
      </c>
      <c r="K27" s="579">
        <v>0</v>
      </c>
      <c r="L27" s="579">
        <v>0</v>
      </c>
      <c r="M27" s="582">
        <v>0</v>
      </c>
      <c r="N27" s="574">
        <f>SUM(B27:M27)</f>
        <v>0</v>
      </c>
    </row>
    <row r="28" spans="1:19" ht="13">
      <c r="A28" s="33" t="s">
        <v>211</v>
      </c>
      <c r="B28" s="576">
        <f t="shared" ref="B28:H28" si="3">SUM(B25:B27)</f>
        <v>0</v>
      </c>
      <c r="C28" s="576">
        <f t="shared" si="3"/>
        <v>0</v>
      </c>
      <c r="D28" s="576">
        <f t="shared" si="3"/>
        <v>0</v>
      </c>
      <c r="E28" s="576">
        <f t="shared" si="3"/>
        <v>0</v>
      </c>
      <c r="F28" s="576">
        <f t="shared" si="3"/>
        <v>0</v>
      </c>
      <c r="G28" s="576">
        <f t="shared" si="3"/>
        <v>0</v>
      </c>
      <c r="H28" s="576">
        <f t="shared" si="3"/>
        <v>0</v>
      </c>
      <c r="I28" s="576">
        <f>SUM(I24:I27)</f>
        <v>0</v>
      </c>
      <c r="J28" s="576">
        <f>SUM(J25:J27)</f>
        <v>0</v>
      </c>
      <c r="K28" s="576">
        <f>SUM(K25:K27)</f>
        <v>0</v>
      </c>
      <c r="L28" s="576">
        <f>SUM(L25:L27)</f>
        <v>0</v>
      </c>
      <c r="M28" s="576">
        <f>SUM(M25:M27)</f>
        <v>0</v>
      </c>
      <c r="N28" s="577">
        <f>SUM(B28:M28)</f>
        <v>0</v>
      </c>
      <c r="O28" s="28"/>
    </row>
    <row r="29" spans="1:19" ht="10.5" customHeight="1">
      <c r="A29" s="34"/>
      <c r="B29" s="581"/>
      <c r="C29" s="581"/>
      <c r="D29" s="581"/>
      <c r="E29" s="581"/>
      <c r="F29" s="581"/>
      <c r="G29" s="581"/>
      <c r="H29" s="581"/>
      <c r="I29" s="581"/>
      <c r="J29" s="581"/>
      <c r="K29" s="581"/>
      <c r="L29" s="581"/>
      <c r="M29" s="581"/>
      <c r="N29" s="584"/>
    </row>
    <row r="30" spans="1:19" ht="15" customHeight="1">
      <c r="A30" s="20" t="s">
        <v>225</v>
      </c>
      <c r="B30" s="586">
        <v>0</v>
      </c>
      <c r="C30" s="586">
        <v>0</v>
      </c>
      <c r="D30" s="586">
        <v>0</v>
      </c>
      <c r="E30" s="586">
        <v>0</v>
      </c>
      <c r="F30" s="586">
        <v>0</v>
      </c>
      <c r="G30" s="586">
        <v>0</v>
      </c>
      <c r="H30" s="586">
        <v>0</v>
      </c>
      <c r="I30" s="586">
        <v>0</v>
      </c>
      <c r="J30" s="576">
        <v>0</v>
      </c>
      <c r="K30" s="576">
        <v>0</v>
      </c>
      <c r="L30" s="586">
        <v>0</v>
      </c>
      <c r="M30" s="586">
        <v>0</v>
      </c>
      <c r="N30" s="587">
        <f>SUM(B30:M30)</f>
        <v>0</v>
      </c>
      <c r="O30" s="30"/>
      <c r="P30" s="30"/>
      <c r="Q30" s="30"/>
      <c r="R30" s="30"/>
      <c r="S30" s="35"/>
    </row>
    <row r="31" spans="1:19" ht="28.5" customHeight="1" thickBot="1">
      <c r="A31" s="21" t="s">
        <v>226</v>
      </c>
      <c r="B31" s="588">
        <f t="shared" ref="B31:M31" si="4">B14+B18+B22+B28+B30</f>
        <v>2.012</v>
      </c>
      <c r="C31" s="588">
        <f t="shared" si="4"/>
        <v>2.2959999999999998</v>
      </c>
      <c r="D31" s="588">
        <f t="shared" si="4"/>
        <v>3.0379999999999998</v>
      </c>
      <c r="E31" s="588">
        <f t="shared" si="4"/>
        <v>4.9740000000000002</v>
      </c>
      <c r="F31" s="588">
        <f t="shared" si="4"/>
        <v>4.1189999999999998</v>
      </c>
      <c r="G31" s="588">
        <f t="shared" si="4"/>
        <v>6.4640000000000004</v>
      </c>
      <c r="H31" s="588">
        <f t="shared" si="4"/>
        <v>-1.4610000000000001</v>
      </c>
      <c r="I31" s="588">
        <f t="shared" si="4"/>
        <v>0</v>
      </c>
      <c r="J31" s="588">
        <f t="shared" si="4"/>
        <v>0</v>
      </c>
      <c r="K31" s="588">
        <f t="shared" si="4"/>
        <v>0</v>
      </c>
      <c r="L31" s="588">
        <f t="shared" si="4"/>
        <v>0</v>
      </c>
      <c r="M31" s="588">
        <f t="shared" si="4"/>
        <v>0</v>
      </c>
      <c r="N31" s="589">
        <f>SUM(B31:M31)</f>
        <v>21.442</v>
      </c>
      <c r="O31" s="28"/>
    </row>
    <row r="32" spans="1:19" ht="12" customHeight="1">
      <c r="A32" s="36"/>
      <c r="B32" s="37"/>
      <c r="C32" s="37"/>
      <c r="D32" s="236"/>
      <c r="E32" s="37"/>
      <c r="F32" s="37"/>
      <c r="G32" s="37"/>
      <c r="H32" s="37"/>
      <c r="I32" s="236"/>
      <c r="J32" s="236"/>
      <c r="K32" s="236"/>
      <c r="L32" s="236"/>
      <c r="M32" s="236"/>
      <c r="N32" s="37"/>
    </row>
    <row r="33" spans="1:14" ht="16.5">
      <c r="A33" s="439" t="s">
        <v>360</v>
      </c>
    </row>
    <row r="34" spans="1:14" ht="12" customHeight="1">
      <c r="A34" s="235" t="s">
        <v>64</v>
      </c>
      <c r="B34" s="28"/>
      <c r="C34" s="28"/>
      <c r="D34" s="28"/>
      <c r="E34" s="28"/>
      <c r="F34" s="28"/>
      <c r="G34" s="28"/>
      <c r="H34" s="28"/>
      <c r="I34" s="28"/>
      <c r="J34" s="28"/>
      <c r="K34" s="28"/>
      <c r="L34" s="28"/>
      <c r="M34" s="28"/>
      <c r="N34" s="28"/>
    </row>
    <row r="35" spans="1:14" ht="14.25" customHeight="1">
      <c r="A35" s="751"/>
      <c r="B35" s="751"/>
      <c r="C35" s="751"/>
      <c r="D35" s="751"/>
      <c r="E35" s="751"/>
      <c r="F35" s="751"/>
      <c r="G35" s="751"/>
      <c r="H35" s="751"/>
      <c r="I35" s="751"/>
      <c r="J35" s="751"/>
      <c r="K35" s="751"/>
      <c r="L35" s="751"/>
      <c r="M35" s="751"/>
      <c r="N35" s="751"/>
    </row>
    <row r="38" spans="1:14">
      <c r="H38" s="28"/>
    </row>
  </sheetData>
  <mergeCells count="1">
    <mergeCell ref="A35:N35"/>
  </mergeCells>
  <printOptions horizontalCentered="1"/>
  <pageMargins left="0" right="0" top="0.55000000000000004" bottom="0.17" header="0.3" footer="0.15"/>
  <pageSetup paperSize="5" scale="93" orientation="landscape" cellComments="atEnd" r:id="rId1"/>
  <headerFooter alignWithMargins="0">
    <oddHeader xml:space="preserve">&amp;C&amp;"Arial,Bold"
</oddHeader>
    <oddFooter>&amp;Rpage 10 of 11
&amp;A
&amp;D  &amp;T</oddFooter>
  </headerFooter>
  <customProperties>
    <customPr name="_pios_id" r:id="rId2"/>
  </customPropertie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S46"/>
  <sheetViews>
    <sheetView showGridLines="0" zoomScaleNormal="100" zoomScaleSheetLayoutView="75" workbookViewId="0">
      <selection activeCell="B20" sqref="B20:H23"/>
    </sheetView>
  </sheetViews>
  <sheetFormatPr defaultColWidth="9.26953125" defaultRowHeight="12.5"/>
  <cols>
    <col min="1" max="1" width="55.26953125" style="16" customWidth="1"/>
    <col min="2" max="13" width="11.54296875" style="16" customWidth="1"/>
    <col min="14" max="14" width="15.7265625" style="16" bestFit="1" customWidth="1"/>
    <col min="15" max="15" width="9.7265625" style="16" bestFit="1" customWidth="1"/>
    <col min="16" max="16" width="22.7265625" style="16" bestFit="1" customWidth="1"/>
    <col min="17" max="17" width="22.26953125" style="16" customWidth="1"/>
    <col min="18" max="16384" width="9.26953125" style="16"/>
  </cols>
  <sheetData>
    <row r="1" spans="1:16" ht="14.5">
      <c r="A1" s="493"/>
    </row>
    <row r="3" spans="1:16" ht="13">
      <c r="E3" s="148" t="s">
        <v>39</v>
      </c>
    </row>
    <row r="4" spans="1:16" ht="13">
      <c r="C4" s="160"/>
      <c r="D4" s="160"/>
      <c r="E4" s="161" t="s">
        <v>227</v>
      </c>
      <c r="F4" s="160"/>
      <c r="G4" s="160"/>
    </row>
    <row r="5" spans="1:16" ht="13">
      <c r="D5" s="160"/>
      <c r="E5" s="151" t="str">
        <f>'Program MW '!H3</f>
        <v>July 2021</v>
      </c>
      <c r="F5" s="160"/>
    </row>
    <row r="6" spans="1:16" ht="13">
      <c r="E6" s="151"/>
    </row>
    <row r="7" spans="1:16" ht="13.5" thickBot="1">
      <c r="A7" s="22"/>
    </row>
    <row r="8" spans="1:16" ht="32.25" customHeight="1" thickBot="1">
      <c r="A8" s="358" t="s">
        <v>189</v>
      </c>
      <c r="B8" s="24" t="s">
        <v>41</v>
      </c>
      <c r="C8" s="24" t="s">
        <v>42</v>
      </c>
      <c r="D8" s="24" t="s">
        <v>43</v>
      </c>
      <c r="E8" s="24" t="s">
        <v>44</v>
      </c>
      <c r="F8" s="24" t="s">
        <v>31</v>
      </c>
      <c r="G8" s="24" t="s">
        <v>45</v>
      </c>
      <c r="H8" s="24" t="s">
        <v>59</v>
      </c>
      <c r="I8" s="24" t="s">
        <v>66</v>
      </c>
      <c r="J8" s="24" t="s">
        <v>67</v>
      </c>
      <c r="K8" s="24" t="s">
        <v>61</v>
      </c>
      <c r="L8" s="24" t="s">
        <v>68</v>
      </c>
      <c r="M8" s="24" t="s">
        <v>62</v>
      </c>
      <c r="N8" s="452" t="s">
        <v>215</v>
      </c>
    </row>
    <row r="9" spans="1:16" ht="26">
      <c r="A9" s="359" t="s">
        <v>228</v>
      </c>
      <c r="B9" s="442"/>
      <c r="C9" s="237"/>
      <c r="M9" s="357"/>
      <c r="N9" s="453"/>
      <c r="P9" s="357"/>
    </row>
    <row r="10" spans="1:16" ht="6" customHeight="1">
      <c r="A10" s="316"/>
      <c r="B10" s="442"/>
      <c r="C10" s="237"/>
      <c r="M10" s="357"/>
      <c r="N10" s="318"/>
    </row>
    <row r="11" spans="1:16" ht="13">
      <c r="A11" s="316" t="s">
        <v>191</v>
      </c>
      <c r="B11" s="442"/>
      <c r="C11" s="237"/>
      <c r="M11" s="357"/>
      <c r="N11" s="318"/>
    </row>
    <row r="12" spans="1:16" ht="13">
      <c r="A12" s="317" t="s">
        <v>268</v>
      </c>
      <c r="B12" s="573">
        <v>0</v>
      </c>
      <c r="C12" s="573">
        <v>0</v>
      </c>
      <c r="D12" s="573">
        <v>0</v>
      </c>
      <c r="E12" s="573">
        <v>0</v>
      </c>
      <c r="F12" s="573">
        <v>0</v>
      </c>
      <c r="G12" s="573">
        <v>210</v>
      </c>
      <c r="H12" s="573">
        <v>0</v>
      </c>
      <c r="I12" s="573">
        <v>0</v>
      </c>
      <c r="J12" s="573">
        <v>0</v>
      </c>
      <c r="K12" s="573">
        <v>0</v>
      </c>
      <c r="L12" s="573">
        <v>0</v>
      </c>
      <c r="M12" s="573">
        <v>0</v>
      </c>
      <c r="N12" s="574">
        <f t="shared" ref="N12:N17" si="0">SUM(B12:M12)</f>
        <v>210</v>
      </c>
    </row>
    <row r="13" spans="1:16" ht="15">
      <c r="A13" s="317" t="s">
        <v>229</v>
      </c>
      <c r="B13" s="573">
        <v>32.534999999999997</v>
      </c>
      <c r="C13" s="573">
        <v>51.664999999999999</v>
      </c>
      <c r="D13" s="573">
        <f>121.347-C13-B13</f>
        <v>37.146999999999991</v>
      </c>
      <c r="E13" s="573">
        <v>27.42</v>
      </c>
      <c r="F13" s="573">
        <v>29.666</v>
      </c>
      <c r="G13" s="573">
        <v>29.318999999999999</v>
      </c>
      <c r="H13" s="573">
        <v>29.231000000000002</v>
      </c>
      <c r="I13" s="573">
        <v>0</v>
      </c>
      <c r="J13" s="573">
        <v>0</v>
      </c>
      <c r="K13" s="573">
        <v>0</v>
      </c>
      <c r="L13" s="573">
        <v>0</v>
      </c>
      <c r="M13" s="573">
        <v>0</v>
      </c>
      <c r="N13" s="574">
        <f t="shared" si="0"/>
        <v>236.98299999999998</v>
      </c>
    </row>
    <row r="14" spans="1:16" ht="15">
      <c r="A14" s="317" t="s">
        <v>276</v>
      </c>
      <c r="B14" s="573">
        <v>-9.125</v>
      </c>
      <c r="C14" s="573">
        <v>3.0419999999999998</v>
      </c>
      <c r="D14" s="573">
        <v>0</v>
      </c>
      <c r="E14" s="573">
        <v>0</v>
      </c>
      <c r="F14" s="573">
        <v>0</v>
      </c>
      <c r="G14" s="573">
        <v>0</v>
      </c>
      <c r="H14" s="573">
        <v>0</v>
      </c>
      <c r="I14" s="573">
        <v>0</v>
      </c>
      <c r="J14" s="573">
        <v>0</v>
      </c>
      <c r="K14" s="573">
        <v>0</v>
      </c>
      <c r="L14" s="573">
        <v>0</v>
      </c>
      <c r="M14" s="573">
        <v>0</v>
      </c>
      <c r="N14" s="574">
        <f t="shared" si="0"/>
        <v>-6.0830000000000002</v>
      </c>
    </row>
    <row r="15" spans="1:16" ht="15">
      <c r="A15" s="317" t="s">
        <v>230</v>
      </c>
      <c r="B15" s="573">
        <v>0</v>
      </c>
      <c r="C15" s="573">
        <v>0</v>
      </c>
      <c r="D15" s="573">
        <v>0</v>
      </c>
      <c r="E15" s="573">
        <v>0</v>
      </c>
      <c r="F15" s="573">
        <v>0</v>
      </c>
      <c r="G15" s="573">
        <v>0</v>
      </c>
      <c r="H15" s="573">
        <v>0</v>
      </c>
      <c r="I15" s="573">
        <v>0</v>
      </c>
      <c r="J15" s="573">
        <v>0</v>
      </c>
      <c r="K15" s="573">
        <v>0</v>
      </c>
      <c r="L15" s="573">
        <v>0</v>
      </c>
      <c r="M15" s="573">
        <v>0</v>
      </c>
      <c r="N15" s="574">
        <f t="shared" si="0"/>
        <v>0</v>
      </c>
    </row>
    <row r="16" spans="1:16" ht="15">
      <c r="A16" s="360" t="s">
        <v>350</v>
      </c>
      <c r="B16" s="573">
        <v>1.7729999999999999</v>
      </c>
      <c r="C16" s="573">
        <v>0.46500000000000002</v>
      </c>
      <c r="D16" s="573">
        <f>3.243-C16-B16</f>
        <v>1.0050000000000001</v>
      </c>
      <c r="E16" s="573">
        <v>22.388000000000002</v>
      </c>
      <c r="F16" s="573">
        <v>13.225</v>
      </c>
      <c r="G16" s="573">
        <v>12.673999999999999</v>
      </c>
      <c r="H16" s="573">
        <v>-1.9390000000000001</v>
      </c>
      <c r="I16" s="573">
        <v>0</v>
      </c>
      <c r="J16" s="573">
        <v>0</v>
      </c>
      <c r="K16" s="573">
        <v>0</v>
      </c>
      <c r="L16" s="573">
        <v>0</v>
      </c>
      <c r="M16" s="573">
        <v>0</v>
      </c>
      <c r="N16" s="574">
        <f t="shared" si="0"/>
        <v>49.591000000000001</v>
      </c>
      <c r="O16" s="28"/>
    </row>
    <row r="17" spans="1:16" ht="13">
      <c r="A17" s="553" t="s">
        <v>218</v>
      </c>
      <c r="B17" s="575">
        <f t="shared" ref="B17:M17" si="1">SUM(B12:B16)</f>
        <v>25.182999999999996</v>
      </c>
      <c r="C17" s="576">
        <f t="shared" si="1"/>
        <v>55.172000000000004</v>
      </c>
      <c r="D17" s="576">
        <f t="shared" si="1"/>
        <v>38.151999999999994</v>
      </c>
      <c r="E17" s="576">
        <f t="shared" si="1"/>
        <v>49.808000000000007</v>
      </c>
      <c r="F17" s="576">
        <f t="shared" si="1"/>
        <v>42.890999999999998</v>
      </c>
      <c r="G17" s="576">
        <f t="shared" si="1"/>
        <v>251.99299999999999</v>
      </c>
      <c r="H17" s="576">
        <f t="shared" si="1"/>
        <v>27.292000000000002</v>
      </c>
      <c r="I17" s="576">
        <f t="shared" si="1"/>
        <v>0</v>
      </c>
      <c r="J17" s="576">
        <f t="shared" si="1"/>
        <v>0</v>
      </c>
      <c r="K17" s="576">
        <f t="shared" si="1"/>
        <v>0</v>
      </c>
      <c r="L17" s="576">
        <f t="shared" si="1"/>
        <v>0</v>
      </c>
      <c r="M17" s="576">
        <f t="shared" si="1"/>
        <v>0</v>
      </c>
      <c r="N17" s="577">
        <f t="shared" si="0"/>
        <v>490.49099999999999</v>
      </c>
    </row>
    <row r="18" spans="1:16">
      <c r="A18" s="318"/>
      <c r="B18" s="573"/>
      <c r="C18" s="578"/>
      <c r="D18" s="578"/>
      <c r="E18" s="578"/>
      <c r="F18" s="578"/>
      <c r="G18" s="578"/>
      <c r="H18" s="578"/>
      <c r="I18" s="578"/>
      <c r="J18" s="578" t="s">
        <v>56</v>
      </c>
      <c r="K18" s="578"/>
      <c r="L18" s="578"/>
      <c r="M18" s="573"/>
      <c r="N18" s="574"/>
      <c r="P18" s="353"/>
    </row>
    <row r="19" spans="1:16" ht="13">
      <c r="A19" s="316" t="s">
        <v>231</v>
      </c>
      <c r="B19" s="573"/>
      <c r="C19" s="578"/>
      <c r="D19" s="578"/>
      <c r="E19" s="578"/>
      <c r="F19" s="578"/>
      <c r="G19" s="578"/>
      <c r="H19" s="578"/>
      <c r="I19" s="578"/>
      <c r="J19" s="578"/>
      <c r="K19" s="578"/>
      <c r="L19" s="578"/>
      <c r="M19" s="573"/>
      <c r="N19" s="574"/>
      <c r="P19" s="353"/>
    </row>
    <row r="20" spans="1:16" ht="13">
      <c r="A20" s="317" t="s">
        <v>232</v>
      </c>
      <c r="B20" s="573">
        <v>43.359000000000002</v>
      </c>
      <c r="C20" s="578">
        <v>43.359000000000002</v>
      </c>
      <c r="D20" s="578">
        <v>43.359000000000002</v>
      </c>
      <c r="E20" s="578">
        <v>43.359000000000002</v>
      </c>
      <c r="F20" s="578">
        <v>43.347000000000001</v>
      </c>
      <c r="G20" s="578">
        <v>43.3</v>
      </c>
      <c r="H20" s="578">
        <v>43.347000000000001</v>
      </c>
      <c r="I20" s="578">
        <v>0</v>
      </c>
      <c r="J20" s="578">
        <v>0</v>
      </c>
      <c r="K20" s="578">
        <v>0</v>
      </c>
      <c r="L20" s="578">
        <v>0</v>
      </c>
      <c r="M20" s="573">
        <v>0</v>
      </c>
      <c r="N20" s="574">
        <f>SUM(B20:M20)</f>
        <v>303.43</v>
      </c>
      <c r="P20" s="353"/>
    </row>
    <row r="21" spans="1:16" ht="13">
      <c r="A21" s="317" t="s">
        <v>233</v>
      </c>
      <c r="B21" s="573">
        <v>18.228999999999999</v>
      </c>
      <c r="C21" s="578">
        <v>11.869</v>
      </c>
      <c r="D21" s="578">
        <v>21.67</v>
      </c>
      <c r="E21" s="578">
        <v>18.100000000000001</v>
      </c>
      <c r="F21" s="578">
        <v>18.010999999999999</v>
      </c>
      <c r="G21" s="578">
        <v>17.899999999999999</v>
      </c>
      <c r="H21" s="578">
        <v>17.843</v>
      </c>
      <c r="I21" s="578">
        <v>0</v>
      </c>
      <c r="J21" s="578">
        <v>0</v>
      </c>
      <c r="K21" s="578">
        <v>0</v>
      </c>
      <c r="L21" s="578">
        <v>0</v>
      </c>
      <c r="M21" s="573">
        <v>0</v>
      </c>
      <c r="N21" s="574">
        <f t="shared" ref="N21:N22" si="2">SUM(B21:M21)</f>
        <v>123.622</v>
      </c>
      <c r="P21" s="353"/>
    </row>
    <row r="22" spans="1:16" ht="13">
      <c r="A22" s="317" t="s">
        <v>234</v>
      </c>
      <c r="B22" s="573">
        <v>1.7729999999999999</v>
      </c>
      <c r="C22" s="578">
        <v>1.7729999999999999</v>
      </c>
      <c r="D22" s="578">
        <v>1.7729999999999999</v>
      </c>
      <c r="E22" s="578">
        <v>1.7729999999999999</v>
      </c>
      <c r="F22" s="578">
        <v>1.7729999999999999</v>
      </c>
      <c r="G22" s="578">
        <v>1.8</v>
      </c>
      <c r="H22" s="578">
        <v>1.1639999999999999</v>
      </c>
      <c r="I22" s="578">
        <v>0</v>
      </c>
      <c r="J22" s="578">
        <v>0</v>
      </c>
      <c r="K22" s="578">
        <v>0</v>
      </c>
      <c r="L22" s="578">
        <v>0</v>
      </c>
      <c r="M22" s="573">
        <v>0</v>
      </c>
      <c r="N22" s="574">
        <f t="shared" si="2"/>
        <v>11.829000000000001</v>
      </c>
      <c r="P22" s="353"/>
    </row>
    <row r="23" spans="1:16" ht="13">
      <c r="A23" s="319" t="s">
        <v>235</v>
      </c>
      <c r="B23" s="573">
        <v>5.0369999999999999</v>
      </c>
      <c r="C23" s="578">
        <v>4.7649999999999997</v>
      </c>
      <c r="D23" s="578">
        <v>4.492</v>
      </c>
      <c r="E23" s="578">
        <v>4.2190000000000003</v>
      </c>
      <c r="F23" s="578">
        <v>3.9460000000000002</v>
      </c>
      <c r="G23" s="578">
        <v>3.7</v>
      </c>
      <c r="H23" s="578">
        <v>3.4009999999999998</v>
      </c>
      <c r="I23" s="578">
        <v>0</v>
      </c>
      <c r="J23" s="578">
        <v>0</v>
      </c>
      <c r="K23" s="578">
        <v>0</v>
      </c>
      <c r="L23" s="578">
        <v>0</v>
      </c>
      <c r="M23" s="573">
        <v>0</v>
      </c>
      <c r="N23" s="574">
        <f>SUM(B23:M23)</f>
        <v>29.560000000000002</v>
      </c>
      <c r="P23" s="353"/>
    </row>
    <row r="24" spans="1:16" ht="13">
      <c r="A24" s="554" t="s">
        <v>221</v>
      </c>
      <c r="B24" s="575">
        <f>SUM(B20:B23)</f>
        <v>68.39800000000001</v>
      </c>
      <c r="C24" s="576">
        <f t="shared" ref="C24:M24" si="3">SUM(C20:C23)</f>
        <v>61.766000000000005</v>
      </c>
      <c r="D24" s="576">
        <f t="shared" si="3"/>
        <v>71.293999999999997</v>
      </c>
      <c r="E24" s="576">
        <f t="shared" si="3"/>
        <v>67.451000000000008</v>
      </c>
      <c r="F24" s="576">
        <f t="shared" si="3"/>
        <v>67.077000000000012</v>
      </c>
      <c r="G24" s="576">
        <f t="shared" si="3"/>
        <v>66.699999999999989</v>
      </c>
      <c r="H24" s="576">
        <f t="shared" si="3"/>
        <v>65.754999999999995</v>
      </c>
      <c r="I24" s="576">
        <f t="shared" si="3"/>
        <v>0</v>
      </c>
      <c r="J24" s="576">
        <f t="shared" si="3"/>
        <v>0</v>
      </c>
      <c r="K24" s="576">
        <f t="shared" si="3"/>
        <v>0</v>
      </c>
      <c r="L24" s="576">
        <f t="shared" si="3"/>
        <v>0</v>
      </c>
      <c r="M24" s="576">
        <f t="shared" si="3"/>
        <v>0</v>
      </c>
      <c r="N24" s="577">
        <f>SUM(B24:M24)</f>
        <v>468.44100000000003</v>
      </c>
      <c r="P24" s="353"/>
    </row>
    <row r="25" spans="1:16" ht="13">
      <c r="A25" s="319"/>
      <c r="B25" s="573"/>
      <c r="C25" s="578"/>
      <c r="D25" s="578"/>
      <c r="E25" s="578"/>
      <c r="F25" s="578"/>
      <c r="G25" s="578"/>
      <c r="H25" s="578"/>
      <c r="I25" s="578"/>
      <c r="J25" s="578"/>
      <c r="K25" s="578"/>
      <c r="L25" s="578"/>
      <c r="M25" s="573"/>
      <c r="N25" s="574"/>
      <c r="P25" s="353"/>
    </row>
    <row r="26" spans="1:16" ht="13">
      <c r="A26" s="316"/>
      <c r="B26" s="573" t="s">
        <v>56</v>
      </c>
      <c r="C26" s="578" t="s">
        <v>56</v>
      </c>
      <c r="D26" s="578" t="s">
        <v>56</v>
      </c>
      <c r="E26" s="578"/>
      <c r="F26" s="578" t="s">
        <v>56</v>
      </c>
      <c r="G26" s="578"/>
      <c r="H26" s="579" t="s">
        <v>56</v>
      </c>
      <c r="I26" s="579" t="s">
        <v>56</v>
      </c>
      <c r="J26" s="579" t="s">
        <v>56</v>
      </c>
      <c r="K26" s="579" t="s">
        <v>56</v>
      </c>
      <c r="L26" s="579" t="s">
        <v>56</v>
      </c>
      <c r="M26" s="580" t="s">
        <v>56</v>
      </c>
      <c r="N26" s="574" t="s">
        <v>56</v>
      </c>
      <c r="P26" s="353"/>
    </row>
    <row r="27" spans="1:16" ht="13">
      <c r="A27" s="316" t="s">
        <v>222</v>
      </c>
      <c r="B27" s="573">
        <v>0</v>
      </c>
      <c r="C27" s="578">
        <v>0</v>
      </c>
      <c r="D27" s="578">
        <v>0</v>
      </c>
      <c r="E27" s="578">
        <v>0</v>
      </c>
      <c r="F27" s="578">
        <v>0</v>
      </c>
      <c r="G27" s="578">
        <v>0</v>
      </c>
      <c r="H27" s="579">
        <v>0</v>
      </c>
      <c r="I27" s="579">
        <v>0</v>
      </c>
      <c r="J27" s="579">
        <v>0</v>
      </c>
      <c r="K27" s="579">
        <v>0</v>
      </c>
      <c r="L27" s="579">
        <v>0</v>
      </c>
      <c r="M27" s="580">
        <v>0</v>
      </c>
      <c r="N27" s="574">
        <f>SUM(B27:M27)</f>
        <v>0</v>
      </c>
      <c r="P27" s="353"/>
    </row>
    <row r="28" spans="1:16" ht="13">
      <c r="A28" s="555" t="s">
        <v>224</v>
      </c>
      <c r="B28" s="575">
        <f t="shared" ref="B28:H28" si="4">SUM(B27:B27)</f>
        <v>0</v>
      </c>
      <c r="C28" s="576">
        <f t="shared" si="4"/>
        <v>0</v>
      </c>
      <c r="D28" s="576">
        <f t="shared" si="4"/>
        <v>0</v>
      </c>
      <c r="E28" s="576">
        <f>SUM(E27:E27)</f>
        <v>0</v>
      </c>
      <c r="F28" s="576">
        <f t="shared" si="4"/>
        <v>0</v>
      </c>
      <c r="G28" s="576">
        <f t="shared" si="4"/>
        <v>0</v>
      </c>
      <c r="H28" s="576">
        <f t="shared" si="4"/>
        <v>0</v>
      </c>
      <c r="I28" s="576">
        <f>SUM(I27:I27)</f>
        <v>0</v>
      </c>
      <c r="J28" s="576">
        <f>SUM(J27:J27)</f>
        <v>0</v>
      </c>
      <c r="K28" s="576">
        <f>SUM(K27:K27)</f>
        <v>0</v>
      </c>
      <c r="L28" s="576">
        <f>SUM(L27:L27)</f>
        <v>0</v>
      </c>
      <c r="M28" s="576">
        <f>SUM(M27:M27)</f>
        <v>0</v>
      </c>
      <c r="N28" s="577">
        <f>SUM(B28:M28)</f>
        <v>0</v>
      </c>
      <c r="P28" s="353"/>
    </row>
    <row r="29" spans="1:16" ht="13">
      <c r="A29" s="320"/>
      <c r="B29" s="573"/>
      <c r="C29" s="578"/>
      <c r="D29" s="578"/>
      <c r="E29" s="578"/>
      <c r="F29" s="578"/>
      <c r="G29" s="581"/>
      <c r="H29" s="578"/>
      <c r="I29" s="581"/>
      <c r="J29" s="578"/>
      <c r="K29" s="578"/>
      <c r="L29" s="581"/>
      <c r="M29" s="573"/>
      <c r="N29" s="574"/>
    </row>
    <row r="30" spans="1:16" ht="13">
      <c r="A30" s="321"/>
      <c r="B30" s="573"/>
      <c r="C30" s="578"/>
      <c r="D30" s="578"/>
      <c r="E30" s="578"/>
      <c r="F30" s="578"/>
      <c r="G30" s="578"/>
      <c r="H30" s="578"/>
      <c r="I30" s="578"/>
      <c r="J30" s="578"/>
      <c r="K30" s="578"/>
      <c r="L30" s="578"/>
      <c r="M30" s="573"/>
      <c r="N30" s="574"/>
    </row>
    <row r="31" spans="1:16" ht="13">
      <c r="A31" s="321" t="s">
        <v>205</v>
      </c>
      <c r="B31" s="573">
        <v>0</v>
      </c>
      <c r="C31" s="578">
        <v>0</v>
      </c>
      <c r="D31" s="578">
        <v>0</v>
      </c>
      <c r="E31" s="578">
        <v>0</v>
      </c>
      <c r="F31" s="578">
        <v>0</v>
      </c>
      <c r="G31" s="578">
        <v>0</v>
      </c>
      <c r="H31" s="579">
        <v>0</v>
      </c>
      <c r="I31" s="579">
        <v>0</v>
      </c>
      <c r="J31" s="579">
        <v>0</v>
      </c>
      <c r="K31" s="579">
        <v>0</v>
      </c>
      <c r="L31" s="579">
        <v>0</v>
      </c>
      <c r="M31" s="580">
        <v>0</v>
      </c>
      <c r="N31" s="574">
        <f>SUM(B31:M31)</f>
        <v>0</v>
      </c>
    </row>
    <row r="32" spans="1:16">
      <c r="A32" s="318"/>
      <c r="B32" s="573"/>
      <c r="C32" s="578"/>
      <c r="D32" s="578"/>
      <c r="E32" s="578"/>
      <c r="F32" s="578"/>
      <c r="G32" s="578"/>
      <c r="H32" s="579"/>
      <c r="I32" s="579"/>
      <c r="J32" s="579"/>
      <c r="K32" s="579"/>
      <c r="L32" s="579"/>
      <c r="M32" s="582"/>
      <c r="N32" s="574" t="s">
        <v>56</v>
      </c>
    </row>
    <row r="33" spans="1:19" ht="13">
      <c r="A33" s="556" t="s">
        <v>211</v>
      </c>
      <c r="B33" s="575">
        <f t="shared" ref="B33:G33" si="5">SUM(B31:B32)</f>
        <v>0</v>
      </c>
      <c r="C33" s="576">
        <f t="shared" si="5"/>
        <v>0</v>
      </c>
      <c r="D33" s="576">
        <f t="shared" si="5"/>
        <v>0</v>
      </c>
      <c r="E33" s="576">
        <f t="shared" si="5"/>
        <v>0</v>
      </c>
      <c r="F33" s="576">
        <f t="shared" si="5"/>
        <v>0</v>
      </c>
      <c r="G33" s="576">
        <f t="shared" si="5"/>
        <v>0</v>
      </c>
      <c r="H33" s="576">
        <f>SUM(H30:H32)</f>
        <v>0</v>
      </c>
      <c r="I33" s="576">
        <f>SUM(I30:I32)</f>
        <v>0</v>
      </c>
      <c r="J33" s="576">
        <f>SUM(J31:J32)</f>
        <v>0</v>
      </c>
      <c r="K33" s="576">
        <f>SUM(K31:K32)</f>
        <v>0</v>
      </c>
      <c r="L33" s="576">
        <f>SUM(L31:L32)</f>
        <v>0</v>
      </c>
      <c r="M33" s="576">
        <f>SUM(M31:M32)</f>
        <v>0</v>
      </c>
      <c r="N33" s="577">
        <f>SUM(B33:M33)</f>
        <v>0</v>
      </c>
      <c r="O33" s="28"/>
    </row>
    <row r="34" spans="1:19" ht="10.5" customHeight="1">
      <c r="A34" s="557"/>
      <c r="B34" s="583"/>
      <c r="C34" s="581"/>
      <c r="D34" s="581"/>
      <c r="E34" s="581"/>
      <c r="F34" s="581"/>
      <c r="G34" s="581"/>
      <c r="H34" s="581"/>
      <c r="I34" s="581"/>
      <c r="J34" s="581"/>
      <c r="K34" s="581"/>
      <c r="L34" s="581"/>
      <c r="M34" s="581"/>
      <c r="N34" s="584"/>
    </row>
    <row r="35" spans="1:19" ht="15" customHeight="1">
      <c r="A35" s="554" t="s">
        <v>225</v>
      </c>
      <c r="B35" s="585">
        <v>0</v>
      </c>
      <c r="C35" s="586">
        <v>0</v>
      </c>
      <c r="D35" s="586">
        <v>0</v>
      </c>
      <c r="E35" s="586">
        <v>0</v>
      </c>
      <c r="F35" s="586">
        <v>0</v>
      </c>
      <c r="G35" s="586">
        <v>0</v>
      </c>
      <c r="H35" s="586">
        <v>0</v>
      </c>
      <c r="I35" s="586">
        <v>0</v>
      </c>
      <c r="J35" s="576">
        <v>0</v>
      </c>
      <c r="K35" s="576">
        <v>0</v>
      </c>
      <c r="L35" s="586">
        <v>0</v>
      </c>
      <c r="M35" s="586">
        <v>0</v>
      </c>
      <c r="N35" s="587">
        <f>SUM(B35:M35)</f>
        <v>0</v>
      </c>
      <c r="O35" s="30"/>
      <c r="P35" s="30"/>
      <c r="Q35" s="30"/>
      <c r="R35" s="30"/>
      <c r="S35" s="35"/>
    </row>
    <row r="36" spans="1:19" ht="15" customHeight="1" thickBot="1">
      <c r="A36" s="322" t="s">
        <v>236</v>
      </c>
      <c r="B36" s="588">
        <f t="shared" ref="B36:L36" si="6">B17+B24+B28+B33+B35</f>
        <v>93.581000000000003</v>
      </c>
      <c r="C36" s="588">
        <f t="shared" si="6"/>
        <v>116.93800000000002</v>
      </c>
      <c r="D36" s="588">
        <f t="shared" si="6"/>
        <v>109.446</v>
      </c>
      <c r="E36" s="588">
        <f t="shared" si="6"/>
        <v>117.25900000000001</v>
      </c>
      <c r="F36" s="588">
        <f t="shared" si="6"/>
        <v>109.96800000000002</v>
      </c>
      <c r="G36" s="588">
        <f t="shared" si="6"/>
        <v>318.69299999999998</v>
      </c>
      <c r="H36" s="588">
        <f>H17+H24+H28+H33+H35</f>
        <v>93.046999999999997</v>
      </c>
      <c r="I36" s="588">
        <f t="shared" si="6"/>
        <v>0</v>
      </c>
      <c r="J36" s="588">
        <f t="shared" si="6"/>
        <v>0</v>
      </c>
      <c r="K36" s="588">
        <f t="shared" si="6"/>
        <v>0</v>
      </c>
      <c r="L36" s="588">
        <f t="shared" si="6"/>
        <v>0</v>
      </c>
      <c r="M36" s="588">
        <f>M17+M24+M28+M33+M35</f>
        <v>0</v>
      </c>
      <c r="N36" s="589">
        <f>SUM(B36:M36)</f>
        <v>958.93200000000002</v>
      </c>
      <c r="O36" s="30"/>
      <c r="P36" s="30"/>
      <c r="Q36" s="30"/>
      <c r="R36" s="30"/>
      <c r="S36" s="35"/>
    </row>
    <row r="37" spans="1:19" s="160" customFormat="1" ht="26.25" customHeight="1" thickBot="1">
      <c r="A37" s="530" t="s">
        <v>237</v>
      </c>
      <c r="B37" s="590">
        <f>B36+0.05</f>
        <v>93.631</v>
      </c>
      <c r="C37" s="591">
        <f>C36+0.013</f>
        <v>116.95100000000002</v>
      </c>
      <c r="D37" s="591">
        <f>D36+0.018</f>
        <v>109.464</v>
      </c>
      <c r="E37" s="591">
        <f>E36+0.025</f>
        <v>117.28400000000002</v>
      </c>
      <c r="F37" s="591">
        <f>F36+0.025</f>
        <v>109.99300000000002</v>
      </c>
      <c r="G37" s="591">
        <f>G36+0.029</f>
        <v>318.72199999999998</v>
      </c>
      <c r="H37" s="591">
        <f>H36+0.038</f>
        <v>93.084999999999994</v>
      </c>
      <c r="I37" s="591">
        <v>0</v>
      </c>
      <c r="J37" s="591">
        <v>0</v>
      </c>
      <c r="K37" s="591">
        <v>0</v>
      </c>
      <c r="L37" s="591">
        <v>0</v>
      </c>
      <c r="M37" s="591">
        <v>0</v>
      </c>
      <c r="N37" s="592">
        <f>SUM(B37:M37)</f>
        <v>959.13000000000011</v>
      </c>
      <c r="O37" s="531"/>
    </row>
    <row r="38" spans="1:19" ht="13">
      <c r="A38" s="36"/>
      <c r="B38" s="37"/>
      <c r="C38" s="37"/>
      <c r="D38" s="37"/>
      <c r="E38" s="37"/>
      <c r="F38" s="37"/>
      <c r="G38" s="37"/>
      <c r="H38" s="37"/>
      <c r="I38" s="37"/>
      <c r="J38" s="37"/>
      <c r="K38" s="37"/>
      <c r="L38" s="37"/>
      <c r="M38" s="37"/>
      <c r="N38" s="37"/>
    </row>
    <row r="39" spans="1:19" ht="14">
      <c r="A39" s="418" t="s">
        <v>63</v>
      </c>
      <c r="B39" s="417"/>
      <c r="C39" s="417"/>
      <c r="D39" s="417"/>
      <c r="E39" s="417"/>
      <c r="F39" s="417"/>
      <c r="G39" s="417"/>
      <c r="H39" s="417"/>
      <c r="I39" s="417"/>
      <c r="J39" s="417"/>
      <c r="K39" s="417"/>
      <c r="L39" s="417"/>
      <c r="M39" s="417"/>
      <c r="N39" s="417"/>
    </row>
    <row r="40" spans="1:19" ht="16.5">
      <c r="A40" s="524" t="s">
        <v>269</v>
      </c>
      <c r="B40" s="525"/>
      <c r="C40" s="525"/>
      <c r="D40" s="525"/>
      <c r="E40" s="525"/>
      <c r="F40" s="525"/>
      <c r="G40" s="525"/>
      <c r="H40" s="525"/>
      <c r="I40" s="525"/>
      <c r="J40" s="525"/>
      <c r="K40" s="525"/>
      <c r="L40" s="525"/>
      <c r="M40" s="525"/>
      <c r="N40" s="525"/>
    </row>
    <row r="41" spans="1:19" ht="15" customHeight="1">
      <c r="A41" s="752" t="s">
        <v>270</v>
      </c>
      <c r="B41" s="752"/>
      <c r="C41" s="752"/>
      <c r="D41" s="752"/>
      <c r="E41" s="752"/>
      <c r="F41" s="752"/>
      <c r="G41" s="752"/>
      <c r="H41" s="752"/>
      <c r="I41" s="752"/>
      <c r="J41" s="752"/>
      <c r="K41" s="752"/>
      <c r="L41" s="752"/>
      <c r="M41" s="752"/>
      <c r="N41" s="752"/>
    </row>
    <row r="42" spans="1:19" ht="15" customHeight="1">
      <c r="A42" s="526" t="s">
        <v>271</v>
      </c>
      <c r="B42" s="527"/>
      <c r="C42" s="527"/>
      <c r="D42" s="527"/>
      <c r="E42" s="527"/>
      <c r="F42" s="527"/>
      <c r="G42" s="527"/>
      <c r="H42" s="527"/>
      <c r="I42" s="527"/>
      <c r="J42" s="527"/>
      <c r="K42" s="527"/>
      <c r="L42" s="527"/>
      <c r="M42" s="527"/>
      <c r="N42" s="527"/>
    </row>
    <row r="43" spans="1:19" ht="15" customHeight="1">
      <c r="A43" s="528" t="s">
        <v>277</v>
      </c>
      <c r="B43" s="527"/>
      <c r="C43" s="527"/>
      <c r="D43" s="527"/>
      <c r="E43" s="527"/>
      <c r="F43" s="527"/>
      <c r="G43" s="527"/>
      <c r="H43" s="527"/>
      <c r="I43" s="527"/>
      <c r="J43" s="527"/>
      <c r="K43" s="527"/>
      <c r="L43" s="527"/>
      <c r="M43" s="527"/>
      <c r="N43" s="527"/>
    </row>
    <row r="44" spans="1:19" ht="15" customHeight="1">
      <c r="A44" s="528" t="s">
        <v>361</v>
      </c>
      <c r="B44" s="495"/>
      <c r="C44" s="495"/>
      <c r="D44" s="495"/>
      <c r="E44" s="495"/>
      <c r="F44" s="495"/>
      <c r="G44" s="495"/>
      <c r="H44" s="495"/>
      <c r="I44" s="495"/>
      <c r="J44" s="495"/>
      <c r="K44" s="495"/>
      <c r="L44" s="495"/>
      <c r="M44" s="495"/>
      <c r="N44" s="495"/>
    </row>
    <row r="45" spans="1:19" ht="14.5">
      <c r="A45" s="235" t="s">
        <v>64</v>
      </c>
      <c r="E45" s="123"/>
    </row>
    <row r="46" spans="1:19">
      <c r="H46" s="28"/>
    </row>
  </sheetData>
  <mergeCells count="1">
    <mergeCell ref="A41:N41"/>
  </mergeCells>
  <printOptions horizontalCentered="1"/>
  <pageMargins left="0" right="0" top="0.55000000000000004" bottom="0.17" header="0.3" footer="0.15"/>
  <pageSetup paperSize="5" scale="86" orientation="landscape" cellComments="atEnd" r:id="rId1"/>
  <headerFooter alignWithMargins="0">
    <oddHeader xml:space="preserve">&amp;C&amp;"Arial,Bold"
</oddHeader>
    <oddFooter>&amp;Rpage 11 of 11
&amp;A
&amp;D  &amp;T</oddFooter>
  </headerFooter>
  <customProperties>
    <customPr name="_pios_id" r:id="rId2"/>
  </customPropertie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B7D80C-74B1-49BA-BCE4-67DCB4CEA444}">
  <sheetPr>
    <pageSetUpPr fitToPage="1"/>
  </sheetPr>
  <dimension ref="A1:S42"/>
  <sheetViews>
    <sheetView showGridLines="0" zoomScaleNormal="100" zoomScaleSheetLayoutView="75" workbookViewId="0">
      <selection activeCell="H12" sqref="H12"/>
    </sheetView>
  </sheetViews>
  <sheetFormatPr defaultColWidth="9.26953125" defaultRowHeight="12.5"/>
  <cols>
    <col min="1" max="1" width="55.26953125" style="680" customWidth="1"/>
    <col min="2" max="13" width="11.54296875" style="680" customWidth="1"/>
    <col min="14" max="14" width="15.7265625" style="680" bestFit="1" customWidth="1"/>
    <col min="15" max="15" width="9.7265625" style="680" bestFit="1" customWidth="1"/>
    <col min="16" max="16" width="22.7265625" style="680" bestFit="1" customWidth="1"/>
    <col min="17" max="17" width="22.26953125" style="680" customWidth="1"/>
    <col min="18" max="16384" width="9.26953125" style="680"/>
  </cols>
  <sheetData>
    <row r="1" spans="1:16" ht="14.5">
      <c r="A1" s="682"/>
    </row>
    <row r="3" spans="1:16" ht="13">
      <c r="E3" s="148" t="s">
        <v>338</v>
      </c>
    </row>
    <row r="4" spans="1:16" ht="13">
      <c r="C4" s="681"/>
      <c r="D4" s="681"/>
      <c r="E4" s="161" t="s">
        <v>363</v>
      </c>
      <c r="F4" s="681"/>
      <c r="G4" s="681"/>
    </row>
    <row r="5" spans="1:16" ht="13">
      <c r="D5" s="681"/>
      <c r="E5" s="198" t="str">
        <f>'Program MW '!H3</f>
        <v>July 2021</v>
      </c>
      <c r="F5" s="681"/>
    </row>
    <row r="6" spans="1:16" ht="13">
      <c r="E6" s="198"/>
    </row>
    <row r="7" spans="1:16" ht="13.5" thickBot="1">
      <c r="A7" s="22"/>
    </row>
    <row r="8" spans="1:16" ht="32.25" customHeight="1" thickBot="1">
      <c r="A8" s="358" t="s">
        <v>189</v>
      </c>
      <c r="B8" s="24" t="s">
        <v>41</v>
      </c>
      <c r="C8" s="24" t="s">
        <v>42</v>
      </c>
      <c r="D8" s="24" t="s">
        <v>43</v>
      </c>
      <c r="E8" s="24" t="s">
        <v>44</v>
      </c>
      <c r="F8" s="24" t="s">
        <v>31</v>
      </c>
      <c r="G8" s="24" t="s">
        <v>45</v>
      </c>
      <c r="H8" s="24" t="s">
        <v>59</v>
      </c>
      <c r="I8" s="24" t="s">
        <v>66</v>
      </c>
      <c r="J8" s="24" t="s">
        <v>67</v>
      </c>
      <c r="K8" s="24" t="s">
        <v>61</v>
      </c>
      <c r="L8" s="24" t="s">
        <v>68</v>
      </c>
      <c r="M8" s="24" t="s">
        <v>62</v>
      </c>
      <c r="N8" s="452" t="s">
        <v>215</v>
      </c>
    </row>
    <row r="9" spans="1:16" ht="26">
      <c r="A9" s="359" t="s">
        <v>339</v>
      </c>
      <c r="B9" s="683"/>
      <c r="C9" s="683"/>
      <c r="N9" s="684"/>
    </row>
    <row r="10" spans="1:16" ht="6" customHeight="1">
      <c r="A10" s="316"/>
      <c r="B10" s="683"/>
      <c r="C10" s="683"/>
      <c r="N10" s="685"/>
    </row>
    <row r="11" spans="1:16" ht="13">
      <c r="A11" s="316" t="s">
        <v>191</v>
      </c>
      <c r="B11" s="683"/>
      <c r="C11" s="683"/>
      <c r="N11" s="685"/>
    </row>
    <row r="12" spans="1:16" ht="13">
      <c r="A12" s="317" t="s">
        <v>340</v>
      </c>
      <c r="B12" s="686">
        <v>0</v>
      </c>
      <c r="C12" s="686">
        <v>0</v>
      </c>
      <c r="D12" s="686">
        <v>0</v>
      </c>
      <c r="E12" s="686">
        <v>0</v>
      </c>
      <c r="F12" s="686">
        <v>0</v>
      </c>
      <c r="G12" s="686">
        <v>0</v>
      </c>
      <c r="H12" s="686">
        <v>10.292</v>
      </c>
      <c r="I12" s="686">
        <v>0</v>
      </c>
      <c r="J12" s="686">
        <v>0</v>
      </c>
      <c r="K12" s="686">
        <v>0</v>
      </c>
      <c r="L12" s="686">
        <v>0</v>
      </c>
      <c r="M12" s="686">
        <v>0</v>
      </c>
      <c r="N12" s="687">
        <f>SUM(B12:M12)</f>
        <v>10.292</v>
      </c>
    </row>
    <row r="13" spans="1:16" ht="13">
      <c r="A13" s="553" t="s">
        <v>218</v>
      </c>
      <c r="B13" s="689">
        <f t="shared" ref="B13:M13" si="0">SUM(B12:B12)</f>
        <v>0</v>
      </c>
      <c r="C13" s="689">
        <f t="shared" si="0"/>
        <v>0</v>
      </c>
      <c r="D13" s="689">
        <f t="shared" si="0"/>
        <v>0</v>
      </c>
      <c r="E13" s="689">
        <f t="shared" si="0"/>
        <v>0</v>
      </c>
      <c r="F13" s="689">
        <f t="shared" si="0"/>
        <v>0</v>
      </c>
      <c r="G13" s="689">
        <f t="shared" si="0"/>
        <v>0</v>
      </c>
      <c r="H13" s="689">
        <f t="shared" si="0"/>
        <v>10.292</v>
      </c>
      <c r="I13" s="689">
        <f t="shared" si="0"/>
        <v>0</v>
      </c>
      <c r="J13" s="689">
        <f t="shared" si="0"/>
        <v>0</v>
      </c>
      <c r="K13" s="689">
        <f t="shared" si="0"/>
        <v>0</v>
      </c>
      <c r="L13" s="689">
        <f t="shared" si="0"/>
        <v>0</v>
      </c>
      <c r="M13" s="689">
        <f t="shared" si="0"/>
        <v>0</v>
      </c>
      <c r="N13" s="690">
        <f>SUM(B13:M13)</f>
        <v>10.292</v>
      </c>
    </row>
    <row r="14" spans="1:16">
      <c r="A14" s="685"/>
      <c r="B14" s="686"/>
      <c r="C14" s="686"/>
      <c r="D14" s="686"/>
      <c r="E14" s="686"/>
      <c r="F14" s="686"/>
      <c r="G14" s="686"/>
      <c r="H14" s="686"/>
      <c r="I14" s="686"/>
      <c r="J14" s="686" t="s">
        <v>56</v>
      </c>
      <c r="K14" s="686"/>
      <c r="L14" s="686"/>
      <c r="M14" s="686"/>
      <c r="N14" s="687"/>
      <c r="P14" s="691"/>
    </row>
    <row r="15" spans="1:16" ht="13">
      <c r="A15" s="316" t="s">
        <v>231</v>
      </c>
      <c r="B15" s="686"/>
      <c r="C15" s="686"/>
      <c r="D15" s="686"/>
      <c r="E15" s="686"/>
      <c r="F15" s="686"/>
      <c r="G15" s="686"/>
      <c r="H15" s="686"/>
      <c r="I15" s="686"/>
      <c r="J15" s="686"/>
      <c r="K15" s="686"/>
      <c r="L15" s="686"/>
      <c r="M15" s="686"/>
      <c r="N15" s="687"/>
      <c r="P15" s="691"/>
    </row>
    <row r="16" spans="1:16" ht="13">
      <c r="A16" s="317" t="s">
        <v>232</v>
      </c>
      <c r="B16" s="686">
        <v>0</v>
      </c>
      <c r="C16" s="686">
        <v>0</v>
      </c>
      <c r="D16" s="686">
        <v>0</v>
      </c>
      <c r="E16" s="686">
        <v>0</v>
      </c>
      <c r="F16" s="686">
        <v>0</v>
      </c>
      <c r="G16" s="686">
        <v>0</v>
      </c>
      <c r="H16" s="686">
        <v>0</v>
      </c>
      <c r="I16" s="686">
        <v>0</v>
      </c>
      <c r="J16" s="686">
        <v>0</v>
      </c>
      <c r="K16" s="686">
        <v>0</v>
      </c>
      <c r="L16" s="686">
        <v>0</v>
      </c>
      <c r="M16" s="686">
        <v>0</v>
      </c>
      <c r="N16" s="687">
        <f>SUM(B16:M16)</f>
        <v>0</v>
      </c>
      <c r="P16" s="691"/>
    </row>
    <row r="17" spans="1:19" ht="13">
      <c r="A17" s="317" t="s">
        <v>341</v>
      </c>
      <c r="B17" s="686">
        <v>0</v>
      </c>
      <c r="C17" s="686">
        <v>0</v>
      </c>
      <c r="D17" s="686">
        <v>0</v>
      </c>
      <c r="E17" s="686">
        <v>0</v>
      </c>
      <c r="F17" s="686">
        <v>0</v>
      </c>
      <c r="G17" s="686">
        <v>0</v>
      </c>
      <c r="H17" s="686">
        <v>0</v>
      </c>
      <c r="I17" s="686">
        <v>0</v>
      </c>
      <c r="J17" s="686">
        <v>0</v>
      </c>
      <c r="K17" s="686">
        <v>0</v>
      </c>
      <c r="L17" s="686">
        <v>0</v>
      </c>
      <c r="M17" s="686">
        <v>0</v>
      </c>
      <c r="N17" s="687">
        <f>SUM(B17:M17)</f>
        <v>0</v>
      </c>
      <c r="P17" s="691"/>
    </row>
    <row r="18" spans="1:19" ht="13">
      <c r="A18" s="317" t="s">
        <v>342</v>
      </c>
      <c r="B18" s="686">
        <v>0</v>
      </c>
      <c r="C18" s="686">
        <v>0</v>
      </c>
      <c r="D18" s="686">
        <v>0</v>
      </c>
      <c r="E18" s="686">
        <v>0</v>
      </c>
      <c r="F18" s="686">
        <v>0</v>
      </c>
      <c r="G18" s="686">
        <v>0</v>
      </c>
      <c r="H18" s="686">
        <v>0</v>
      </c>
      <c r="I18" s="686">
        <v>0</v>
      </c>
      <c r="J18" s="686">
        <v>0</v>
      </c>
      <c r="K18" s="686">
        <v>0</v>
      </c>
      <c r="L18" s="686">
        <v>0</v>
      </c>
      <c r="M18" s="686">
        <v>0</v>
      </c>
      <c r="N18" s="687">
        <f>SUM(B18:M18)</f>
        <v>0</v>
      </c>
      <c r="P18" s="691"/>
    </row>
    <row r="19" spans="1:19" ht="13">
      <c r="A19" s="319" t="s">
        <v>235</v>
      </c>
      <c r="B19" s="686">
        <v>0</v>
      </c>
      <c r="C19" s="686">
        <v>0</v>
      </c>
      <c r="D19" s="686">
        <v>0</v>
      </c>
      <c r="E19" s="686">
        <v>0</v>
      </c>
      <c r="F19" s="686">
        <v>0</v>
      </c>
      <c r="G19" s="686">
        <v>0</v>
      </c>
      <c r="H19" s="686">
        <v>0</v>
      </c>
      <c r="I19" s="686">
        <v>0</v>
      </c>
      <c r="J19" s="686">
        <v>0</v>
      </c>
      <c r="K19" s="686">
        <v>0</v>
      </c>
      <c r="L19" s="686">
        <v>0</v>
      </c>
      <c r="M19" s="686">
        <v>0</v>
      </c>
      <c r="N19" s="687">
        <f>SUM(B19:M19)</f>
        <v>0</v>
      </c>
      <c r="P19" s="691"/>
    </row>
    <row r="20" spans="1:19" ht="13">
      <c r="A20" s="554" t="s">
        <v>221</v>
      </c>
      <c r="B20" s="689">
        <f t="shared" ref="B20:M20" si="1">SUM(B16:B19)</f>
        <v>0</v>
      </c>
      <c r="C20" s="689">
        <f t="shared" si="1"/>
        <v>0</v>
      </c>
      <c r="D20" s="689">
        <f t="shared" si="1"/>
        <v>0</v>
      </c>
      <c r="E20" s="689">
        <f t="shared" si="1"/>
        <v>0</v>
      </c>
      <c r="F20" s="689">
        <f t="shared" si="1"/>
        <v>0</v>
      </c>
      <c r="G20" s="689">
        <f t="shared" si="1"/>
        <v>0</v>
      </c>
      <c r="H20" s="689">
        <f t="shared" si="1"/>
        <v>0</v>
      </c>
      <c r="I20" s="689">
        <f t="shared" si="1"/>
        <v>0</v>
      </c>
      <c r="J20" s="689">
        <f t="shared" si="1"/>
        <v>0</v>
      </c>
      <c r="K20" s="689">
        <f t="shared" si="1"/>
        <v>0</v>
      </c>
      <c r="L20" s="689">
        <f t="shared" si="1"/>
        <v>0</v>
      </c>
      <c r="M20" s="689">
        <f t="shared" si="1"/>
        <v>0</v>
      </c>
      <c r="N20" s="690">
        <f>SUM(B20:M20)</f>
        <v>0</v>
      </c>
      <c r="P20" s="691"/>
    </row>
    <row r="21" spans="1:19" ht="13">
      <c r="A21" s="319"/>
      <c r="B21" s="686"/>
      <c r="C21" s="686"/>
      <c r="D21" s="686"/>
      <c r="E21" s="686"/>
      <c r="F21" s="686"/>
      <c r="G21" s="686"/>
      <c r="H21" s="686"/>
      <c r="I21" s="686"/>
      <c r="J21" s="686"/>
      <c r="K21" s="686"/>
      <c r="L21" s="686"/>
      <c r="M21" s="686"/>
      <c r="N21" s="687"/>
      <c r="P21" s="691"/>
    </row>
    <row r="22" spans="1:19" ht="13">
      <c r="A22" s="316"/>
      <c r="B22" s="686" t="s">
        <v>56</v>
      </c>
      <c r="C22" s="686" t="s">
        <v>56</v>
      </c>
      <c r="D22" s="686" t="s">
        <v>56</v>
      </c>
      <c r="E22" s="686"/>
      <c r="F22" s="686" t="s">
        <v>56</v>
      </c>
      <c r="G22" s="686"/>
      <c r="H22" s="692" t="s">
        <v>56</v>
      </c>
      <c r="I22" s="692" t="s">
        <v>56</v>
      </c>
      <c r="J22" s="692" t="s">
        <v>56</v>
      </c>
      <c r="K22" s="692" t="s">
        <v>56</v>
      </c>
      <c r="L22" s="692" t="s">
        <v>56</v>
      </c>
      <c r="M22" s="692" t="s">
        <v>56</v>
      </c>
      <c r="N22" s="687" t="s">
        <v>56</v>
      </c>
      <c r="P22" s="691"/>
    </row>
    <row r="23" spans="1:19" ht="13">
      <c r="A23" s="316" t="s">
        <v>222</v>
      </c>
      <c r="B23" s="686">
        <v>0</v>
      </c>
      <c r="C23" s="686">
        <v>0</v>
      </c>
      <c r="D23" s="686">
        <v>0</v>
      </c>
      <c r="E23" s="686">
        <v>0</v>
      </c>
      <c r="F23" s="686">
        <v>0</v>
      </c>
      <c r="G23" s="686">
        <v>0</v>
      </c>
      <c r="H23" s="692">
        <v>0</v>
      </c>
      <c r="I23" s="692">
        <v>0</v>
      </c>
      <c r="J23" s="692">
        <v>0</v>
      </c>
      <c r="K23" s="692">
        <v>0</v>
      </c>
      <c r="L23" s="692">
        <v>0</v>
      </c>
      <c r="M23" s="692">
        <v>0</v>
      </c>
      <c r="N23" s="687">
        <f>SUM(B23:M23)</f>
        <v>0</v>
      </c>
      <c r="P23" s="691"/>
    </row>
    <row r="24" spans="1:19" ht="13">
      <c r="A24" s="555" t="s">
        <v>224</v>
      </c>
      <c r="B24" s="689">
        <f t="shared" ref="B24:M24" si="2">SUM(B23:B23)</f>
        <v>0</v>
      </c>
      <c r="C24" s="689">
        <f t="shared" si="2"/>
        <v>0</v>
      </c>
      <c r="D24" s="689">
        <f t="shared" si="2"/>
        <v>0</v>
      </c>
      <c r="E24" s="689">
        <f t="shared" si="2"/>
        <v>0</v>
      </c>
      <c r="F24" s="689">
        <f t="shared" si="2"/>
        <v>0</v>
      </c>
      <c r="G24" s="689">
        <f t="shared" si="2"/>
        <v>0</v>
      </c>
      <c r="H24" s="689">
        <f t="shared" si="2"/>
        <v>0</v>
      </c>
      <c r="I24" s="689">
        <f t="shared" si="2"/>
        <v>0</v>
      </c>
      <c r="J24" s="689">
        <f t="shared" si="2"/>
        <v>0</v>
      </c>
      <c r="K24" s="689">
        <f t="shared" si="2"/>
        <v>0</v>
      </c>
      <c r="L24" s="689">
        <f t="shared" si="2"/>
        <v>0</v>
      </c>
      <c r="M24" s="689">
        <f t="shared" si="2"/>
        <v>0</v>
      </c>
      <c r="N24" s="690">
        <f>SUM(B24:M24)</f>
        <v>0</v>
      </c>
      <c r="P24" s="691"/>
    </row>
    <row r="25" spans="1:19" ht="13">
      <c r="A25" s="320"/>
      <c r="B25" s="686"/>
      <c r="C25" s="686"/>
      <c r="D25" s="686"/>
      <c r="E25" s="686"/>
      <c r="F25" s="686"/>
      <c r="G25" s="693"/>
      <c r="H25" s="686"/>
      <c r="I25" s="693"/>
      <c r="J25" s="686"/>
      <c r="K25" s="686"/>
      <c r="L25" s="693"/>
      <c r="M25" s="686"/>
      <c r="N25" s="687"/>
    </row>
    <row r="26" spans="1:19" ht="13">
      <c r="A26" s="321"/>
      <c r="B26" s="686"/>
      <c r="C26" s="686"/>
      <c r="D26" s="686"/>
      <c r="E26" s="686"/>
      <c r="F26" s="686"/>
      <c r="G26" s="686"/>
      <c r="H26" s="686"/>
      <c r="I26" s="686"/>
      <c r="J26" s="686"/>
      <c r="K26" s="686"/>
      <c r="L26" s="686"/>
      <c r="M26" s="686"/>
      <c r="N26" s="687"/>
    </row>
    <row r="27" spans="1:19" ht="13">
      <c r="A27" s="321" t="s">
        <v>205</v>
      </c>
      <c r="B27" s="686">
        <v>0</v>
      </c>
      <c r="C27" s="686">
        <v>0</v>
      </c>
      <c r="D27" s="686">
        <v>0</v>
      </c>
      <c r="E27" s="686">
        <v>0</v>
      </c>
      <c r="F27" s="686">
        <v>0</v>
      </c>
      <c r="G27" s="686">
        <v>0</v>
      </c>
      <c r="H27" s="692">
        <v>0</v>
      </c>
      <c r="I27" s="692">
        <v>0</v>
      </c>
      <c r="J27" s="692">
        <v>0</v>
      </c>
      <c r="K27" s="692">
        <v>0</v>
      </c>
      <c r="L27" s="692">
        <v>0</v>
      </c>
      <c r="M27" s="692">
        <v>0</v>
      </c>
      <c r="N27" s="687">
        <f>SUM(B27:M27)</f>
        <v>0</v>
      </c>
    </row>
    <row r="28" spans="1:19">
      <c r="A28" s="685"/>
      <c r="B28" s="686"/>
      <c r="C28" s="686"/>
      <c r="D28" s="686"/>
      <c r="E28" s="686"/>
      <c r="F28" s="686"/>
      <c r="G28" s="686"/>
      <c r="H28" s="692"/>
      <c r="I28" s="692"/>
      <c r="J28" s="692"/>
      <c r="K28" s="692"/>
      <c r="L28" s="692"/>
      <c r="M28" s="694"/>
      <c r="N28" s="687" t="s">
        <v>56</v>
      </c>
    </row>
    <row r="29" spans="1:19" ht="13">
      <c r="A29" s="556" t="s">
        <v>211</v>
      </c>
      <c r="B29" s="689">
        <f t="shared" ref="B29:G29" si="3">SUM(B27:B28)</f>
        <v>0</v>
      </c>
      <c r="C29" s="689">
        <f t="shared" si="3"/>
        <v>0</v>
      </c>
      <c r="D29" s="689">
        <f t="shared" si="3"/>
        <v>0</v>
      </c>
      <c r="E29" s="689">
        <f t="shared" si="3"/>
        <v>0</v>
      </c>
      <c r="F29" s="689">
        <f t="shared" si="3"/>
        <v>0</v>
      </c>
      <c r="G29" s="689">
        <f t="shared" si="3"/>
        <v>0</v>
      </c>
      <c r="H29" s="689">
        <f>SUM(H26:H28)</f>
        <v>0</v>
      </c>
      <c r="I29" s="689">
        <f>SUM(I26:I28)</f>
        <v>0</v>
      </c>
      <c r="J29" s="689">
        <f>SUM(J27:J28)</f>
        <v>0</v>
      </c>
      <c r="K29" s="689">
        <f>SUM(K27:K28)</f>
        <v>0</v>
      </c>
      <c r="L29" s="689">
        <f>SUM(L27:L28)</f>
        <v>0</v>
      </c>
      <c r="M29" s="689">
        <f>SUM(M27:M28)</f>
        <v>0</v>
      </c>
      <c r="N29" s="690">
        <f>SUM(B29:M29)</f>
        <v>0</v>
      </c>
      <c r="O29" s="688"/>
    </row>
    <row r="30" spans="1:19" ht="10.5" customHeight="1">
      <c r="A30" s="695"/>
      <c r="B30" s="693"/>
      <c r="C30" s="693"/>
      <c r="D30" s="693"/>
      <c r="E30" s="693"/>
      <c r="F30" s="693"/>
      <c r="G30" s="693"/>
      <c r="H30" s="693"/>
      <c r="I30" s="693"/>
      <c r="J30" s="693"/>
      <c r="K30" s="693"/>
      <c r="L30" s="693"/>
      <c r="M30" s="693"/>
      <c r="N30" s="696"/>
    </row>
    <row r="31" spans="1:19" ht="15" customHeight="1">
      <c r="A31" s="554" t="s">
        <v>225</v>
      </c>
      <c r="B31" s="697">
        <v>0</v>
      </c>
      <c r="C31" s="697">
        <v>0</v>
      </c>
      <c r="D31" s="697">
        <v>0</v>
      </c>
      <c r="E31" s="697">
        <v>0</v>
      </c>
      <c r="F31" s="697">
        <v>0</v>
      </c>
      <c r="G31" s="697">
        <v>0</v>
      </c>
      <c r="H31" s="697">
        <v>0</v>
      </c>
      <c r="I31" s="697">
        <v>0</v>
      </c>
      <c r="J31" s="689">
        <v>0</v>
      </c>
      <c r="K31" s="689">
        <v>0</v>
      </c>
      <c r="L31" s="697">
        <v>0</v>
      </c>
      <c r="M31" s="697">
        <v>0</v>
      </c>
      <c r="N31" s="698">
        <f>SUM(B31:M31)</f>
        <v>0</v>
      </c>
      <c r="O31" s="699"/>
      <c r="P31" s="699"/>
      <c r="Q31" s="699"/>
      <c r="R31" s="699"/>
      <c r="S31" s="700"/>
    </row>
    <row r="32" spans="1:19" ht="15" customHeight="1" thickBot="1">
      <c r="A32" s="322" t="s">
        <v>343</v>
      </c>
      <c r="B32" s="701">
        <f t="shared" ref="B32:M32" si="4">B13+B20+B24+B29+B31</f>
        <v>0</v>
      </c>
      <c r="C32" s="701">
        <f t="shared" si="4"/>
        <v>0</v>
      </c>
      <c r="D32" s="701">
        <f t="shared" si="4"/>
        <v>0</v>
      </c>
      <c r="E32" s="701">
        <f t="shared" si="4"/>
        <v>0</v>
      </c>
      <c r="F32" s="701">
        <f t="shared" si="4"/>
        <v>0</v>
      </c>
      <c r="G32" s="701">
        <f t="shared" si="4"/>
        <v>0</v>
      </c>
      <c r="H32" s="701">
        <f t="shared" si="4"/>
        <v>10.292</v>
      </c>
      <c r="I32" s="701">
        <f t="shared" si="4"/>
        <v>0</v>
      </c>
      <c r="J32" s="701">
        <f t="shared" si="4"/>
        <v>0</v>
      </c>
      <c r="K32" s="701">
        <f t="shared" si="4"/>
        <v>0</v>
      </c>
      <c r="L32" s="701">
        <f t="shared" si="4"/>
        <v>0</v>
      </c>
      <c r="M32" s="701">
        <f t="shared" si="4"/>
        <v>0</v>
      </c>
      <c r="N32" s="702">
        <f>SUM(B32:M32)</f>
        <v>10.292</v>
      </c>
      <c r="O32" s="699"/>
      <c r="P32" s="699"/>
      <c r="Q32" s="699"/>
      <c r="R32" s="699"/>
      <c r="S32" s="700"/>
    </row>
    <row r="33" spans="1:15" s="681" customFormat="1" ht="26.25" customHeight="1" thickBot="1">
      <c r="A33" s="530" t="s">
        <v>344</v>
      </c>
      <c r="B33" s="703">
        <f>B32</f>
        <v>0</v>
      </c>
      <c r="C33" s="704">
        <f>C32</f>
        <v>0</v>
      </c>
      <c r="D33" s="704">
        <f>D32+0.018</f>
        <v>1.7999999999999999E-2</v>
      </c>
      <c r="E33" s="704">
        <f>E32+0.025</f>
        <v>2.5000000000000001E-2</v>
      </c>
      <c r="F33" s="704">
        <f>F32+0.025</f>
        <v>2.5000000000000001E-2</v>
      </c>
      <c r="G33" s="704">
        <f>G32+0.029</f>
        <v>2.9000000000000001E-2</v>
      </c>
      <c r="H33" s="704">
        <f>H32+0.038</f>
        <v>10.33</v>
      </c>
      <c r="I33" s="704">
        <v>0</v>
      </c>
      <c r="J33" s="704">
        <v>0</v>
      </c>
      <c r="K33" s="704">
        <v>0</v>
      </c>
      <c r="L33" s="704">
        <v>0</v>
      </c>
      <c r="M33" s="704">
        <v>0</v>
      </c>
      <c r="N33" s="705">
        <f>SUM(B33:M33)</f>
        <v>10.427</v>
      </c>
      <c r="O33" s="706"/>
    </row>
    <row r="34" spans="1:15" ht="13">
      <c r="A34" s="36"/>
      <c r="B34" s="37"/>
      <c r="C34" s="37"/>
      <c r="D34" s="37"/>
      <c r="E34" s="37"/>
      <c r="F34" s="37"/>
      <c r="G34" s="37"/>
      <c r="H34" s="37"/>
      <c r="I34" s="37"/>
      <c r="J34" s="37"/>
      <c r="K34" s="37"/>
      <c r="L34" s="37"/>
      <c r="M34" s="37"/>
      <c r="N34" s="37"/>
    </row>
    <row r="35" spans="1:15" ht="14">
      <c r="A35" s="416" t="s">
        <v>63</v>
      </c>
      <c r="B35" s="707"/>
      <c r="C35" s="707"/>
      <c r="D35" s="707"/>
      <c r="E35" s="707"/>
      <c r="F35" s="707"/>
      <c r="G35" s="707"/>
      <c r="H35" s="707"/>
      <c r="I35" s="707"/>
      <c r="J35" s="707"/>
      <c r="K35" s="707"/>
      <c r="L35" s="707"/>
      <c r="M35" s="707"/>
      <c r="N35" s="707"/>
    </row>
    <row r="36" spans="1:15" ht="14">
      <c r="A36" s="524" t="s">
        <v>362</v>
      </c>
      <c r="B36" s="525"/>
      <c r="C36" s="525"/>
      <c r="D36" s="525"/>
      <c r="E36" s="525"/>
      <c r="F36" s="525"/>
      <c r="G36" s="525"/>
      <c r="H36" s="525"/>
      <c r="I36" s="525"/>
      <c r="J36" s="525"/>
      <c r="K36" s="525"/>
      <c r="L36" s="525"/>
      <c r="M36" s="525"/>
      <c r="N36" s="525"/>
    </row>
    <row r="37" spans="1:15" ht="15" customHeight="1">
      <c r="A37" s="752"/>
      <c r="B37" s="752"/>
      <c r="C37" s="752"/>
      <c r="D37" s="752"/>
      <c r="E37" s="752"/>
      <c r="F37" s="752"/>
      <c r="G37" s="752"/>
      <c r="H37" s="752"/>
      <c r="I37" s="752"/>
      <c r="J37" s="752"/>
      <c r="K37" s="752"/>
      <c r="L37" s="752"/>
      <c r="M37" s="752"/>
      <c r="N37" s="752"/>
    </row>
    <row r="38" spans="1:15" ht="15" customHeight="1">
      <c r="A38" s="526"/>
      <c r="B38" s="679"/>
      <c r="C38" s="679"/>
      <c r="D38" s="679"/>
      <c r="E38" s="679"/>
      <c r="F38" s="679"/>
      <c r="G38" s="679"/>
      <c r="H38" s="679"/>
      <c r="I38" s="679"/>
      <c r="J38" s="679"/>
      <c r="K38" s="679"/>
      <c r="L38" s="679"/>
      <c r="M38" s="679"/>
      <c r="N38" s="679"/>
    </row>
    <row r="39" spans="1:15" ht="15" customHeight="1">
      <c r="A39" s="708"/>
      <c r="B39" s="679"/>
      <c r="C39" s="679"/>
      <c r="D39" s="679"/>
      <c r="E39" s="679"/>
      <c r="F39" s="679"/>
      <c r="G39" s="679"/>
      <c r="H39" s="679"/>
      <c r="I39" s="679"/>
      <c r="J39" s="679"/>
      <c r="K39" s="679"/>
      <c r="L39" s="679"/>
      <c r="M39" s="679"/>
      <c r="N39" s="679"/>
    </row>
    <row r="40" spans="1:15" ht="15" customHeight="1">
      <c r="A40" s="709"/>
      <c r="B40" s="495"/>
      <c r="C40" s="495"/>
      <c r="D40" s="495"/>
      <c r="E40" s="495"/>
      <c r="F40" s="495"/>
      <c r="G40" s="495"/>
      <c r="H40" s="495"/>
      <c r="I40" s="495"/>
      <c r="J40" s="495"/>
      <c r="K40" s="495"/>
      <c r="L40" s="495"/>
      <c r="M40" s="495"/>
      <c r="N40" s="495"/>
    </row>
    <row r="41" spans="1:15" ht="14.5">
      <c r="A41" s="235" t="s">
        <v>64</v>
      </c>
      <c r="E41" s="123"/>
    </row>
    <row r="42" spans="1:15">
      <c r="H42" s="688"/>
    </row>
  </sheetData>
  <mergeCells count="1">
    <mergeCell ref="A37:N37"/>
  </mergeCells>
  <printOptions horizontalCentered="1"/>
  <pageMargins left="0" right="0" top="0.55000000000000004" bottom="0.17" header="0.3" footer="0.15"/>
  <pageSetup paperSize="5" scale="85" orientation="landscape" cellComments="atEnd" r:id="rId1"/>
  <headerFooter alignWithMargins="0">
    <oddHeader xml:space="preserve">&amp;C&amp;"Arial,Bold"
</oddHeader>
    <oddFooter>&amp;Rpage 11 of 11
&amp;A
&amp;D  &amp;T</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0"/>
    <pageSetUpPr fitToPage="1"/>
  </sheetPr>
  <dimension ref="A1:AE60"/>
  <sheetViews>
    <sheetView showGridLines="0" showRuler="0" zoomScaleNormal="100" zoomScaleSheetLayoutView="80" workbookViewId="0">
      <selection activeCell="A29" sqref="A28:A29"/>
    </sheetView>
  </sheetViews>
  <sheetFormatPr defaultColWidth="9.26953125" defaultRowHeight="12.5"/>
  <cols>
    <col min="1" max="1" width="41.7265625" style="10" customWidth="1"/>
    <col min="2" max="2" width="11.26953125" style="10" customWidth="1"/>
    <col min="3" max="3" width="12.26953125" style="10" customWidth="1"/>
    <col min="4" max="4" width="12.7265625" style="10" customWidth="1"/>
    <col min="5" max="5" width="19.7265625" style="10" customWidth="1"/>
    <col min="6" max="6" width="10.26953125" style="10" customWidth="1"/>
    <col min="7" max="7" width="9.7265625" style="10" bestFit="1" customWidth="1"/>
    <col min="8" max="8" width="11.453125" style="10" customWidth="1"/>
    <col min="9" max="9" width="11.54296875" style="10" bestFit="1" customWidth="1"/>
    <col min="10" max="10" width="10.7265625" style="10" customWidth="1"/>
    <col min="11" max="14" width="12.54296875" style="10" customWidth="1"/>
    <col min="15" max="15" width="12.453125" style="10" customWidth="1"/>
    <col min="16" max="16" width="12.54296875" style="10" customWidth="1"/>
    <col min="17" max="17" width="10.7265625" style="10" customWidth="1"/>
    <col min="18" max="18" width="11" style="10" customWidth="1"/>
    <col min="19" max="19" width="11.26953125" style="10" customWidth="1"/>
    <col min="20" max="20" width="14.26953125" style="10" hidden="1" customWidth="1"/>
    <col min="21" max="21" width="9.7265625" style="10" customWidth="1"/>
    <col min="22" max="22" width="11.453125" style="10" customWidth="1"/>
    <col min="23" max="23" width="11" style="10" customWidth="1"/>
    <col min="24" max="25" width="9.7265625" style="10" customWidth="1"/>
    <col min="26" max="26" width="12.7265625" style="10" customWidth="1"/>
    <col min="27" max="27" width="8.7265625" style="10" bestFit="1" customWidth="1"/>
    <col min="28" max="28" width="10.54296875" style="10" customWidth="1"/>
    <col min="29" max="29" width="9.7265625" style="10" bestFit="1" customWidth="1"/>
    <col min="30" max="30" width="11.26953125" style="10" customWidth="1"/>
    <col min="31" max="31" width="9.7265625" style="10" bestFit="1" customWidth="1"/>
    <col min="32" max="32" width="10.7265625" style="10" customWidth="1"/>
    <col min="33" max="33" width="12.26953125" style="10" bestFit="1" customWidth="1"/>
    <col min="34" max="34" width="12.26953125" style="10" customWidth="1"/>
    <col min="35" max="35" width="9.54296875" style="10" bestFit="1" customWidth="1"/>
    <col min="36" max="36" width="11.26953125" style="10" customWidth="1"/>
    <col min="37" max="37" width="11.7265625" style="10" bestFit="1" customWidth="1"/>
    <col min="38" max="38" width="11.7265625" style="10" customWidth="1"/>
    <col min="39" max="16384" width="9.26953125" style="10"/>
  </cols>
  <sheetData>
    <row r="1" spans="1:31" ht="13">
      <c r="H1" s="148" t="s">
        <v>39</v>
      </c>
    </row>
    <row r="2" spans="1:31" ht="13">
      <c r="H2" s="148" t="s">
        <v>40</v>
      </c>
      <c r="Q2" s="12"/>
      <c r="R2" s="86"/>
    </row>
    <row r="3" spans="1:31" ht="13">
      <c r="C3" s="152"/>
      <c r="E3" s="152"/>
      <c r="G3" s="152"/>
      <c r="H3" s="151" t="s">
        <v>336</v>
      </c>
      <c r="I3" s="152"/>
    </row>
    <row r="4" spans="1:31" hidden="1">
      <c r="C4" s="10">
        <v>2</v>
      </c>
      <c r="D4" s="10">
        <f>C4</f>
        <v>2</v>
      </c>
      <c r="F4" s="10">
        <f>C4+1</f>
        <v>3</v>
      </c>
      <c r="G4" s="10">
        <f>F4</f>
        <v>3</v>
      </c>
      <c r="I4" s="10">
        <f>F4+1</f>
        <v>4</v>
      </c>
      <c r="J4" s="10">
        <f>I4</f>
        <v>4</v>
      </c>
      <c r="L4" s="10">
        <f>I4+1</f>
        <v>5</v>
      </c>
      <c r="M4" s="10">
        <f>L4</f>
        <v>5</v>
      </c>
      <c r="O4" s="10">
        <f>L4+1</f>
        <v>6</v>
      </c>
      <c r="P4" s="10">
        <f>O4</f>
        <v>6</v>
      </c>
      <c r="R4" s="10">
        <f>O4+1</f>
        <v>7</v>
      </c>
      <c r="S4" s="10">
        <f>R4</f>
        <v>7</v>
      </c>
    </row>
    <row r="5" spans="1:31" ht="13">
      <c r="C5" s="87"/>
    </row>
    <row r="6" spans="1:31" ht="13">
      <c r="A6" s="88"/>
      <c r="B6" s="89"/>
      <c r="C6" s="422" t="s">
        <v>41</v>
      </c>
      <c r="D6" s="89"/>
      <c r="E6" s="89"/>
      <c r="F6" s="89" t="s">
        <v>42</v>
      </c>
      <c r="G6" s="89"/>
      <c r="H6" s="89"/>
      <c r="I6" s="89" t="s">
        <v>43</v>
      </c>
      <c r="J6" s="89"/>
      <c r="K6" s="89"/>
      <c r="L6" s="89" t="s">
        <v>44</v>
      </c>
      <c r="M6" s="89"/>
      <c r="N6" s="89"/>
      <c r="O6" s="89" t="s">
        <v>31</v>
      </c>
      <c r="P6" s="89"/>
      <c r="Q6" s="89"/>
      <c r="R6" s="89" t="s">
        <v>45</v>
      </c>
      <c r="S6" s="89"/>
      <c r="T6" s="175"/>
    </row>
    <row r="7" spans="1:31" ht="42.5">
      <c r="A7" s="176" t="s">
        <v>46</v>
      </c>
      <c r="B7" s="195" t="s">
        <v>47</v>
      </c>
      <c r="C7" s="178" t="s">
        <v>48</v>
      </c>
      <c r="D7" s="168" t="s">
        <v>49</v>
      </c>
      <c r="E7" s="177" t="s">
        <v>47</v>
      </c>
      <c r="F7" s="178" t="s">
        <v>48</v>
      </c>
      <c r="G7" s="168" t="s">
        <v>49</v>
      </c>
      <c r="H7" s="177" t="s">
        <v>47</v>
      </c>
      <c r="I7" s="178" t="s">
        <v>48</v>
      </c>
      <c r="J7" s="168" t="s">
        <v>49</v>
      </c>
      <c r="K7" s="177" t="s">
        <v>47</v>
      </c>
      <c r="L7" s="178" t="s">
        <v>48</v>
      </c>
      <c r="M7" s="168" t="s">
        <v>49</v>
      </c>
      <c r="N7" s="177" t="s">
        <v>47</v>
      </c>
      <c r="O7" s="178" t="s">
        <v>48</v>
      </c>
      <c r="P7" s="168" t="s">
        <v>49</v>
      </c>
      <c r="Q7" s="177" t="s">
        <v>47</v>
      </c>
      <c r="R7" s="178" t="s">
        <v>48</v>
      </c>
      <c r="S7" s="168" t="s">
        <v>49</v>
      </c>
      <c r="T7" s="168" t="s">
        <v>50</v>
      </c>
    </row>
    <row r="8" spans="1:31" ht="13">
      <c r="A8" s="162" t="s">
        <v>51</v>
      </c>
      <c r="B8" s="179"/>
      <c r="C8" s="179"/>
      <c r="D8" s="180"/>
      <c r="E8" s="181"/>
      <c r="F8" s="179"/>
      <c r="G8" s="180"/>
      <c r="H8" s="181"/>
      <c r="I8" s="179"/>
      <c r="J8" s="179"/>
      <c r="K8" s="181"/>
      <c r="L8" s="179"/>
      <c r="M8" s="182"/>
      <c r="N8" s="181"/>
      <c r="O8" s="179"/>
      <c r="P8" s="182"/>
      <c r="Q8" s="181"/>
      <c r="R8" s="179"/>
      <c r="S8" s="182"/>
      <c r="T8" s="183"/>
    </row>
    <row r="9" spans="1:31">
      <c r="A9" s="85" t="s">
        <v>8</v>
      </c>
      <c r="B9" s="102">
        <v>4</v>
      </c>
      <c r="C9" s="330">
        <f>B9*(INDEX('Ex ante LI &amp; Eligibility Stats'!$A:$M,MATCH('Program MW '!$A9,'Ex ante LI &amp; Eligibility Stats'!$A:$A,0),MATCH('Program MW '!C$6,'Ex ante LI &amp; Eligibility Stats'!$A$8:$M$8,0))/1000)</f>
        <v>0.591757080078125</v>
      </c>
      <c r="D9" s="326">
        <f>B9*(INDEX('Ex post LI &amp; Eligibility Stats'!$A:$N,MATCH($A9,'Ex post LI &amp; Eligibility Stats'!$A:$A,0),MATCH('Program MW '!C$6,'Ex post LI &amp; Eligibility Stats'!$A$8:$N$8,0))/1000)</f>
        <v>0.42431999999999997</v>
      </c>
      <c r="E9" s="14">
        <v>4</v>
      </c>
      <c r="F9" s="326">
        <f>E9*(INDEX('Ex ante LI &amp; Eligibility Stats'!$A:$M,MATCH('Program MW '!$A9,'Ex ante LI &amp; Eligibility Stats'!$A:$A,0),MATCH('Program MW '!F$6,'Ex ante LI &amp; Eligibility Stats'!$A$8:$M$8,0))/1000)</f>
        <v>0.49343344116210935</v>
      </c>
      <c r="G9" s="326">
        <f>E9*(INDEX('Ex post LI &amp; Eligibility Stats'!$A:$N,MATCH($A9,'Ex post LI &amp; Eligibility Stats'!$A:$A,0),MATCH('Program MW '!F$6,'Ex post LI &amp; Eligibility Stats'!$A$8:$N$8,0))/1000)</f>
        <v>0.42431999999999997</v>
      </c>
      <c r="H9" s="14">
        <v>4</v>
      </c>
      <c r="I9" s="326">
        <f>H9*(INDEX('Ex ante LI &amp; Eligibility Stats'!$A:$M,MATCH('Program MW '!$A9,'Ex ante LI &amp; Eligibility Stats'!$A:$A,0),MATCH('Program MW '!I$6,'Ex ante LI &amp; Eligibility Stats'!$A$8:$M$8,0))/1000)</f>
        <v>0.61670471191406251</v>
      </c>
      <c r="J9" s="326">
        <f>H9*(INDEX('Ex post LI &amp; Eligibility Stats'!$A:$N,MATCH($A9,'Ex post LI &amp; Eligibility Stats'!$A:$A,0),MATCH('Program MW '!I$6,'Ex post LI &amp; Eligibility Stats'!$A$8:$N$8,0))/1000)</f>
        <v>0.42399999999999999</v>
      </c>
      <c r="K9" s="14">
        <v>2</v>
      </c>
      <c r="L9" s="326">
        <f>K9*(INDEX('Ex ante LI &amp; Eligibility Stats'!$A:$M,MATCH('Program MW '!$A9,'Ex ante LI &amp; Eligibility Stats'!$A:$A,0),MATCH('Program MW '!L$6,'Ex ante LI &amp; Eligibility Stats'!$A$8:$M$8,0))/1000)</f>
        <v>0.28272567749023436</v>
      </c>
      <c r="M9" s="326">
        <f>K9*(INDEX('Ex post LI &amp; Eligibility Stats'!$A:$N,MATCH($A9,'Ex post LI &amp; Eligibility Stats'!$A:$A,0),MATCH('Program MW '!L$6,'Ex post LI &amp; Eligibility Stats'!$A$8:$N$8,0))/1000)</f>
        <v>0.21199999999999999</v>
      </c>
      <c r="N9" s="14">
        <v>2</v>
      </c>
      <c r="O9" s="326">
        <f>N9*(INDEX('Ex ante LI &amp; Eligibility Stats'!$A:$M,MATCH('Program MW '!$A9,'Ex ante LI &amp; Eligibility Stats'!$A:$A,0),MATCH('Program MW '!O$6,'Ex ante LI &amp; Eligibility Stats'!$A$8:$M$8,0))/1000)</f>
        <v>0.27460052490234377</v>
      </c>
      <c r="P9" s="326">
        <f>N9*(INDEX('Ex post LI &amp; Eligibility Stats'!$A:$N,MATCH($A9,'Ex post LI &amp; Eligibility Stats'!$A:$A,0),MATCH('Program MW '!O$6,'Ex post LI &amp; Eligibility Stats'!$A$8:$N$8,0))/1000)</f>
        <v>0.21199999999999999</v>
      </c>
      <c r="Q9" s="124">
        <v>1</v>
      </c>
      <c r="R9" s="326">
        <f>Q9*(INDEX('Ex ante LI &amp; Eligibility Stats'!$A:$M,MATCH('Program MW '!$A9,'Ex ante LI &amp; Eligibility Stats'!$A:$A,0),MATCH('Program MW '!R$6,'Ex ante LI &amp; Eligibility Stats'!$A$8:$M$8,0))/1000)</f>
        <v>0.16708448791503908</v>
      </c>
      <c r="S9" s="326">
        <f>Q9*(INDEX('Ex post LI &amp; Eligibility Stats'!$A:$N,MATCH($A9,'Ex post LI &amp; Eligibility Stats'!$A:$A,0),MATCH('Program MW '!R$6,'Ex post LI &amp; Eligibility Stats'!$A$8:$N$8,0))/1000)</f>
        <v>0.106</v>
      </c>
      <c r="T9" s="4">
        <v>5276</v>
      </c>
    </row>
    <row r="10" spans="1:31" ht="13.5" thickBot="1">
      <c r="A10" s="184" t="s">
        <v>52</v>
      </c>
      <c r="B10" s="154">
        <f t="shared" ref="B10:Q10" si="0">SUM(B9:B9)</f>
        <v>4</v>
      </c>
      <c r="C10" s="170">
        <f t="shared" si="0"/>
        <v>0.591757080078125</v>
      </c>
      <c r="D10" s="170">
        <f t="shared" si="0"/>
        <v>0.42431999999999997</v>
      </c>
      <c r="E10" s="1">
        <f t="shared" si="0"/>
        <v>4</v>
      </c>
      <c r="F10" s="226">
        <f t="shared" si="0"/>
        <v>0.49343344116210935</v>
      </c>
      <c r="G10" s="226">
        <f t="shared" si="0"/>
        <v>0.42431999999999997</v>
      </c>
      <c r="H10" s="1">
        <f t="shared" si="0"/>
        <v>4</v>
      </c>
      <c r="I10" s="226">
        <f t="shared" si="0"/>
        <v>0.61670471191406251</v>
      </c>
      <c r="J10" s="226">
        <f t="shared" si="0"/>
        <v>0.42399999999999999</v>
      </c>
      <c r="K10" s="1">
        <f>SUM(K9)</f>
        <v>2</v>
      </c>
      <c r="L10" s="226">
        <f t="shared" ref="L10:M10" si="1">SUM(L9:L9)</f>
        <v>0.28272567749023436</v>
      </c>
      <c r="M10" s="226">
        <f t="shared" si="1"/>
        <v>0.21199999999999999</v>
      </c>
      <c r="N10" s="1">
        <f t="shared" si="0"/>
        <v>2</v>
      </c>
      <c r="O10" s="226">
        <f t="shared" si="0"/>
        <v>0.27460052490234377</v>
      </c>
      <c r="P10" s="226">
        <f t="shared" si="0"/>
        <v>0.21199999999999999</v>
      </c>
      <c r="Q10" s="125">
        <f t="shared" si="0"/>
        <v>1</v>
      </c>
      <c r="R10" s="226">
        <f t="shared" ref="R10:S10" si="2">SUM(R9:R9)</f>
        <v>0.16708448791503908</v>
      </c>
      <c r="S10" s="226">
        <f t="shared" si="2"/>
        <v>0.106</v>
      </c>
      <c r="T10" s="5"/>
    </row>
    <row r="11" spans="1:31" ht="13.5" thickTop="1">
      <c r="A11" s="162" t="s">
        <v>53</v>
      </c>
      <c r="B11" s="171"/>
      <c r="C11" s="169"/>
      <c r="D11" s="172"/>
      <c r="E11" s="185"/>
      <c r="F11" s="186"/>
      <c r="G11" s="187"/>
      <c r="H11" s="185"/>
      <c r="I11" s="188"/>
      <c r="J11" s="187"/>
      <c r="K11" s="185"/>
      <c r="L11" s="188"/>
      <c r="M11" s="187"/>
      <c r="N11" s="185"/>
      <c r="O11" s="331"/>
      <c r="P11" s="332"/>
      <c r="Q11" s="189"/>
      <c r="R11" s="188"/>
      <c r="S11" s="190"/>
      <c r="T11" s="183"/>
      <c r="Y11" s="6"/>
      <c r="Z11" s="6"/>
      <c r="AA11" s="6"/>
      <c r="AB11" s="6"/>
      <c r="AC11" s="6"/>
      <c r="AD11" s="6"/>
      <c r="AE11" s="6"/>
    </row>
    <row r="12" spans="1:31">
      <c r="A12" s="42" t="s">
        <v>11</v>
      </c>
      <c r="B12" s="158">
        <v>14093</v>
      </c>
      <c r="C12" s="326">
        <f>B12*(INDEX('Ex ante LI &amp; Eligibility Stats'!$A:$M,MATCH($A12,'Ex ante LI &amp; Eligibility Stats'!$A:$A,0),MATCH('Program MW '!C$6,'Ex ante LI &amp; Eligibility Stats'!$A$8:$M$8,0))/1000)</f>
        <v>1.9730200000000002</v>
      </c>
      <c r="D12" s="325">
        <f>B12*(INDEX('Ex post LI &amp; Eligibility Stats'!$A:$N,MATCH($A12,'Ex post LI &amp; Eligibility Stats'!$A:$A,0),MATCH('Program MW '!C$6,'Ex post LI &amp; Eligibility Stats'!$A$8:$N$8,0))/1000)</f>
        <v>5.6372</v>
      </c>
      <c r="E12" s="158">
        <v>14068</v>
      </c>
      <c r="F12" s="324">
        <f>E12*(INDEX('Ex ante LI &amp; Eligibility Stats'!$A:$M,MATCH($A12,'Ex ante LI &amp; Eligibility Stats'!$A:$A,0),MATCH('Program MW '!F$6,'Ex ante LI &amp; Eligibility Stats'!$A$8:$M$8,0))/1000)</f>
        <v>1.9695200000000002</v>
      </c>
      <c r="G12" s="325">
        <f>E12*(INDEX('Ex post LI &amp; Eligibility Stats'!$A:$N,MATCH($A12,'Ex post LI &amp; Eligibility Stats'!$A:$A,0),MATCH('Program MW '!F$6,'Ex post LI &amp; Eligibility Stats'!$A$8:$N$8,0))/1000)</f>
        <v>5.6272000000000002</v>
      </c>
      <c r="H12" s="158">
        <v>13616</v>
      </c>
      <c r="I12" s="326">
        <f>H12*(INDEX('Ex ante LI &amp; Eligibility Stats'!$A:$M,MATCH('Program MW '!$A12,'Ex ante LI &amp; Eligibility Stats'!$A:$A,0),MATCH('Program MW '!I$6,'Ex ante LI &amp; Eligibility Stats'!$A$8:$M$8,0))/1000)</f>
        <v>0</v>
      </c>
      <c r="J12" s="325">
        <f>H12*(INDEX('Ex post LI &amp; Eligibility Stats'!$A:$N,MATCH($A12,'Ex post LI &amp; Eligibility Stats'!$A:$A,0),MATCH('Program MW '!I$6,'Ex post LI &amp; Eligibility Stats'!$A$8:$N$8,0))/1000)</f>
        <v>6.552116814289886</v>
      </c>
      <c r="K12" s="158">
        <v>14076</v>
      </c>
      <c r="L12" s="326">
        <f>K12*(INDEX('Ex ante LI &amp; Eligibility Stats'!$A:$M,MATCH('Program MW '!$A12,'Ex ante LI &amp; Eligibility Stats'!$A:$A,0),MATCH('Program MW '!L$6,'Ex ante LI &amp; Eligibility Stats'!$A$8:$M$8,0))/1000)</f>
        <v>0</v>
      </c>
      <c r="M12" s="325">
        <f>K12*(INDEX('Ex post LI &amp; Eligibility Stats'!$A:$N,MATCH($A12,'Ex post LI &amp; Eligibility Stats'!$A:$A,0),MATCH('Program MW '!L$6,'Ex post LI &amp; Eligibility Stats'!$A$8:$N$8,0))/1000)</f>
        <v>6.7734721120699497</v>
      </c>
      <c r="N12" s="158">
        <v>13310</v>
      </c>
      <c r="O12" s="326">
        <f>N12*(INDEX('Ex ante LI &amp; Eligibility Stats'!$A:$M,MATCH('Program MW '!$A12,'Ex ante LI &amp; Eligibility Stats'!$A:$A,0),MATCH('Program MW '!O$6,'Ex ante LI &amp; Eligibility Stats'!$A$8:$M$8,0))/1000)</f>
        <v>0</v>
      </c>
      <c r="P12" s="325">
        <f>N12*(INDEX('Ex post LI &amp; Eligibility Stats'!$A:$N,MATCH($A12,'Ex post LI &amp; Eligibility Stats'!$A:$A,0),MATCH('Program MW '!O$6,'Ex post LI &amp; Eligibility Stats'!$A$8:$N$8,0))/1000)</f>
        <v>6.4048674205492349</v>
      </c>
      <c r="Q12" s="158">
        <v>7017</v>
      </c>
      <c r="R12" s="326">
        <f>Q12*(INDEX('Ex ante LI &amp; Eligibility Stats'!$A:$M,MATCH('Program MW '!$A12,'Ex ante LI &amp; Eligibility Stats'!$A:$A,0),MATCH('Program MW '!R$6,'Ex ante LI &amp; Eligibility Stats'!$A$8:$M$8,0))/1000)</f>
        <v>0</v>
      </c>
      <c r="S12" s="325">
        <f>Q12*(INDEX('Ex post LI &amp; Eligibility Stats'!$A:$N,MATCH($A12,'Ex post LI &amp; Eligibility Stats'!$A:$A,0),MATCH('Program MW '!R$6,'Ex post LI &amp; Eligibility Stats'!$A$8:$N$8,0))/1000)</f>
        <v>3.3766307054841458</v>
      </c>
      <c r="T12" s="7">
        <v>138123</v>
      </c>
      <c r="U12" s="6"/>
      <c r="V12" s="6"/>
      <c r="W12" s="6"/>
      <c r="X12" s="6"/>
      <c r="Y12" s="6"/>
      <c r="Z12" s="6"/>
      <c r="AA12" s="6"/>
      <c r="AB12" s="6"/>
      <c r="AC12" s="6"/>
      <c r="AD12" s="6"/>
      <c r="AE12" s="6"/>
    </row>
    <row r="13" spans="1:31" ht="13.5">
      <c r="A13" s="205" t="s">
        <v>54</v>
      </c>
      <c r="B13" s="206">
        <v>0</v>
      </c>
      <c r="C13" s="326">
        <v>0</v>
      </c>
      <c r="D13" s="327">
        <v>0</v>
      </c>
      <c r="E13" s="206">
        <v>0</v>
      </c>
      <c r="F13" s="326">
        <v>0</v>
      </c>
      <c r="G13" s="327">
        <v>0</v>
      </c>
      <c r="H13" s="206">
        <v>0</v>
      </c>
      <c r="I13" s="326">
        <v>0</v>
      </c>
      <c r="J13" s="327">
        <v>0</v>
      </c>
      <c r="K13" s="206">
        <v>0</v>
      </c>
      <c r="L13" s="326">
        <v>0</v>
      </c>
      <c r="M13" s="327">
        <v>0</v>
      </c>
      <c r="N13" s="206">
        <v>0</v>
      </c>
      <c r="O13" s="326">
        <v>0</v>
      </c>
      <c r="P13" s="327">
        <v>0</v>
      </c>
      <c r="Q13" s="206">
        <v>0</v>
      </c>
      <c r="R13" s="326">
        <v>0</v>
      </c>
      <c r="S13" s="327">
        <v>0</v>
      </c>
      <c r="T13" s="4"/>
      <c r="U13" s="6"/>
      <c r="V13" s="6"/>
      <c r="W13" s="6"/>
      <c r="X13" s="6"/>
      <c r="Y13" s="6"/>
      <c r="Z13" s="6"/>
      <c r="AA13" s="6"/>
      <c r="AB13" s="6"/>
      <c r="AC13" s="6"/>
      <c r="AD13" s="6"/>
      <c r="AE13" s="6"/>
    </row>
    <row r="14" spans="1:31">
      <c r="A14" s="270" t="s">
        <v>17</v>
      </c>
      <c r="B14" s="159">
        <v>17376</v>
      </c>
      <c r="C14" s="326">
        <f>B14*(INDEX('Ex ante LI &amp; Eligibility Stats'!$A:$M,MATCH($A14,'Ex ante LI &amp; Eligibility Stats'!$A:$A,0),MATCH('Program MW '!C$6,'Ex ante LI &amp; Eligibility Stats'!$A$8:$M$8,0))/1000)</f>
        <v>1.9547919699107298E-4</v>
      </c>
      <c r="D14" s="327">
        <f>B14*(INDEX('Ex post LI &amp; Eligibility Stats'!$A:$N,MATCH($A14,'Ex post LI &amp; Eligibility Stats'!$A:$A,0),MATCH('Program MW '!C$6,'Ex post LI &amp; Eligibility Stats'!$A$8:$N$8,0))/1000)</f>
        <v>5.5603200000000008</v>
      </c>
      <c r="E14" s="159">
        <v>17278</v>
      </c>
      <c r="F14" s="326">
        <f>E14*(INDEX('Ex ante LI &amp; Eligibility Stats'!$A:$M,MATCH($A14,'Ex ante LI &amp; Eligibility Stats'!$A:$A,0),MATCH('Program MW '!F$6,'Ex ante LI &amp; Eligibility Stats'!$A$8:$M$8,0))/1000)</f>
        <v>4.5015298280304707E-5</v>
      </c>
      <c r="G14" s="327">
        <f>E14*(INDEX('Ex post LI &amp; Eligibility Stats'!$A:$N,MATCH($A14,'Ex post LI &amp; Eligibility Stats'!$A:$A,0),MATCH('Program MW '!F$6,'Ex post LI &amp; Eligibility Stats'!$A$8:$N$8,0))/1000)</f>
        <v>5.5289600000000005</v>
      </c>
      <c r="H14" s="159">
        <v>17050</v>
      </c>
      <c r="I14" s="326">
        <f>H14*(INDEX('Ex ante LI &amp; Eligibility Stats'!$A:$M,MATCH('Program MW '!$A14,'Ex ante LI &amp; Eligibility Stats'!$A:$A,0),MATCH('Program MW '!I$6,'Ex ante LI &amp; Eligibility Stats'!$A$8:$M$8,0))/1000)</f>
        <v>0</v>
      </c>
      <c r="J14" s="327">
        <f>H14*(INDEX('Ex post LI &amp; Eligibility Stats'!$A:$N,MATCH($A14,'Ex post LI &amp; Eligibility Stats'!$A:$A,0),MATCH('Program MW '!I$6,'Ex post LI &amp; Eligibility Stats'!$A$8:$N$8,0))/1000)</f>
        <v>5.1198614791035659</v>
      </c>
      <c r="K14" s="159">
        <v>17283</v>
      </c>
      <c r="L14" s="326">
        <f>K14*(INDEX('Ex ante LI &amp; Eligibility Stats'!$A:$M,MATCH('Program MW '!$A14,'Ex ante LI &amp; Eligibility Stats'!$A:$A,0),MATCH('Program MW '!L$6,'Ex ante LI &amp; Eligibility Stats'!$A$8:$M$8,0))/1000)</f>
        <v>0.63219965072348705</v>
      </c>
      <c r="M14" s="327">
        <f>K14*(INDEX('Ex post LI &amp; Eligibility Stats'!$A:$N,MATCH($A14,'Ex post LI &amp; Eligibility Stats'!$A:$A,0),MATCH('Program MW '!L$6,'Ex post LI &amp; Eligibility Stats'!$A$8:$N$8,0))/1000)</f>
        <v>5.1898279145658019</v>
      </c>
      <c r="N14" s="159">
        <v>17130</v>
      </c>
      <c r="O14" s="326">
        <f>N14*(INDEX('Ex ante LI &amp; Eligibility Stats'!$A:$M,MATCH('Program MW '!$A14,'Ex ante LI &amp; Eligibility Stats'!$A:$A,0),MATCH('Program MW '!O$6,'Ex ante LI &amp; Eligibility Stats'!$A$8:$M$8,0))/1000)</f>
        <v>1.3920932315289973</v>
      </c>
      <c r="P14" s="327">
        <f>N14*(INDEX('Ex post LI &amp; Eligibility Stats'!$A:$N,MATCH($A14,'Ex post LI &amp; Eligibility Stats'!$A:$A,0),MATCH('Program MW '!O$6,'Ex post LI &amp; Eligibility Stats'!$A$8:$N$8,0))/1000)</f>
        <v>5.1438842895627026</v>
      </c>
      <c r="Q14" s="159">
        <v>14623</v>
      </c>
      <c r="R14" s="326">
        <f>Q14*(INDEX('Ex ante LI &amp; Eligibility Stats'!$A:$M,MATCH('Program MW '!$A14,'Ex ante LI &amp; Eligibility Stats'!$A:$A,0),MATCH('Program MW '!R$6,'Ex ante LI &amp; Eligibility Stats'!$A$8:$M$8,0))/1000)</f>
        <v>0.75110183168202638</v>
      </c>
      <c r="S14" s="327">
        <f>Q14*(INDEX('Ex post LI &amp; Eligibility Stats'!$A:$N,MATCH($A14,'Ex post LI &amp; Eligibility Stats'!$A:$A,0),MATCH('Program MW '!R$6,'Ex post LI &amp; Eligibility Stats'!$A$8:$N$8,0))/1000)</f>
        <v>4.3910694667994976</v>
      </c>
      <c r="T14" s="4">
        <v>663393.5</v>
      </c>
      <c r="U14" s="6"/>
      <c r="V14" s="6"/>
      <c r="W14" s="6"/>
      <c r="X14" s="6"/>
      <c r="Y14" s="6"/>
      <c r="Z14" s="6"/>
      <c r="AA14" s="6"/>
      <c r="AB14" s="6"/>
      <c r="AC14" s="6"/>
      <c r="AD14" s="6"/>
      <c r="AE14" s="6"/>
    </row>
    <row r="15" spans="1:31">
      <c r="A15" s="156" t="s">
        <v>20</v>
      </c>
      <c r="B15" s="159">
        <v>704</v>
      </c>
      <c r="C15" s="326">
        <f>B15*(INDEX('Ex ante LI &amp; Eligibility Stats'!$A:$M,MATCH($A15,'Ex ante LI &amp; Eligibility Stats'!$A:$A,0),MATCH('Program MW '!C$6,'Ex ante LI &amp; Eligibility Stats'!$A$8:$M$8,0))/1000)</f>
        <v>2.559620887041092E-4</v>
      </c>
      <c r="D15" s="327">
        <f>B15*(INDEX('Ex post LI &amp; Eligibility Stats'!$A:$N,MATCH($A15,'Ex post LI &amp; Eligibility Stats'!$A:$A,0),MATCH('Program MW '!C$6,'Ex post LI &amp; Eligibility Stats'!$A$8:$N$8,0))/1000)</f>
        <v>0.32384000000000002</v>
      </c>
      <c r="E15" s="159">
        <v>704</v>
      </c>
      <c r="F15" s="326">
        <f>E15*(INDEX('Ex ante LI &amp; Eligibility Stats'!$A:$M,MATCH($A15,'Ex ante LI &amp; Eligibility Stats'!$A:$A,0),MATCH('Program MW '!F$6,'Ex ante LI &amp; Eligibility Stats'!$A$8:$M$8,0))/1000)</f>
        <v>5.9277471620589494E-5</v>
      </c>
      <c r="G15" s="327">
        <f>E15*(INDEX('Ex post LI &amp; Eligibility Stats'!$A:$N,MATCH($A15,'Ex post LI &amp; Eligibility Stats'!$A:$A,0),MATCH('Program MW '!F$6,'Ex post LI &amp; Eligibility Stats'!$A$8:$N$8,0))/1000)</f>
        <v>0.32384000000000002</v>
      </c>
      <c r="H15" s="159">
        <v>268</v>
      </c>
      <c r="I15" s="326">
        <f>H15*(INDEX('Ex ante LI &amp; Eligibility Stats'!$A:$M,MATCH('Program MW '!$A15,'Ex ante LI &amp; Eligibility Stats'!$A:$A,0),MATCH('Program MW '!I$6,'Ex ante LI &amp; Eligibility Stats'!$A$8:$M$8,0))/1000)</f>
        <v>0</v>
      </c>
      <c r="J15" s="327">
        <f>H15*(INDEX('Ex post LI &amp; Eligibility Stats'!$A:$N,MATCH($A15,'Ex post LI &amp; Eligibility Stats'!$A:$A,0),MATCH('Program MW '!I$6,'Ex post LI &amp; Eligibility Stats'!$A$8:$N$8,0))/1000)</f>
        <v>0.12431036806106567</v>
      </c>
      <c r="K15" s="159">
        <v>268</v>
      </c>
      <c r="L15" s="326">
        <f>K15*(INDEX('Ex ante LI &amp; Eligibility Stats'!$A:$M,MATCH('Program MW '!$A15,'Ex ante LI &amp; Eligibility Stats'!$A:$A,0),MATCH('Program MW '!L$6,'Ex ante LI &amp; Eligibility Stats'!$A$8:$M$8,0))/1000)</f>
        <v>9.207833182811738E-2</v>
      </c>
      <c r="M15" s="327">
        <f>K15*(INDEX('Ex post LI &amp; Eligibility Stats'!$A:$N,MATCH($A15,'Ex post LI &amp; Eligibility Stats'!$A:$A,0),MATCH('Program MW '!L$6,'Ex post LI &amp; Eligibility Stats'!$A$8:$N$8,0))/1000)</f>
        <v>0.12431036806106567</v>
      </c>
      <c r="N15" s="159">
        <v>256</v>
      </c>
      <c r="O15" s="326">
        <f>N15*(INDEX('Ex ante LI &amp; Eligibility Stats'!$A:$M,MATCH('Program MW '!$A15,'Ex ante LI &amp; Eligibility Stats'!$A:$A,0),MATCH('Program MW '!O$6,'Ex ante LI &amp; Eligibility Stats'!$A$8:$M$8,0))/1000)</f>
        <v>0.23586849975585938</v>
      </c>
      <c r="P15" s="327">
        <f>N15*(INDEX('Ex post LI &amp; Eligibility Stats'!$A:$N,MATCH($A15,'Ex post LI &amp; Eligibility Stats'!$A:$A,0),MATCH('Program MW '!O$6,'Ex post LI &amp; Eligibility Stats'!$A$8:$N$8,0))/1000)</f>
        <v>0.11874423217773437</v>
      </c>
      <c r="Q15" s="159">
        <v>236</v>
      </c>
      <c r="R15" s="326">
        <f>Q15*(INDEX('Ex ante LI &amp; Eligibility Stats'!$A:$M,MATCH('Program MW '!$A15,'Ex ante LI &amp; Eligibility Stats'!$A:$A,0),MATCH('Program MW '!R$6,'Ex ante LI &amp; Eligibility Stats'!$A$8:$M$8,0))/1000)</f>
        <v>0.20210570478439333</v>
      </c>
      <c r="S15" s="327">
        <f>Q15*(INDEX('Ex post LI &amp; Eligibility Stats'!$A:$N,MATCH($A15,'Ex post LI &amp; Eligibility Stats'!$A:$A,0),MATCH('Program MW '!R$6,'Ex post LI &amp; Eligibility Stats'!$A$8:$N$8,0))/1000)</f>
        <v>0.10946733903884888</v>
      </c>
      <c r="T15" s="4"/>
      <c r="U15" s="6"/>
      <c r="V15" s="6"/>
      <c r="W15" s="6"/>
      <c r="X15" s="6"/>
      <c r="Y15" s="6"/>
      <c r="Z15" s="6"/>
      <c r="AA15" s="6"/>
      <c r="AB15" s="6"/>
      <c r="AC15" s="6"/>
      <c r="AD15" s="6"/>
      <c r="AE15" s="6"/>
    </row>
    <row r="16" spans="1:31">
      <c r="A16" s="270" t="s">
        <v>21</v>
      </c>
      <c r="B16" s="383">
        <v>10225</v>
      </c>
      <c r="C16" s="326">
        <f>B16*(INDEX('Ex ante LI &amp; Eligibility Stats'!$A:$M,MATCH($A16,'Ex ante LI &amp; Eligibility Stats'!$A:$A,0),MATCH('Program MW '!C$6,'Ex ante LI &amp; Eligibility Stats'!$A$8:$M$8,0))/1000)</f>
        <v>0</v>
      </c>
      <c r="D16" s="327">
        <f>B16*(INDEX('Ex post LI &amp; Eligibility Stats'!$A:$N,MATCH($A16,'Ex post LI &amp; Eligibility Stats'!$A:$A,0),MATCH('Program MW '!C$6,'Ex post LI &amp; Eligibility Stats'!$A$8:$N$8,0))/1000)</f>
        <v>1.3292500000000003</v>
      </c>
      <c r="E16" s="383">
        <v>10185</v>
      </c>
      <c r="F16" s="326">
        <f>E16*(INDEX('Ex ante LI &amp; Eligibility Stats'!$A:$M,MATCH($A16,'Ex ante LI &amp; Eligibility Stats'!$A:$A,0),MATCH('Program MW '!F$6,'Ex ante LI &amp; Eligibility Stats'!$A$8:$M$8,0))/1000)</f>
        <v>0</v>
      </c>
      <c r="G16" s="327">
        <f>E16*(INDEX('Ex post LI &amp; Eligibility Stats'!$A:$N,MATCH($A16,'Ex post LI &amp; Eligibility Stats'!$A:$A,0),MATCH('Program MW '!F$6,'Ex post LI &amp; Eligibility Stats'!$A$8:$N$8,0))/1000)</f>
        <v>1.3240500000000002</v>
      </c>
      <c r="H16" s="383">
        <v>10091</v>
      </c>
      <c r="I16" s="326">
        <f>H16*(INDEX('Ex ante LI &amp; Eligibility Stats'!$A:$M,MATCH('Program MW '!$A16,'Ex ante LI &amp; Eligibility Stats'!$A:$A,0),MATCH('Program MW '!I$6,'Ex ante LI &amp; Eligibility Stats'!$A$8:$M$8,0))/1000)</f>
        <v>0</v>
      </c>
      <c r="J16" s="327">
        <f>H16*(INDEX('Ex post LI &amp; Eligibility Stats'!$A:$N,MATCH($A16,'Ex post LI &amp; Eligibility Stats'!$A:$A,0),MATCH('Program MW '!I$6,'Ex post LI &amp; Eligibility Stats'!$A$8:$N$8,0))/1000)</f>
        <v>1.3535956399000002</v>
      </c>
      <c r="K16" s="626">
        <v>9815</v>
      </c>
      <c r="L16" s="326">
        <f>K16*(INDEX('Ex ante LI &amp; Eligibility Stats'!$A:$M,MATCH('Program MW '!$A16,'Ex ante LI &amp; Eligibility Stats'!$A:$A,0),MATCH('Program MW '!L$6,'Ex ante LI &amp; Eligibility Stats'!$A$8:$M$8,0))/1000)</f>
        <v>0.27112955999999999</v>
      </c>
      <c r="M16" s="327">
        <f>K16*(INDEX('Ex post LI &amp; Eligibility Stats'!$A:$N,MATCH($A16,'Ex post LI &amp; Eligibility Stats'!$A:$A,0),MATCH('Program MW '!L$6,'Ex post LI &amp; Eligibility Stats'!$A$8:$N$8,0))/1000)</f>
        <v>1.3165733035000002</v>
      </c>
      <c r="N16" s="383">
        <v>9593</v>
      </c>
      <c r="O16" s="326">
        <f>N16*(INDEX('Ex ante LI &amp; Eligibility Stats'!$A:$M,MATCH('Program MW '!$A16,'Ex ante LI &amp; Eligibility Stats'!$A:$A,0),MATCH('Program MW '!O$6,'Ex ante LI &amp; Eligibility Stats'!$A$8:$M$8,0))/1000)</f>
        <v>0.55346429780000006</v>
      </c>
      <c r="P16" s="327">
        <f>N16*(INDEX('Ex post LI &amp; Eligibility Stats'!$A:$N,MATCH($A16,'Ex post LI &amp; Eligibility Stats'!$A:$A,0),MATCH('Program MW '!O$6,'Ex post LI &amp; Eligibility Stats'!$A$8:$N$8,0))/1000)</f>
        <v>1.2867944677000003</v>
      </c>
      <c r="Q16" s="383">
        <v>9409</v>
      </c>
      <c r="R16" s="326">
        <f>Q16*(INDEX('Ex ante LI &amp; Eligibility Stats'!$A:$M,MATCH('Program MW '!$A16,'Ex ante LI &amp; Eligibility Stats'!$A:$A,0),MATCH('Program MW '!R$6,'Ex ante LI &amp; Eligibility Stats'!$A$8:$M$8,0))/1000)</f>
        <v>0.34679127659999998</v>
      </c>
      <c r="S16" s="327">
        <f>Q16*(INDEX('Ex post LI &amp; Eligibility Stats'!$A:$N,MATCH($A16,'Ex post LI &amp; Eligibility Stats'!$A:$A,0),MATCH('Program MW '!R$6,'Ex post LI &amp; Eligibility Stats'!$A$8:$N$8,0))/1000)</f>
        <v>1.2621129101000002</v>
      </c>
      <c r="T16" s="4">
        <v>157189</v>
      </c>
      <c r="U16" s="6"/>
      <c r="V16" s="6"/>
      <c r="W16" s="6"/>
      <c r="X16" s="6"/>
      <c r="Y16" s="6"/>
      <c r="Z16" s="6"/>
      <c r="AA16" s="6"/>
      <c r="AB16" s="6"/>
      <c r="AC16" s="6"/>
      <c r="AD16" s="6"/>
      <c r="AE16" s="6"/>
    </row>
    <row r="17" spans="1:31">
      <c r="A17" s="270" t="s">
        <v>23</v>
      </c>
      <c r="B17" s="383">
        <v>2652</v>
      </c>
      <c r="C17" s="326">
        <f>B17*(INDEX('Ex ante LI &amp; Eligibility Stats'!$A:$M,MATCH($A17,'Ex ante LI &amp; Eligibility Stats'!$A:$A,0),MATCH('Program MW '!C$6,'Ex ante LI &amp; Eligibility Stats'!$A$8:$M$8,0))/1000)</f>
        <v>0</v>
      </c>
      <c r="D17" s="327">
        <f>B17*(INDEX('Ex post LI &amp; Eligibility Stats'!$A:$N,MATCH($A17,'Ex post LI &amp; Eligibility Stats'!$A:$A,0),MATCH('Program MW '!C$6,'Ex post LI &amp; Eligibility Stats'!$A$8:$N$8,0))/1000)</f>
        <v>0.1326</v>
      </c>
      <c r="E17" s="383">
        <v>2648</v>
      </c>
      <c r="F17" s="326">
        <f>E17*(INDEX('Ex ante LI &amp; Eligibility Stats'!$A:$M,MATCH($A17,'Ex ante LI &amp; Eligibility Stats'!$A:$A,0),MATCH('Program MW '!F$6,'Ex ante LI &amp; Eligibility Stats'!$A$8:$M$8,0))/1000)</f>
        <v>0</v>
      </c>
      <c r="G17" s="327">
        <f>E17*(INDEX('Ex post LI &amp; Eligibility Stats'!$A:$N,MATCH($A17,'Ex post LI &amp; Eligibility Stats'!$A:$A,0),MATCH('Program MW '!F$6,'Ex post LI &amp; Eligibility Stats'!$A$8:$N$8,0))/1000)</f>
        <v>0.13240000000000002</v>
      </c>
      <c r="H17" s="383">
        <v>2627</v>
      </c>
      <c r="I17" s="326">
        <f>H17*(INDEX('Ex ante LI &amp; Eligibility Stats'!$A:$M,MATCH('Program MW '!$A17,'Ex ante LI &amp; Eligibility Stats'!$A:$A,0),MATCH('Program MW '!I$6,'Ex ante LI &amp; Eligibility Stats'!$A$8:$M$8,0))/1000)</f>
        <v>0</v>
      </c>
      <c r="J17" s="327">
        <f>H17*(INDEX('Ex post LI &amp; Eligibility Stats'!$A:$N,MATCH($A17,'Ex post LI &amp; Eligibility Stats'!$A:$A,0),MATCH('Program MW '!I$6,'Ex post LI &amp; Eligibility Stats'!$A$8:$N$8,0))/1000)</f>
        <v>0.1296274761</v>
      </c>
      <c r="K17" s="626">
        <v>2774</v>
      </c>
      <c r="L17" s="326">
        <f>K17*(INDEX('Ex ante LI &amp; Eligibility Stats'!$A:$M,MATCH('Program MW '!$A17,'Ex ante LI &amp; Eligibility Stats'!$A:$A,0),MATCH('Program MW '!L$6,'Ex ante LI &amp; Eligibility Stats'!$A$8:$M$8,0))/1000)</f>
        <v>0.15616732319999999</v>
      </c>
      <c r="M17" s="327">
        <f>K17*(INDEX('Ex post LI &amp; Eligibility Stats'!$A:$N,MATCH($A17,'Ex post LI &amp; Eligibility Stats'!$A:$A,0),MATCH('Program MW '!L$6,'Ex post LI &amp; Eligibility Stats'!$A$8:$N$8,0))/1000)</f>
        <v>0.1368810882</v>
      </c>
      <c r="N17" s="383">
        <v>2705</v>
      </c>
      <c r="O17" s="326">
        <f>N17*(INDEX('Ex ante LI &amp; Eligibility Stats'!$A:$M,MATCH('Program MW '!$A17,'Ex ante LI &amp; Eligibility Stats'!$A:$A,0),MATCH('Program MW '!O$6,'Ex ante LI &amp; Eligibility Stats'!$A$8:$M$8,0))/1000)</f>
        <v>0.1742817975</v>
      </c>
      <c r="P17" s="327">
        <f>N17*(INDEX('Ex post LI &amp; Eligibility Stats'!$A:$N,MATCH($A17,'Ex post LI &amp; Eligibility Stats'!$A:$A,0),MATCH('Program MW '!O$6,'Ex post LI &amp; Eligibility Stats'!$A$8:$N$8,0))/1000)</f>
        <v>0.13347633149999999</v>
      </c>
      <c r="Q17" s="383">
        <v>2244</v>
      </c>
      <c r="R17" s="326">
        <f>Q17*(INDEX('Ex ante LI &amp; Eligibility Stats'!$A:$M,MATCH('Program MW '!$A17,'Ex ante LI &amp; Eligibility Stats'!$A:$A,0),MATCH('Program MW '!R$6,'Ex ante LI &amp; Eligibility Stats'!$A$8:$M$8,0))/1000)</f>
        <v>0.1342089276</v>
      </c>
      <c r="S17" s="327">
        <f>Q17*(INDEX('Ex post LI &amp; Eligibility Stats'!$A:$N,MATCH($A17,'Ex post LI &amp; Eligibility Stats'!$A:$A,0),MATCH('Program MW '!R$6,'Ex post LI &amp; Eligibility Stats'!$A$8:$N$8,0))/1000)</f>
        <v>0.11072860920000001</v>
      </c>
      <c r="T17" s="4">
        <v>157189</v>
      </c>
      <c r="U17" s="6"/>
      <c r="V17" s="6"/>
      <c r="W17" s="6"/>
      <c r="X17" s="6"/>
      <c r="Y17" s="6"/>
      <c r="Z17" s="6"/>
      <c r="AA17" s="6"/>
      <c r="AB17" s="6"/>
      <c r="AC17" s="6"/>
      <c r="AD17" s="6"/>
      <c r="AE17" s="6"/>
    </row>
    <row r="18" spans="1:31">
      <c r="A18" s="156" t="s">
        <v>24</v>
      </c>
      <c r="B18" s="159">
        <v>0</v>
      </c>
      <c r="C18" s="326">
        <f>B18*(INDEX('Ex ante LI &amp; Eligibility Stats'!$A:$M,MATCH($A18,'Ex ante LI &amp; Eligibility Stats'!$A:$A,0),MATCH('Program MW '!C$6,'Ex ante LI &amp; Eligibility Stats'!$A$8:$M$8,0))/1000)</f>
        <v>0</v>
      </c>
      <c r="D18" s="327">
        <f>B18*(INDEX('Ex post LI &amp; Eligibility Stats'!$A:$N,MATCH($A18,'Ex post LI &amp; Eligibility Stats'!$A:$A,0),MATCH('Program MW '!C$6,'Ex post LI &amp; Eligibility Stats'!$A$8:$N$8,0))/1000)</f>
        <v>0</v>
      </c>
      <c r="E18" s="159">
        <v>0</v>
      </c>
      <c r="F18" s="326">
        <f>E18*(INDEX('Ex ante LI &amp; Eligibility Stats'!$A:$M,MATCH($A18,'Ex ante LI &amp; Eligibility Stats'!$A:$A,0),MATCH('Program MW '!F$6,'Ex ante LI &amp; Eligibility Stats'!$A$8:$M$8,0))/1000)</f>
        <v>0</v>
      </c>
      <c r="G18" s="327">
        <f>E18*(INDEX('Ex post LI &amp; Eligibility Stats'!$A:$N,MATCH($A18,'Ex post LI &amp; Eligibility Stats'!$A:$A,0),MATCH('Program MW '!F$6,'Ex post LI &amp; Eligibility Stats'!$A$8:$N$8,0))/1000)</f>
        <v>0</v>
      </c>
      <c r="H18" s="159">
        <v>0</v>
      </c>
      <c r="I18" s="326">
        <f>H18*(INDEX('Ex ante LI &amp; Eligibility Stats'!$A:$M,MATCH('Program MW '!$A18,'Ex ante LI &amp; Eligibility Stats'!$A:$A,0),MATCH('Program MW '!I$6,'Ex ante LI &amp; Eligibility Stats'!$A$8:$M$8,0))/1000)</f>
        <v>0</v>
      </c>
      <c r="J18" s="327">
        <f>H18*(INDEX('Ex post LI &amp; Eligibility Stats'!$A:$N,MATCH($A18,'Ex post LI &amp; Eligibility Stats'!$A:$A,0),MATCH('Program MW '!I$6,'Ex post LI &amp; Eligibility Stats'!$A$8:$N$8,0))/1000)</f>
        <v>0</v>
      </c>
      <c r="K18" s="159">
        <v>0</v>
      </c>
      <c r="L18" s="326">
        <f>K18*(INDEX('Ex ante LI &amp; Eligibility Stats'!$A:$M,MATCH('Program MW '!$A18,'Ex ante LI &amp; Eligibility Stats'!$A:$A,0),MATCH('Program MW '!L$6,'Ex ante LI &amp; Eligibility Stats'!$A$8:$M$8,0))/1000)</f>
        <v>0</v>
      </c>
      <c r="M18" s="327">
        <f>K18*(INDEX('Ex post LI &amp; Eligibility Stats'!$A:$N,MATCH($A18,'Ex post LI &amp; Eligibility Stats'!$A:$A,0),MATCH('Program MW '!L$6,'Ex post LI &amp; Eligibility Stats'!$A$8:$N$8,0))/1000)</f>
        <v>0</v>
      </c>
      <c r="N18" s="159">
        <v>41</v>
      </c>
      <c r="O18" s="326">
        <f>N18*(INDEX('Ex ante LI &amp; Eligibility Stats'!$A:$M,MATCH('Program MW '!$A18,'Ex ante LI &amp; Eligibility Stats'!$A:$A,0),MATCH('Program MW '!O$6,'Ex ante LI &amp; Eligibility Stats'!$A$8:$M$8,0))/1000)</f>
        <v>0.48483278999999996</v>
      </c>
      <c r="P18" s="327">
        <f>N18*(INDEX('Ex post LI &amp; Eligibility Stats'!$A:$N,MATCH($A18,'Ex post LI &amp; Eligibility Stats'!$A:$A,0),MATCH('Program MW '!O$6,'Ex post LI &amp; Eligibility Stats'!$A$8:$N$8,0))/1000)</f>
        <v>0.73608612000000007</v>
      </c>
      <c r="Q18" s="159">
        <v>49</v>
      </c>
      <c r="R18" s="326">
        <f>Q18*(INDEX('Ex ante LI &amp; Eligibility Stats'!$A:$M,MATCH('Program MW '!$A18,'Ex ante LI &amp; Eligibility Stats'!$A:$A,0),MATCH('Program MW '!R$6,'Ex ante LI &amp; Eligibility Stats'!$A$8:$M$8,0))/1000)</f>
        <v>0.57943431000000001</v>
      </c>
      <c r="S18" s="327">
        <f>Q18*(INDEX('Ex post LI &amp; Eligibility Stats'!$A:$N,MATCH($A18,'Ex post LI &amp; Eligibility Stats'!$A:$A,0),MATCH('Program MW '!R$6,'Ex post LI &amp; Eligibility Stats'!$A$8:$N$8,0))/1000)</f>
        <v>0.87971268000000014</v>
      </c>
      <c r="T18" s="4">
        <v>18875</v>
      </c>
      <c r="U18" s="6"/>
      <c r="V18" s="6"/>
      <c r="W18" s="6"/>
      <c r="X18" s="6"/>
      <c r="Y18" s="6"/>
      <c r="Z18" s="6"/>
      <c r="AA18" s="6"/>
      <c r="AB18" s="6"/>
      <c r="AC18" s="6"/>
      <c r="AD18" s="6"/>
      <c r="AE18" s="6"/>
    </row>
    <row r="19" spans="1:31">
      <c r="A19" s="156" t="s">
        <v>25</v>
      </c>
      <c r="B19" s="159">
        <v>0</v>
      </c>
      <c r="C19" s="326">
        <f>B19*(INDEX('Ex ante LI &amp; Eligibility Stats'!$A:$M,MATCH($A19,'Ex ante LI &amp; Eligibility Stats'!$A:$A,0),MATCH('Program MW '!C$6,'Ex ante LI &amp; Eligibility Stats'!$A$8:$M$8,0))/1000)</f>
        <v>0</v>
      </c>
      <c r="D19" s="327">
        <f>B19*(INDEX('Ex post LI &amp; Eligibility Stats'!$A:$N,MATCH($A19,'Ex post LI &amp; Eligibility Stats'!$A:$A,0),MATCH('Program MW '!C$6,'Ex post LI &amp; Eligibility Stats'!$A$8:$N$8,0))/1000)</f>
        <v>0</v>
      </c>
      <c r="E19" s="159">
        <v>0</v>
      </c>
      <c r="F19" s="326">
        <f>E19*(INDEX('Ex ante LI &amp; Eligibility Stats'!$A:$M,MATCH($A19,'Ex ante LI &amp; Eligibility Stats'!$A:$A,0),MATCH('Program MW '!F$6,'Ex ante LI &amp; Eligibility Stats'!$A$8:$M$8,0))/1000)</f>
        <v>0</v>
      </c>
      <c r="G19" s="327">
        <f>E19*(INDEX('Ex post LI &amp; Eligibility Stats'!$A:$N,MATCH($A19,'Ex post LI &amp; Eligibility Stats'!$A:$A,0),MATCH('Program MW '!F$6,'Ex post LI &amp; Eligibility Stats'!$A$8:$N$8,0))/1000)</f>
        <v>0</v>
      </c>
      <c r="H19" s="159">
        <v>0</v>
      </c>
      <c r="I19" s="326">
        <f>H19*(INDEX('Ex ante LI &amp; Eligibility Stats'!$A:$M,MATCH('Program MW '!$A19,'Ex ante LI &amp; Eligibility Stats'!$A:$A,0),MATCH('Program MW '!I$6,'Ex ante LI &amp; Eligibility Stats'!$A$8:$M$8,0))/1000)</f>
        <v>0</v>
      </c>
      <c r="J19" s="327">
        <f>H19*(INDEX('Ex post LI &amp; Eligibility Stats'!$A:$N,MATCH($A19,'Ex post LI &amp; Eligibility Stats'!$A:$A,0),MATCH('Program MW '!I$6,'Ex post LI &amp; Eligibility Stats'!$A$8:$N$8,0))/1000)</f>
        <v>0</v>
      </c>
      <c r="K19" s="159">
        <v>0</v>
      </c>
      <c r="L19" s="326">
        <f>K19*(INDEX('Ex ante LI &amp; Eligibility Stats'!$A:$M,MATCH('Program MW '!$A19,'Ex ante LI &amp; Eligibility Stats'!$A:$A,0),MATCH('Program MW '!L$6,'Ex ante LI &amp; Eligibility Stats'!$A$8:$M$8,0))/1000)</f>
        <v>0</v>
      </c>
      <c r="M19" s="327">
        <f>K19*(INDEX('Ex post LI &amp; Eligibility Stats'!$A:$N,MATCH($A19,'Ex post LI &amp; Eligibility Stats'!$A:$A,0),MATCH('Program MW '!L$6,'Ex post LI &amp; Eligibility Stats'!$A$8:$N$8,0))/1000)</f>
        <v>0</v>
      </c>
      <c r="N19" s="159">
        <v>134</v>
      </c>
      <c r="O19" s="326">
        <f>N19*(INDEX('Ex ante LI &amp; Eligibility Stats'!$A:$M,MATCH('Program MW '!$A19,'Ex ante LI &amp; Eligibility Stats'!$A:$A,0),MATCH('Program MW '!O$6,'Ex ante LI &amp; Eligibility Stats'!$A$8:$M$8,0))/1000)</f>
        <v>1.214125358</v>
      </c>
      <c r="P19" s="327">
        <f>N19*(INDEX('Ex post LI &amp; Eligibility Stats'!$A:$N,MATCH($A19,'Ex post LI &amp; Eligibility Stats'!$A:$A,0),MATCH('Program MW '!O$6,'Ex post LI &amp; Eligibility Stats'!$A$8:$N$8,0))/1000)</f>
        <v>1.8493139000000001</v>
      </c>
      <c r="Q19" s="159">
        <v>125</v>
      </c>
      <c r="R19" s="326">
        <f>Q19*(INDEX('Ex ante LI &amp; Eligibility Stats'!$A:$M,MATCH('Program MW '!$A19,'Ex ante LI &amp; Eligibility Stats'!$A:$A,0),MATCH('Program MW '!R$6,'Ex ante LI &amp; Eligibility Stats'!$A$8:$M$8,0))/1000)</f>
        <v>1.132579625</v>
      </c>
      <c r="S19" s="327">
        <f>Q19*(INDEX('Ex post LI &amp; Eligibility Stats'!$A:$N,MATCH($A19,'Ex post LI &amp; Eligibility Stats'!$A:$A,0),MATCH('Program MW '!R$6,'Ex post LI &amp; Eligibility Stats'!$A$8:$N$8,0))/1000)</f>
        <v>1.7251062500000001</v>
      </c>
      <c r="T19" s="4">
        <v>18875</v>
      </c>
      <c r="U19" s="6"/>
      <c r="V19" s="6"/>
      <c r="W19" s="6"/>
      <c r="X19" s="6"/>
      <c r="Y19" s="6"/>
      <c r="Z19" s="6"/>
      <c r="AA19" s="6"/>
      <c r="AB19" s="6"/>
      <c r="AC19" s="6"/>
      <c r="AD19" s="6"/>
      <c r="AE19" s="6"/>
    </row>
    <row r="20" spans="1:31" s="152" customFormat="1">
      <c r="A20" s="270" t="s">
        <v>55</v>
      </c>
      <c r="B20" s="206">
        <v>94</v>
      </c>
      <c r="C20" s="326">
        <v>0</v>
      </c>
      <c r="D20" s="327">
        <v>0</v>
      </c>
      <c r="E20" s="206">
        <v>94</v>
      </c>
      <c r="F20" s="326" t="s">
        <v>56</v>
      </c>
      <c r="G20" s="327" t="s">
        <v>56</v>
      </c>
      <c r="H20" s="206">
        <v>92</v>
      </c>
      <c r="I20" s="627">
        <f>H20*(INDEX('Ex ante LI &amp; Eligibility Stats'!$A:$M,MATCH('Program MW '!$A20,'Ex ante LI &amp; Eligibility Stats'!$A:$A,0),MATCH('Program MW '!I$6,'Ex ante LI &amp; Eligibility Stats'!$A$8:$M$8,0))/1000)</f>
        <v>7.8712055087089533E-4</v>
      </c>
      <c r="J20" s="327">
        <f>H20*(INDEX('Ex post LI &amp; Eligibility Stats'!$A:$N,MATCH($A20,'Ex post LI &amp; Eligibility Stats'!$A:$A,0),MATCH('Program MW '!I$6,'Ex post LI &amp; Eligibility Stats'!$A$8:$N$8,0))/1000)</f>
        <v>4.3654910326004027E-2</v>
      </c>
      <c r="K20" s="626">
        <v>91</v>
      </c>
      <c r="L20" s="326">
        <f>K20*(INDEX('Ex ante LI &amp; Eligibility Stats'!$A:$M,MATCH('Program MW '!$A20,'Ex ante LI &amp; Eligibility Stats'!$A:$A,0),MATCH('Program MW '!L$6,'Ex ante LI &amp; Eligibility Stats'!$A$8:$M$8,0))/1000)</f>
        <v>0</v>
      </c>
      <c r="M20" s="327">
        <f>K20*(INDEX('Ex post LI &amp; Eligibility Stats'!$A:$N,MATCH($A20,'Ex post LI &amp; Eligibility Stats'!$A:$A,0),MATCH('Program MW '!L$6,'Ex post LI &amp; Eligibility Stats'!$A$8:$N$8,0))/1000)</f>
        <v>4.318040043115616E-2</v>
      </c>
      <c r="N20" s="206">
        <v>87</v>
      </c>
      <c r="O20" s="326">
        <f>N20*(INDEX('Ex ante LI &amp; Eligibility Stats'!$A:$M,MATCH('Program MW '!$A20,'Ex ante LI &amp; Eligibility Stats'!$A:$A,0),MATCH('Program MW '!O$6,'Ex ante LI &amp; Eligibility Stats'!$A$8:$M$8,0))/1000)</f>
        <v>0</v>
      </c>
      <c r="P20" s="327">
        <f>N20*(INDEX('Ex post LI &amp; Eligibility Stats'!$A:$N,MATCH($A20,'Ex post LI &amp; Eligibility Stats'!$A:$A,0),MATCH('Program MW '!O$6,'Ex post LI &amp; Eligibility Stats'!$A$8:$N$8,0))/1000)</f>
        <v>4.1282360851764677E-2</v>
      </c>
      <c r="Q20" s="206">
        <v>95</v>
      </c>
      <c r="R20" s="326">
        <f>Q20*(INDEX('Ex ante LI &amp; Eligibility Stats'!$A:$M,MATCH('Program MW '!$A20,'Ex ante LI &amp; Eligibility Stats'!$A:$A,0),MATCH('Program MW '!R$6,'Ex ante LI &amp; Eligibility Stats'!$A$8:$M$8,0))/1000)</f>
        <v>0</v>
      </c>
      <c r="S20" s="327">
        <f>Q20*(INDEX('Ex post LI &amp; Eligibility Stats'!$A:$N,MATCH($A20,'Ex post LI &amp; Eligibility Stats'!$A:$A,0),MATCH('Program MW '!R$6,'Ex post LI &amp; Eligibility Stats'!$A$8:$N$8,0))/1000)</f>
        <v>4.5078440010547637E-2</v>
      </c>
      <c r="T20" s="411"/>
      <c r="U20" s="412"/>
      <c r="V20" s="412"/>
      <c r="W20" s="412"/>
      <c r="X20" s="412"/>
      <c r="Y20" s="412"/>
      <c r="Z20" s="412"/>
      <c r="AA20" s="412"/>
      <c r="AB20" s="412"/>
      <c r="AC20" s="412"/>
      <c r="AD20" s="412"/>
      <c r="AE20" s="412"/>
    </row>
    <row r="21" spans="1:31">
      <c r="A21" s="156" t="s">
        <v>26</v>
      </c>
      <c r="B21" s="159">
        <v>111812</v>
      </c>
      <c r="C21" s="326">
        <f>B21*(INDEX('Ex ante LI &amp; Eligibility Stats'!$A:$M,MATCH($A21,'Ex ante LI &amp; Eligibility Stats'!$A:$A,0),MATCH('Program MW '!C$6,'Ex ante LI &amp; Eligibility Stats'!$A$8:$M$8,0))/1000)</f>
        <v>1.11812</v>
      </c>
      <c r="D21" s="327">
        <f>B21*(INDEX('Ex post LI &amp; Eligibility Stats'!$A:$N,MATCH($A21,'Ex post LI &amp; Eligibility Stats'!$A:$A,0),MATCH('Program MW '!C$6,'Ex post LI &amp; Eligibility Stats'!$A$8:$N$8,0))/1000)</f>
        <v>5.5906000000000002</v>
      </c>
      <c r="E21" s="159">
        <v>111739</v>
      </c>
      <c r="F21" s="326">
        <f>E21*(INDEX('Ex ante LI &amp; Eligibility Stats'!$A:$M,MATCH($A21,'Ex ante LI &amp; Eligibility Stats'!$A:$A,0),MATCH('Program MW '!F$6,'Ex ante LI &amp; Eligibility Stats'!$A$8:$M$8,0))/1000)</f>
        <v>1.1173900000000001</v>
      </c>
      <c r="G21" s="327">
        <f>E21*(INDEX('Ex post LI &amp; Eligibility Stats'!$A:$N,MATCH($A21,'Ex post LI &amp; Eligibility Stats'!$A:$A,0),MATCH('Program MW '!F$6,'Ex post LI &amp; Eligibility Stats'!$A$8:$N$8,0))/1000)</f>
        <v>5.5869499999999999</v>
      </c>
      <c r="H21" s="159">
        <v>111470</v>
      </c>
      <c r="I21" s="628">
        <f>H21*(INDEX('Ex ante LI &amp; Eligibility Stats'!$A:$M,MATCH('Program MW '!$A21,'Ex ante LI &amp; Eligibility Stats'!$A:$A,0),MATCH('Program MW '!I$6,'Ex ante LI &amp; Eligibility Stats'!$A$8:$M$8,0))/1000)</f>
        <v>1.1604781531494454E-2</v>
      </c>
      <c r="J21" s="327">
        <f>H21*(INDEX('Ex post LI &amp; Eligibility Stats'!$A:$N,MATCH($A21,'Ex post LI &amp; Eligibility Stats'!$A:$A,0),MATCH('Program MW '!I$6,'Ex post LI &amp; Eligibility Stats'!$A$8:$N$8,0))/1000)</f>
        <v>5.5695092280344607</v>
      </c>
      <c r="K21" s="626">
        <v>112449</v>
      </c>
      <c r="L21" s="326">
        <f>K21*(INDEX('Ex ante LI &amp; Eligibility Stats'!$A:$M,MATCH('Program MW '!$A21,'Ex ante LI &amp; Eligibility Stats'!$A:$A,0),MATCH('Program MW '!L$6,'Ex ante LI &amp; Eligibility Stats'!$A$8:$M$8,0))/1000)</f>
        <v>8.2588858593487885E-2</v>
      </c>
      <c r="M21" s="327">
        <f>K21*(INDEX('Ex post LI &amp; Eligibility Stats'!$A:$N,MATCH($A21,'Ex post LI &amp; Eligibility Stats'!$A:$A,0),MATCH('Program MW '!L$6,'Ex post LI &amp; Eligibility Stats'!$A$8:$N$8,0))/1000)</f>
        <v>5.6184241785524991</v>
      </c>
      <c r="N21" s="159">
        <v>106176</v>
      </c>
      <c r="O21" s="326">
        <f>N21*(INDEX('Ex ante LI &amp; Eligibility Stats'!$A:$M,MATCH('Program MW '!$A21,'Ex ante LI &amp; Eligibility Stats'!$A:$A,0),MATCH('Program MW '!O$6,'Ex ante LI &amp; Eligibility Stats'!$A$8:$M$8,0))/1000)</f>
        <v>0.14518625372857208</v>
      </c>
      <c r="P21" s="327">
        <f>N21*(INDEX('Ex post LI &amp; Eligibility Stats'!$A:$N,MATCH($A21,'Ex post LI &amp; Eligibility Stats'!$A:$A,0),MATCH('Program MW '!O$6,'Ex post LI &amp; Eligibility Stats'!$A$8:$N$8,0))/1000)</f>
        <v>5.3049987601667432</v>
      </c>
      <c r="Q21" s="159">
        <v>105904</v>
      </c>
      <c r="R21" s="326">
        <f>Q21*(INDEX('Ex ante LI &amp; Eligibility Stats'!$A:$M,MATCH('Program MW '!$A21,'Ex ante LI &amp; Eligibility Stats'!$A:$A,0),MATCH('Program MW '!R$6,'Ex ante LI &amp; Eligibility Stats'!$A$8:$M$8,0))/1000)</f>
        <v>9.293238217800405E-2</v>
      </c>
      <c r="S21" s="327">
        <f>Q21*(INDEX('Ex post LI &amp; Eligibility Stats'!$A:$N,MATCH($A21,'Ex post LI &amp; Eligibility Stats'!$A:$A,0),MATCH('Program MW '!R$6,'Ex post LI &amp; Eligibility Stats'!$A$8:$N$8,0))/1000)</f>
        <v>5.2914084981229168</v>
      </c>
      <c r="T21" s="4"/>
      <c r="U21" s="6"/>
      <c r="V21" s="6"/>
      <c r="W21" s="6"/>
      <c r="X21" s="6"/>
      <c r="Y21" s="6"/>
      <c r="Z21" s="6"/>
      <c r="AA21" s="6"/>
      <c r="AB21" s="6"/>
      <c r="AC21" s="6"/>
      <c r="AD21" s="6"/>
      <c r="AE21" s="6"/>
    </row>
    <row r="22" spans="1:31">
      <c r="A22" s="227" t="s">
        <v>27</v>
      </c>
      <c r="B22" s="269">
        <v>17743</v>
      </c>
      <c r="C22" s="328">
        <f>B22*(INDEX('Ex ante LI &amp; Eligibility Stats'!$A:$M,MATCH($A22,'Ex ante LI &amp; Eligibility Stats'!$A:$A,0),MATCH('Program MW '!C$6,'Ex ante LI &amp; Eligibility Stats'!$A$8:$M$8,0))/1000)</f>
        <v>0.68663677264004952</v>
      </c>
      <c r="D22" s="329">
        <f>B22*(INDEX('Ex post LI &amp; Eligibility Stats'!$A:$N,MATCH($A22,'Ex post LI &amp; Eligibility Stats'!$A:$A,0),MATCH('Program MW '!C$6,'Ex post LI &amp; Eligibility Stats'!$A$8:$N$8,0))/1000)</f>
        <v>3.0163100000000003</v>
      </c>
      <c r="E22" s="269">
        <v>18502</v>
      </c>
      <c r="F22" s="558">
        <f>E22*(INDEX('Ex ante LI &amp; Eligibility Stats'!$A:$M,MATCH($A22,'Ex ante LI &amp; Eligibility Stats'!$A:$A,0),MATCH('Program MW '!F$6,'Ex ante LI &amp; Eligibility Stats'!$A$8:$M$8,0))/1000)</f>
        <v>0.63577350297570234</v>
      </c>
      <c r="G22" s="327">
        <f>E22*(INDEX('Ex post LI &amp; Eligibility Stats'!$A:$N,MATCH($A22,'Ex post LI &amp; Eligibility Stats'!$A:$A,0),MATCH('Program MW '!F$6,'Ex post LI &amp; Eligibility Stats'!$A$8:$N$8,0))/1000)</f>
        <v>3.14534</v>
      </c>
      <c r="H22" s="269">
        <v>19323</v>
      </c>
      <c r="I22" s="326">
        <f>H22*(INDEX('Ex ante LI &amp; Eligibility Stats'!$A:$M,MATCH('Program MW '!$A22,'Ex ante LI &amp; Eligibility Stats'!$A:$A,0),MATCH('Program MW '!I$6,'Ex ante LI &amp; Eligibility Stats'!$A$8:$M$8,0))/1000)</f>
        <v>0.81720589716985104</v>
      </c>
      <c r="J22" s="327">
        <f>H22*(INDEX('Ex post LI &amp; Eligibility Stats'!$A:$N,MATCH($A22,'Ex post LI &amp; Eligibility Stats'!$A:$A,0),MATCH('Program MW '!I$6,'Ex post LI &amp; Eligibility Stats'!$A$8:$N$8,0))/1000)</f>
        <v>3.2290746207483987</v>
      </c>
      <c r="K22" s="626">
        <v>16109</v>
      </c>
      <c r="L22" s="326">
        <f>K22*(INDEX('Ex ante LI &amp; Eligibility Stats'!$A:$M,MATCH('Program MW '!$A22,'Ex ante LI &amp; Eligibility Stats'!$A:$A,0),MATCH('Program MW '!L$6,'Ex ante LI &amp; Eligibility Stats'!$A$8:$M$8,0))/1000)</f>
        <v>0.74185605258546561</v>
      </c>
      <c r="M22" s="327">
        <f>K22*(INDEX('Ex post LI &amp; Eligibility Stats'!$A:$N,MATCH($A22,'Ex post LI &amp; Eligibility Stats'!$A:$A,0),MATCH('Program MW '!L$6,'Ex post LI &amp; Eligibility Stats'!$A$8:$N$8,0))/1000)</f>
        <v>2.6919817350119524</v>
      </c>
      <c r="N22" s="269">
        <v>19517</v>
      </c>
      <c r="O22" s="326">
        <f>N22*(INDEX('Ex ante LI &amp; Eligibility Stats'!$A:$M,MATCH('Program MW '!$A22,'Ex ante LI &amp; Eligibility Stats'!$A:$A,0),MATCH('Program MW '!O$6,'Ex ante LI &amp; Eligibility Stats'!$A$8:$M$8,0))/1000)</f>
        <v>1.9292683404082556</v>
      </c>
      <c r="P22" s="327">
        <f>N22*(INDEX('Ex post LI &amp; Eligibility Stats'!$A:$N,MATCH($A22,'Ex post LI &amp; Eligibility Stats'!$A:$A,0),MATCH('Program MW '!O$6,'Ex post LI &amp; Eligibility Stats'!$A$8:$N$8,0))/1000)</f>
        <v>3.2614940419782896</v>
      </c>
      <c r="Q22" s="269">
        <v>20395</v>
      </c>
      <c r="R22" s="326">
        <f>Q22*(INDEX('Ex ante LI &amp; Eligibility Stats'!$A:$M,MATCH('Program MW '!$A22,'Ex ante LI &amp; Eligibility Stats'!$A:$A,0),MATCH('Program MW '!R$6,'Ex ante LI &amp; Eligibility Stats'!$A$8:$M$8,0))/1000)</f>
        <v>1.5282490066869205</v>
      </c>
      <c r="S22" s="327">
        <f>Q22*(INDEX('Ex post LI &amp; Eligibility Stats'!$A:$N,MATCH($A22,'Ex post LI &amp; Eligibility Stats'!$A:$A,0),MATCH('Program MW '!R$6,'Ex post LI &amp; Eligibility Stats'!$A$8:$N$8,0))/1000)</f>
        <v>3.4082169896063546</v>
      </c>
      <c r="T22" s="4"/>
      <c r="U22" s="6"/>
      <c r="V22" s="6"/>
      <c r="W22" s="6"/>
      <c r="X22" s="6"/>
      <c r="Y22" s="6"/>
      <c r="Z22" s="6"/>
      <c r="AA22" s="6"/>
      <c r="AB22" s="6"/>
      <c r="AC22" s="6"/>
      <c r="AD22" s="6"/>
      <c r="AE22" s="6"/>
    </row>
    <row r="23" spans="1:31" ht="13.5" thickBot="1">
      <c r="A23" s="184" t="s">
        <v>57</v>
      </c>
      <c r="B23" s="157">
        <f t="shared" ref="B23:S23" si="3">SUM(B12:B22)</f>
        <v>174699</v>
      </c>
      <c r="C23" s="174">
        <f t="shared" si="3"/>
        <v>3.778228213925745</v>
      </c>
      <c r="D23" s="173">
        <f t="shared" si="3"/>
        <v>21.590120000000002</v>
      </c>
      <c r="E23" s="1">
        <f t="shared" si="3"/>
        <v>175218</v>
      </c>
      <c r="F23" s="229">
        <f t="shared" si="3"/>
        <v>3.7227877957456035</v>
      </c>
      <c r="G23" s="230">
        <f t="shared" si="3"/>
        <v>21.668740000000003</v>
      </c>
      <c r="H23" s="1">
        <f t="shared" si="3"/>
        <v>174537</v>
      </c>
      <c r="I23" s="229">
        <f t="shared" si="3"/>
        <v>0.82959779925221644</v>
      </c>
      <c r="J23" s="230">
        <f t="shared" si="3"/>
        <v>22.121750536563383</v>
      </c>
      <c r="K23" s="1">
        <f t="shared" si="3"/>
        <v>172865</v>
      </c>
      <c r="L23" s="229">
        <f t="shared" si="3"/>
        <v>1.9760197769305581</v>
      </c>
      <c r="M23" s="230">
        <f t="shared" si="3"/>
        <v>21.894651100392426</v>
      </c>
      <c r="N23" s="1">
        <f t="shared" si="3"/>
        <v>168949</v>
      </c>
      <c r="O23" s="231">
        <f t="shared" si="3"/>
        <v>6.1291205687216852</v>
      </c>
      <c r="P23" s="234">
        <f t="shared" si="3"/>
        <v>24.28094192448647</v>
      </c>
      <c r="Q23" s="1">
        <f t="shared" si="3"/>
        <v>160097</v>
      </c>
      <c r="R23" s="238">
        <f t="shared" si="3"/>
        <v>4.7674030645313437</v>
      </c>
      <c r="S23" s="239">
        <f t="shared" si="3"/>
        <v>20.599531888362314</v>
      </c>
      <c r="T23" s="5"/>
      <c r="U23" s="6"/>
      <c r="V23" s="6"/>
      <c r="W23" s="6"/>
      <c r="X23" s="6"/>
      <c r="Y23" s="6"/>
      <c r="Z23" s="6"/>
      <c r="AA23" s="6"/>
      <c r="AB23" s="6"/>
      <c r="AC23" s="6"/>
      <c r="AD23" s="6"/>
      <c r="AE23" s="6"/>
    </row>
    <row r="24" spans="1:31" ht="14" thickTop="1" thickBot="1">
      <c r="A24" s="191" t="s">
        <v>58</v>
      </c>
      <c r="B24" s="2">
        <f t="shared" ref="B24:S24" si="4">+B10+B23</f>
        <v>174703</v>
      </c>
      <c r="C24" s="174">
        <f t="shared" si="4"/>
        <v>4.3699852940038699</v>
      </c>
      <c r="D24" s="267">
        <f t="shared" si="4"/>
        <v>22.014440000000004</v>
      </c>
      <c r="E24" s="2">
        <f t="shared" si="4"/>
        <v>175222</v>
      </c>
      <c r="F24" s="174">
        <f t="shared" si="4"/>
        <v>4.216221236907713</v>
      </c>
      <c r="G24" s="174">
        <f t="shared" si="4"/>
        <v>22.093060000000005</v>
      </c>
      <c r="H24" s="2">
        <f t="shared" si="4"/>
        <v>174541</v>
      </c>
      <c r="I24" s="174">
        <f t="shared" si="4"/>
        <v>1.4463025111662788</v>
      </c>
      <c r="J24" s="173">
        <f t="shared" si="4"/>
        <v>22.545750536563382</v>
      </c>
      <c r="K24" s="2">
        <f t="shared" si="4"/>
        <v>172867</v>
      </c>
      <c r="L24" s="174">
        <f t="shared" si="4"/>
        <v>2.2587454544207923</v>
      </c>
      <c r="M24" s="173">
        <f t="shared" si="4"/>
        <v>22.106651100392426</v>
      </c>
      <c r="N24" s="2">
        <f t="shared" si="4"/>
        <v>168951</v>
      </c>
      <c r="O24" s="232">
        <f t="shared" si="4"/>
        <v>6.4037210936240285</v>
      </c>
      <c r="P24" s="173">
        <f t="shared" si="4"/>
        <v>24.49294192448647</v>
      </c>
      <c r="Q24" s="2">
        <f t="shared" si="4"/>
        <v>160098</v>
      </c>
      <c r="R24" s="241">
        <f t="shared" si="4"/>
        <v>4.9344875524463827</v>
      </c>
      <c r="S24" s="240">
        <f t="shared" si="4"/>
        <v>20.705531888362316</v>
      </c>
      <c r="T24" s="8"/>
      <c r="U24" s="6"/>
      <c r="V24" s="6"/>
      <c r="W24" s="6"/>
      <c r="X24" s="6"/>
      <c r="Y24" s="6"/>
      <c r="Z24" s="6"/>
      <c r="AA24" s="6"/>
      <c r="AB24" s="6"/>
      <c r="AC24" s="6"/>
      <c r="AD24" s="6"/>
      <c r="AE24" s="6"/>
    </row>
    <row r="25" spans="1:31" ht="13" thickTop="1">
      <c r="A25" s="159"/>
      <c r="B25" s="92"/>
      <c r="C25" s="90"/>
      <c r="D25" s="91"/>
      <c r="E25" s="159"/>
      <c r="F25" s="90"/>
      <c r="G25" s="93"/>
      <c r="H25" s="159"/>
      <c r="I25" s="90"/>
      <c r="J25" s="93"/>
      <c r="K25" s="626"/>
      <c r="L25" s="90"/>
      <c r="M25" s="93"/>
      <c r="N25" s="159"/>
      <c r="O25" s="90"/>
      <c r="P25" s="93"/>
      <c r="Q25" s="159"/>
      <c r="R25" s="90"/>
      <c r="S25" s="93"/>
      <c r="T25" s="9"/>
      <c r="U25" s="6"/>
      <c r="V25" s="6"/>
      <c r="W25" s="6"/>
      <c r="X25" s="6"/>
      <c r="Y25" s="6"/>
      <c r="Z25" s="6"/>
      <c r="AA25" s="6"/>
      <c r="AB25" s="6"/>
      <c r="AC25" s="6"/>
      <c r="AD25" s="6"/>
      <c r="AE25" s="6"/>
    </row>
    <row r="26" spans="1:31">
      <c r="A26" s="269"/>
      <c r="B26" s="41"/>
      <c r="C26" s="41"/>
      <c r="D26" s="41"/>
      <c r="E26" s="269"/>
      <c r="F26" s="41"/>
      <c r="G26" s="41"/>
      <c r="H26" s="269"/>
      <c r="I26" s="41"/>
      <c r="J26" s="41"/>
      <c r="K26" s="626"/>
      <c r="L26" s="41"/>
      <c r="M26" s="41"/>
      <c r="N26" s="269"/>
      <c r="O26" s="41"/>
      <c r="P26" s="41"/>
      <c r="Q26" s="269"/>
      <c r="R26" s="41"/>
      <c r="S26" s="41"/>
    </row>
    <row r="27" spans="1:31" hidden="1">
      <c r="B27" s="41"/>
      <c r="C27" s="41">
        <f>C4+6</f>
        <v>8</v>
      </c>
      <c r="D27" s="41">
        <f>D4+6</f>
        <v>8</v>
      </c>
      <c r="E27" s="41"/>
      <c r="F27" s="41">
        <f>F4+6</f>
        <v>9</v>
      </c>
      <c r="G27" s="41">
        <f>G4+6</f>
        <v>9</v>
      </c>
      <c r="H27" s="41"/>
      <c r="I27" s="41">
        <f>I4+6</f>
        <v>10</v>
      </c>
      <c r="J27" s="41">
        <f>J4+6</f>
        <v>10</v>
      </c>
      <c r="K27" s="41"/>
      <c r="L27" s="41">
        <f>L4+6</f>
        <v>11</v>
      </c>
      <c r="M27" s="41">
        <f>M4+6</f>
        <v>11</v>
      </c>
      <c r="N27" s="41"/>
      <c r="O27" s="41">
        <f>O4+6</f>
        <v>12</v>
      </c>
      <c r="P27" s="41">
        <f>P4+6</f>
        <v>12</v>
      </c>
      <c r="Q27" s="41"/>
      <c r="R27" s="41">
        <f>R4+6</f>
        <v>13</v>
      </c>
      <c r="S27" s="41">
        <f>S4+6</f>
        <v>13</v>
      </c>
    </row>
    <row r="28" spans="1:31" ht="13">
      <c r="A28" s="88"/>
      <c r="B28" s="385"/>
      <c r="C28" s="385" t="s">
        <v>59</v>
      </c>
      <c r="D28" s="255"/>
      <c r="E28" s="385"/>
      <c r="F28" s="385" t="s">
        <v>66</v>
      </c>
      <c r="G28" s="385"/>
      <c r="H28" s="385"/>
      <c r="I28" s="385" t="s">
        <v>67</v>
      </c>
      <c r="J28" s="385"/>
      <c r="K28" s="385"/>
      <c r="L28" s="385" t="s">
        <v>61</v>
      </c>
      <c r="M28" s="385"/>
      <c r="N28" s="385"/>
      <c r="O28" s="385" t="s">
        <v>68</v>
      </c>
      <c r="P28" s="385"/>
      <c r="Q28" s="385"/>
      <c r="R28" s="385" t="s">
        <v>62</v>
      </c>
      <c r="S28" s="385"/>
      <c r="T28" s="146"/>
      <c r="U28" s="146"/>
    </row>
    <row r="29" spans="1:31" ht="42.5">
      <c r="A29" s="162" t="s">
        <v>46</v>
      </c>
      <c r="B29" s="181" t="s">
        <v>6</v>
      </c>
      <c r="C29" s="178" t="s">
        <v>48</v>
      </c>
      <c r="D29" s="168" t="s">
        <v>49</v>
      </c>
      <c r="E29" s="181" t="s">
        <v>6</v>
      </c>
      <c r="F29" s="178" t="s">
        <v>272</v>
      </c>
      <c r="G29" s="168" t="s">
        <v>273</v>
      </c>
      <c r="H29" s="181" t="s">
        <v>6</v>
      </c>
      <c r="I29" s="178" t="s">
        <v>272</v>
      </c>
      <c r="J29" s="168" t="s">
        <v>273</v>
      </c>
      <c r="K29" s="181" t="s">
        <v>6</v>
      </c>
      <c r="L29" s="178" t="s">
        <v>272</v>
      </c>
      <c r="M29" s="168" t="s">
        <v>273</v>
      </c>
      <c r="N29" s="181" t="s">
        <v>6</v>
      </c>
      <c r="O29" s="178" t="s">
        <v>272</v>
      </c>
      <c r="P29" s="168" t="s">
        <v>273</v>
      </c>
      <c r="Q29" s="181" t="s">
        <v>6</v>
      </c>
      <c r="R29" s="178" t="s">
        <v>272</v>
      </c>
      <c r="S29" s="168" t="s">
        <v>273</v>
      </c>
      <c r="T29" s="168" t="s">
        <v>50</v>
      </c>
      <c r="V29" s="11"/>
    </row>
    <row r="30" spans="1:31" ht="13">
      <c r="A30" s="162" t="s">
        <v>51</v>
      </c>
      <c r="B30" s="181"/>
      <c r="C30" s="179"/>
      <c r="D30" s="182"/>
      <c r="E30" s="181"/>
      <c r="F30" s="179"/>
      <c r="G30" s="182"/>
      <c r="H30" s="181"/>
      <c r="I30" s="179"/>
      <c r="J30" s="179"/>
      <c r="K30" s="181"/>
      <c r="L30" s="179"/>
      <c r="M30" s="182"/>
      <c r="N30" s="181"/>
      <c r="O30" s="179"/>
      <c r="P30" s="182"/>
      <c r="Q30" s="181"/>
      <c r="R30" s="179"/>
      <c r="S30" s="182"/>
      <c r="T30" s="183"/>
    </row>
    <row r="31" spans="1:31">
      <c r="A31" s="85" t="s">
        <v>8</v>
      </c>
      <c r="B31" s="127">
        <v>1</v>
      </c>
      <c r="C31" s="326">
        <f>B31*(INDEX('Ex ante LI &amp; Eligibility Stats'!$A:$M,MATCH('Program MW '!$A31,'Ex ante LI &amp; Eligibility Stats'!$A:$A,0),MATCH('Program MW '!C$28,'Ex ante LI &amp; Eligibility Stats'!$A$8:$M$8,0))/1000)</f>
        <v>0.15948800659179688</v>
      </c>
      <c r="D31" s="326">
        <f>B31*(INDEX('Ex post LI &amp; Eligibility Stats'!$A:$N,MATCH($A31,'Ex post LI &amp; Eligibility Stats'!$A:$A,0),MATCH('Program MW '!C$28,'Ex post LI &amp; Eligibility Stats'!$A$8:$N$8,0))/1000)</f>
        <v>0.106</v>
      </c>
      <c r="E31" s="124">
        <v>0</v>
      </c>
      <c r="F31" s="326">
        <f>E31*(INDEX('Ex ante LI &amp; Eligibility Stats'!$A:$M,MATCH('Program MW '!$A31,'Ex ante LI &amp; Eligibility Stats'!$A:$A,0),MATCH('Program MW '!F$28,'Ex ante LI &amp; Eligibility Stats'!$A$8:$M$8,0))/1000)</f>
        <v>0</v>
      </c>
      <c r="G31" s="326">
        <f>E31*(INDEX('Ex post LI &amp; Eligibility Stats'!$A:$N,MATCH($A31,'Ex post LI &amp; Eligibility Stats'!$A:$A,0),MATCH('Program MW '!F$28,'Ex post LI &amp; Eligibility Stats'!$A$8:$N$8,0))/1000)</f>
        <v>0</v>
      </c>
      <c r="H31" s="124">
        <v>0</v>
      </c>
      <c r="I31" s="326">
        <f>H31*(INDEX('Ex ante LI &amp; Eligibility Stats'!$A:$M,MATCH('Program MW '!$A31,'Ex ante LI &amp; Eligibility Stats'!$A:$A,0),MATCH('Program MW '!I$28,'Ex ante LI &amp; Eligibility Stats'!$A$8:$M$8,0))/1000)</f>
        <v>0</v>
      </c>
      <c r="J31" s="326">
        <f>H31*(INDEX('Ex post LI &amp; Eligibility Stats'!$A:$N,MATCH($A31,'Ex post LI &amp; Eligibility Stats'!$A:$A,0),MATCH('Program MW '!I$28,'Ex post LI &amp; Eligibility Stats'!$A$8:$N$8,0))/1000)</f>
        <v>0</v>
      </c>
      <c r="K31" s="126">
        <v>0</v>
      </c>
      <c r="L31" s="326">
        <f>K31*(INDEX('Ex ante LI &amp; Eligibility Stats'!$A:$M,MATCH('Program MW '!$A31,'Ex ante LI &amp; Eligibility Stats'!$A:$A,0),MATCH('Program MW '!L$28,'Ex ante LI &amp; Eligibility Stats'!$A$8:$M$8,0))/1000)</f>
        <v>0</v>
      </c>
      <c r="M31" s="326">
        <f>K31*(INDEX('Ex post LI &amp; Eligibility Stats'!$A:$N,MATCH($A31,'Ex post LI &amp; Eligibility Stats'!$A:$A,0),MATCH('Program MW '!L$28,'Ex post LI &amp; Eligibility Stats'!$A$8:$N$8,0))/1000)</f>
        <v>0</v>
      </c>
      <c r="N31" s="124">
        <v>0</v>
      </c>
      <c r="O31" s="326">
        <f>N31*(INDEX('Ex ante LI &amp; Eligibility Stats'!$A:$M,MATCH('Program MW '!$A31,'Ex ante LI &amp; Eligibility Stats'!$A:$A,0),MATCH('Program MW '!O$28,'Ex ante LI &amp; Eligibility Stats'!$A$8:$M$8,0))/1000)</f>
        <v>0</v>
      </c>
      <c r="P31" s="326">
        <f>N31*(INDEX('Ex post LI &amp; Eligibility Stats'!$A:$N,MATCH($A31,'Ex post LI &amp; Eligibility Stats'!$A:$A,0),MATCH('Program MW '!O$28,'Ex post LI &amp; Eligibility Stats'!$A$8:$N$8,0))/1000)</f>
        <v>0</v>
      </c>
      <c r="Q31" s="124">
        <v>0</v>
      </c>
      <c r="R31" s="326">
        <f>Q31*(INDEX('Ex ante LI &amp; Eligibility Stats'!$A:$M,MATCH('Program MW '!$A31,'Ex ante LI &amp; Eligibility Stats'!$A:$A,0),MATCH('Program MW '!R$28,'Ex ante LI &amp; Eligibility Stats'!$A$8:$M$8,0))/1000)</f>
        <v>0</v>
      </c>
      <c r="S31" s="326">
        <f>Q31*(INDEX('Ex post LI &amp; Eligibility Stats'!$A:$N,MATCH($A31,'Ex post LI &amp; Eligibility Stats'!$A:$A,0),MATCH('Program MW '!R$28,'Ex post LI &amp; Eligibility Stats'!$A$8:$N$8,0))/1000)</f>
        <v>0</v>
      </c>
      <c r="T31" s="4">
        <v>5276</v>
      </c>
    </row>
    <row r="32" spans="1:31" ht="13.5" thickBot="1">
      <c r="A32" s="184" t="s">
        <v>52</v>
      </c>
      <c r="B32" s="155">
        <f t="shared" ref="B32:K32" si="5">SUM(B31:B31)</f>
        <v>1</v>
      </c>
      <c r="C32" s="257">
        <f t="shared" si="5"/>
        <v>0.15948800659179688</v>
      </c>
      <c r="D32" s="258">
        <f t="shared" si="5"/>
        <v>0.106</v>
      </c>
      <c r="E32" s="125">
        <f t="shared" si="5"/>
        <v>0</v>
      </c>
      <c r="F32" s="257">
        <f t="shared" ref="F32:G32" si="6">SUM(F31:F31)</f>
        <v>0</v>
      </c>
      <c r="G32" s="258">
        <f t="shared" si="6"/>
        <v>0</v>
      </c>
      <c r="H32" s="125">
        <f t="shared" si="5"/>
        <v>0</v>
      </c>
      <c r="I32" s="257">
        <f t="shared" si="5"/>
        <v>0</v>
      </c>
      <c r="J32" s="258">
        <f t="shared" si="5"/>
        <v>0</v>
      </c>
      <c r="K32" s="125">
        <f t="shared" si="5"/>
        <v>0</v>
      </c>
      <c r="L32" s="257">
        <f t="shared" ref="L32:M32" si="7">SUM(L31:L31)</f>
        <v>0</v>
      </c>
      <c r="M32" s="258">
        <f t="shared" si="7"/>
        <v>0</v>
      </c>
      <c r="N32" s="125">
        <f t="shared" ref="N32:Q32" si="8">SUM(N31:N31)</f>
        <v>0</v>
      </c>
      <c r="O32" s="257">
        <f t="shared" ref="O32:P32" si="9">SUM(O31:O31)</f>
        <v>0</v>
      </c>
      <c r="P32" s="258">
        <f t="shared" si="9"/>
        <v>0</v>
      </c>
      <c r="Q32" s="125">
        <f t="shared" si="8"/>
        <v>0</v>
      </c>
      <c r="R32" s="257">
        <f t="shared" ref="R32:S32" si="10">SUM(R31:R31)</f>
        <v>0</v>
      </c>
      <c r="S32" s="258">
        <f t="shared" si="10"/>
        <v>0</v>
      </c>
      <c r="T32" s="5"/>
    </row>
    <row r="33" spans="1:26" ht="13.5" thickTop="1">
      <c r="A33" s="162" t="s">
        <v>53</v>
      </c>
      <c r="B33" s="189"/>
      <c r="C33" s="188"/>
      <c r="D33" s="187"/>
      <c r="E33" s="189"/>
      <c r="F33" s="188"/>
      <c r="G33" s="187"/>
      <c r="H33" s="189"/>
      <c r="I33" s="188"/>
      <c r="J33" s="187"/>
      <c r="K33" s="189"/>
      <c r="L33" s="188"/>
      <c r="M33" s="187"/>
      <c r="N33" s="189"/>
      <c r="O33" s="188"/>
      <c r="P33" s="187"/>
      <c r="Q33" s="189"/>
      <c r="R33" s="188"/>
      <c r="S33" s="187"/>
      <c r="T33" s="183"/>
    </row>
    <row r="34" spans="1:26">
      <c r="A34" s="42" t="s">
        <v>11</v>
      </c>
      <c r="B34" s="158">
        <v>5806</v>
      </c>
      <c r="C34" s="326">
        <f>B34*(INDEX('Ex ante LI &amp; Eligibility Stats'!$A:$M,MATCH('Program MW '!$A34,'Ex ante LI &amp; Eligibility Stats'!$A:$A,0),MATCH('Program MW '!C$28,'Ex ante LI &amp; Eligibility Stats'!$A$8:$M$8,0))/1000)</f>
        <v>0</v>
      </c>
      <c r="D34" s="325">
        <f>B34*(INDEX('Ex post LI &amp; Eligibility Stats'!$A:$N,MATCH($A34,'Ex post LI &amp; Eligibility Stats'!$A:$A,0),MATCH('Program MW '!C$28,'Ex post LI &amp; Eligibility Stats'!$A$8:$N$8,0))/1000)</f>
        <v>2.7938888237196737</v>
      </c>
      <c r="E34" s="158">
        <v>0</v>
      </c>
      <c r="F34" s="326">
        <f>E34*(INDEX('Ex ante LI &amp; Eligibility Stats'!$A:$M,MATCH('Program MW '!$A34,'Ex ante LI &amp; Eligibility Stats'!$A:$A,0),MATCH('Program MW '!F$28,'Ex ante LI &amp; Eligibility Stats'!$A$8:$M$8,0))/1000)</f>
        <v>0</v>
      </c>
      <c r="G34" s="325">
        <f>E34*(INDEX('Ex post LI &amp; Eligibility Stats'!$A:$N,MATCH($A34,'Ex post LI &amp; Eligibility Stats'!$A:$A,0),MATCH('Program MW '!F$28,'Ex post LI &amp; Eligibility Stats'!$A$8:$N$8,0))/1000)</f>
        <v>0</v>
      </c>
      <c r="H34" s="158">
        <v>0</v>
      </c>
      <c r="I34" s="326">
        <f>H34*(INDEX('Ex ante LI &amp; Eligibility Stats'!$A:$M,MATCH('Program MW '!$A34,'Ex ante LI &amp; Eligibility Stats'!$A:$A,0),MATCH('Program MW '!I$28,'Ex ante LI &amp; Eligibility Stats'!$A$8:$M$8,0))/1000)</f>
        <v>0</v>
      </c>
      <c r="J34" s="325">
        <f>H34*(INDEX('Ex post LI &amp; Eligibility Stats'!$A:$N,MATCH($A34,'Ex post LI &amp; Eligibility Stats'!$A:$A,0),MATCH('Program MW '!I$28,'Ex post LI &amp; Eligibility Stats'!$A$8:$N$8,0))/1000)</f>
        <v>0</v>
      </c>
      <c r="K34" s="158">
        <v>0</v>
      </c>
      <c r="L34" s="326">
        <f>K34*(INDEX('Ex ante LI &amp; Eligibility Stats'!$A:$M,MATCH('Program MW '!$A34,'Ex ante LI &amp; Eligibility Stats'!$A:$A,0),MATCH('Program MW '!L$28,'Ex ante LI &amp; Eligibility Stats'!$A$8:$M$8,0))/1000)</f>
        <v>0</v>
      </c>
      <c r="M34" s="325">
        <f>K34*(INDEX('Ex post LI &amp; Eligibility Stats'!$A:$N,MATCH($A34,'Ex post LI &amp; Eligibility Stats'!$A:$A,0),MATCH('Program MW '!L$28,'Ex post LI &amp; Eligibility Stats'!$A$8:$N$8,0))/1000)</f>
        <v>0</v>
      </c>
      <c r="N34" s="158">
        <v>0</v>
      </c>
      <c r="O34" s="326">
        <f>N34*(INDEX('Ex ante LI &amp; Eligibility Stats'!$A:$M,MATCH('Program MW '!$A34,'Ex ante LI &amp; Eligibility Stats'!$A:$A,0),MATCH('Program MW '!O$28,'Ex ante LI &amp; Eligibility Stats'!$A$8:$M$8,0))/1000)</f>
        <v>0</v>
      </c>
      <c r="P34" s="325">
        <f>N34*(INDEX('Ex post LI &amp; Eligibility Stats'!$A:$N,MATCH($A34,'Ex post LI &amp; Eligibility Stats'!$A:$A,0),MATCH('Program MW '!O$28,'Ex post LI &amp; Eligibility Stats'!$A$8:$N$8,0))/1000)</f>
        <v>0</v>
      </c>
      <c r="Q34" s="158">
        <v>0</v>
      </c>
      <c r="R34" s="326">
        <f>Q34*(INDEX('Ex ante LI &amp; Eligibility Stats'!$A:$M,MATCH('Program MW '!$A34,'Ex ante LI &amp; Eligibility Stats'!$A:$A,0),MATCH('Program MW '!R$28,'Ex ante LI &amp; Eligibility Stats'!$A$8:$M$8,0))/1000)</f>
        <v>0</v>
      </c>
      <c r="S34" s="325">
        <f>Q34*(INDEX('Ex post LI &amp; Eligibility Stats'!$A:$N,MATCH($A34,'Ex post LI &amp; Eligibility Stats'!$A:$A,0),MATCH('Program MW '!R$28,'Ex post LI &amp; Eligibility Stats'!$A$8:$N$8,0))/1000)</f>
        <v>0</v>
      </c>
      <c r="T34" s="7">
        <v>138123</v>
      </c>
    </row>
    <row r="35" spans="1:26" ht="13.5">
      <c r="A35" s="205" t="s">
        <v>54</v>
      </c>
      <c r="B35" s="206">
        <v>0</v>
      </c>
      <c r="C35" s="326">
        <v>0</v>
      </c>
      <c r="D35" s="327">
        <v>0</v>
      </c>
      <c r="E35" s="206">
        <v>0</v>
      </c>
      <c r="F35" s="326">
        <v>0</v>
      </c>
      <c r="G35" s="327">
        <v>0</v>
      </c>
      <c r="H35" s="206">
        <v>0</v>
      </c>
      <c r="I35" s="326">
        <v>0</v>
      </c>
      <c r="J35" s="327">
        <v>0</v>
      </c>
      <c r="K35" s="206">
        <v>0</v>
      </c>
      <c r="L35" s="326">
        <v>0</v>
      </c>
      <c r="M35" s="327">
        <v>0</v>
      </c>
      <c r="N35" s="206">
        <v>0</v>
      </c>
      <c r="O35" s="326">
        <v>0</v>
      </c>
      <c r="P35" s="327">
        <v>0</v>
      </c>
      <c r="Q35" s="206">
        <v>0</v>
      </c>
      <c r="R35" s="326">
        <v>0</v>
      </c>
      <c r="S35" s="327">
        <v>0</v>
      </c>
      <c r="T35" s="4"/>
    </row>
    <row r="36" spans="1:26">
      <c r="A36" s="271" t="s">
        <v>17</v>
      </c>
      <c r="B36" s="159">
        <v>14955</v>
      </c>
      <c r="C36" s="326">
        <f>B36*(INDEX('Ex ante LI &amp; Eligibility Stats'!$A:$M,MATCH('Program MW '!$A36,'Ex ante LI &amp; Eligibility Stats'!$A:$A,0),MATCH('Program MW '!C$28,'Ex ante LI &amp; Eligibility Stats'!$A$8:$M$8,0))/1000)</f>
        <v>2.4866744115203621</v>
      </c>
      <c r="D36" s="327">
        <f>B36*(INDEX('Ex post LI &amp; Eligibility Stats'!$A:$N,MATCH($A36,'Ex post LI &amp; Eligibility Stats'!$A:$A,0),MATCH('Program MW '!C$28,'Ex post LI &amp; Eligibility Stats'!$A$8:$N$8,0))/1000)</f>
        <v>4.4907641302049166</v>
      </c>
      <c r="E36" s="159">
        <v>0</v>
      </c>
      <c r="F36" s="326">
        <f>E36*(INDEX('Ex ante LI &amp; Eligibility Stats'!$A:$M,MATCH('Program MW '!$A36,'Ex ante LI &amp; Eligibility Stats'!$A:$A,0),MATCH('Program MW '!F$28,'Ex ante LI &amp; Eligibility Stats'!$A$8:$M$8,0))/1000)</f>
        <v>0</v>
      </c>
      <c r="G36" s="327">
        <f>E36*(INDEX('Ex post LI &amp; Eligibility Stats'!$A:$N,MATCH($A36,'Ex post LI &amp; Eligibility Stats'!$A:$A,0),MATCH('Program MW '!F$28,'Ex post LI &amp; Eligibility Stats'!$A$8:$N$8,0))/1000)</f>
        <v>0</v>
      </c>
      <c r="H36" s="159">
        <v>0</v>
      </c>
      <c r="I36" s="326">
        <f>H36*(INDEX('Ex ante LI &amp; Eligibility Stats'!$A:$M,MATCH('Program MW '!$A36,'Ex ante LI &amp; Eligibility Stats'!$A:$A,0),MATCH('Program MW '!I$28,'Ex ante LI &amp; Eligibility Stats'!$A$8:$M$8,0))/1000)</f>
        <v>0</v>
      </c>
      <c r="J36" s="327">
        <f>H36*(INDEX('Ex post LI &amp; Eligibility Stats'!$A:$N,MATCH($A36,'Ex post LI &amp; Eligibility Stats'!$A:$A,0),MATCH('Program MW '!I$28,'Ex post LI &amp; Eligibility Stats'!$A$8:$N$8,0))/1000)</f>
        <v>0</v>
      </c>
      <c r="K36" s="159">
        <v>0</v>
      </c>
      <c r="L36" s="326">
        <f>K36*(INDEX('Ex ante LI &amp; Eligibility Stats'!$A:$M,MATCH('Program MW '!$A36,'Ex ante LI &amp; Eligibility Stats'!$A:$A,0),MATCH('Program MW '!L$28,'Ex ante LI &amp; Eligibility Stats'!$A$8:$M$8,0))/1000)</f>
        <v>0</v>
      </c>
      <c r="M36" s="327">
        <f>K36*(INDEX('Ex post LI &amp; Eligibility Stats'!$A:$N,MATCH($A36,'Ex post LI &amp; Eligibility Stats'!$A:$A,0),MATCH('Program MW '!L$28,'Ex post LI &amp; Eligibility Stats'!$A$8:$N$8,0))/1000)</f>
        <v>0</v>
      </c>
      <c r="N36" s="159">
        <v>0</v>
      </c>
      <c r="O36" s="494">
        <f>N36*(INDEX('Ex ante LI &amp; Eligibility Stats'!$A:$M,MATCH('Program MW '!$A36,'Ex ante LI &amp; Eligibility Stats'!$A:$A,0),MATCH('Program MW '!O$28,'Ex ante LI &amp; Eligibility Stats'!$A$8:$M$8,0))/1000)</f>
        <v>0</v>
      </c>
      <c r="P36" s="327">
        <f>N36*(INDEX('Ex post LI &amp; Eligibility Stats'!$A:$N,MATCH($A36,'Ex post LI &amp; Eligibility Stats'!$A:$A,0),MATCH('Program MW '!O$28,'Ex post LI &amp; Eligibility Stats'!$A$8:$N$8,0))/1000)</f>
        <v>0</v>
      </c>
      <c r="Q36" s="159">
        <v>0</v>
      </c>
      <c r="R36" s="326">
        <f>Q36*(INDEX('Ex ante LI &amp; Eligibility Stats'!$A:$M,MATCH('Program MW '!$A36,'Ex ante LI &amp; Eligibility Stats'!$A:$A,0),MATCH('Program MW '!R$28,'Ex ante LI &amp; Eligibility Stats'!$A$8:$M$8,0))/1000)</f>
        <v>0</v>
      </c>
      <c r="S36" s="327">
        <f>Q36*(INDEX('Ex post LI &amp; Eligibility Stats'!$A:$N,MATCH($A36,'Ex post LI &amp; Eligibility Stats'!$A:$A,0),MATCH('Program MW '!R$28,'Ex post LI &amp; Eligibility Stats'!$A$8:$N$8,0))/1000)</f>
        <v>0</v>
      </c>
      <c r="T36" s="4">
        <v>663393.5</v>
      </c>
    </row>
    <row r="37" spans="1:26">
      <c r="A37" s="271" t="s">
        <v>20</v>
      </c>
      <c r="B37" s="159">
        <v>249</v>
      </c>
      <c r="C37" s="326">
        <f>B37*(INDEX('Ex ante LI &amp; Eligibility Stats'!$A:$M,MATCH('Program MW '!$A37,'Ex ante LI &amp; Eligibility Stats'!$A:$A,0),MATCH('Program MW '!C$28,'Ex ante LI &amp; Eligibility Stats'!$A$8:$M$8,0))/1000)</f>
        <v>0.51758776760101322</v>
      </c>
      <c r="D37" s="327">
        <f>B37*(INDEX('Ex post LI &amp; Eligibility Stats'!$A:$N,MATCH($A37,'Ex post LI &amp; Eligibility Stats'!$A:$A,0),MATCH('Program MW '!C$28,'Ex post LI &amp; Eligibility Stats'!$A$8:$N$8,0))/1000)</f>
        <v>0.11549731957912444</v>
      </c>
      <c r="E37" s="159">
        <v>0</v>
      </c>
      <c r="F37" s="326">
        <f>E37*(INDEX('Ex ante LI &amp; Eligibility Stats'!$A:$M,MATCH('Program MW '!$A37,'Ex ante LI &amp; Eligibility Stats'!$A:$A,0),MATCH('Program MW '!F$28,'Ex ante LI &amp; Eligibility Stats'!$A$8:$M$8,0))/1000)</f>
        <v>0</v>
      </c>
      <c r="G37" s="327">
        <f>E37*(INDEX('Ex post LI &amp; Eligibility Stats'!$A:$N,MATCH($A37,'Ex post LI &amp; Eligibility Stats'!$A:$A,0),MATCH('Program MW '!F$28,'Ex post LI &amp; Eligibility Stats'!$A$8:$N$8,0))/1000)</f>
        <v>0</v>
      </c>
      <c r="H37" s="159">
        <v>0</v>
      </c>
      <c r="I37" s="326">
        <f>H37*(INDEX('Ex ante LI &amp; Eligibility Stats'!$A:$M,MATCH('Program MW '!$A37,'Ex ante LI &amp; Eligibility Stats'!$A:$A,0),MATCH('Program MW '!I$28,'Ex ante LI &amp; Eligibility Stats'!$A$8:$M$8,0))/1000)</f>
        <v>0</v>
      </c>
      <c r="J37" s="327">
        <f>H37*(INDEX('Ex post LI &amp; Eligibility Stats'!$A:$N,MATCH($A37,'Ex post LI &amp; Eligibility Stats'!$A:$A,0),MATCH('Program MW '!I$28,'Ex post LI &amp; Eligibility Stats'!$A$8:$N$8,0))/1000)</f>
        <v>0</v>
      </c>
      <c r="K37" s="159">
        <v>0</v>
      </c>
      <c r="L37" s="326">
        <f>K37*(INDEX('Ex ante LI &amp; Eligibility Stats'!$A:$M,MATCH('Program MW '!$A37,'Ex ante LI &amp; Eligibility Stats'!$A:$A,0),MATCH('Program MW '!L$28,'Ex ante LI &amp; Eligibility Stats'!$A$8:$M$8,0))/1000)</f>
        <v>0</v>
      </c>
      <c r="M37" s="327">
        <f>K37*(INDEX('Ex post LI &amp; Eligibility Stats'!$A:$N,MATCH($A37,'Ex post LI &amp; Eligibility Stats'!$A:$A,0),MATCH('Program MW '!L$28,'Ex post LI &amp; Eligibility Stats'!$A$8:$N$8,0))/1000)</f>
        <v>0</v>
      </c>
      <c r="N37" s="159">
        <v>0</v>
      </c>
      <c r="O37" s="326">
        <f>N37*(INDEX('Ex ante LI &amp; Eligibility Stats'!$A:$M,MATCH('Program MW '!$A37,'Ex ante LI &amp; Eligibility Stats'!$A:$A,0),MATCH('Program MW '!O$28,'Ex ante LI &amp; Eligibility Stats'!$A$8:$M$8,0))/1000)</f>
        <v>0</v>
      </c>
      <c r="P37" s="327">
        <f>N37*(INDEX('Ex post LI &amp; Eligibility Stats'!$A:$N,MATCH($A37,'Ex post LI &amp; Eligibility Stats'!$A:$A,0),MATCH('Program MW '!O$28,'Ex post LI &amp; Eligibility Stats'!$A$8:$N$8,0))/1000)</f>
        <v>0</v>
      </c>
      <c r="Q37" s="159">
        <v>0</v>
      </c>
      <c r="R37" s="326">
        <f>Q37*(INDEX('Ex ante LI &amp; Eligibility Stats'!$A:$M,MATCH('Program MW '!$A37,'Ex ante LI &amp; Eligibility Stats'!$A:$A,0),MATCH('Program MW '!R$28,'Ex ante LI &amp; Eligibility Stats'!$A$8:$M$8,0))/1000)</f>
        <v>0</v>
      </c>
      <c r="S37" s="327">
        <f>Q37*(INDEX('Ex post LI &amp; Eligibility Stats'!$A:$N,MATCH($A37,'Ex post LI &amp; Eligibility Stats'!$A:$A,0),MATCH('Program MW '!R$28,'Ex post LI &amp; Eligibility Stats'!$A$8:$N$8,0))/1000)</f>
        <v>0</v>
      </c>
      <c r="T37" s="4"/>
    </row>
    <row r="38" spans="1:26">
      <c r="A38" s="271" t="s">
        <v>21</v>
      </c>
      <c r="B38" s="383">
        <v>9340</v>
      </c>
      <c r="C38" s="326">
        <f>B38*(INDEX('Ex ante LI &amp; Eligibility Stats'!$A:$M,MATCH('Program MW '!$A38,'Ex ante LI &amp; Eligibility Stats'!$A:$A,0),MATCH('Program MW '!C$28,'Ex ante LI &amp; Eligibility Stats'!$A$8:$M$8,0))/1000)</f>
        <v>1.2445325839999999</v>
      </c>
      <c r="D38" s="327">
        <f>B38*(INDEX('Ex post LI &amp; Eligibility Stats'!$A:$N,MATCH($A38,'Ex post LI &amp; Eligibility Stats'!$A:$A,0),MATCH('Program MW '!C$28,'Ex post LI &amp; Eligibility Stats'!$A$8:$N$8,0))/1000)</f>
        <v>1.2528573260000002</v>
      </c>
      <c r="E38" s="383">
        <v>0</v>
      </c>
      <c r="F38" s="326">
        <f>E38*(INDEX('Ex ante LI &amp; Eligibility Stats'!$A:$M,MATCH('Program MW '!$A38,'Ex ante LI &amp; Eligibility Stats'!$A:$A,0),MATCH('Program MW '!F$28,'Ex ante LI &amp; Eligibility Stats'!$A$8:$M$8,0))/1000)</f>
        <v>0</v>
      </c>
      <c r="G38" s="327">
        <f>E38*(INDEX('Ex post LI &amp; Eligibility Stats'!$A:$N,MATCH($A38,'Ex post LI &amp; Eligibility Stats'!$A:$A,0),MATCH('Program MW '!F$28,'Ex post LI &amp; Eligibility Stats'!$A$8:$N$8,0))/1000)</f>
        <v>0</v>
      </c>
      <c r="H38" s="383">
        <v>0</v>
      </c>
      <c r="I38" s="326">
        <f>H38*(INDEX('Ex ante LI &amp; Eligibility Stats'!$A:$M,MATCH('Program MW '!$A38,'Ex ante LI &amp; Eligibility Stats'!$A:$A,0),MATCH('Program MW '!I$28,'Ex ante LI &amp; Eligibility Stats'!$A$8:$M$8,0))/1000)</f>
        <v>0</v>
      </c>
      <c r="J38" s="327">
        <f>H38*(INDEX('Ex post LI &amp; Eligibility Stats'!$A:$N,MATCH($A38,'Ex post LI &amp; Eligibility Stats'!$A:$A,0),MATCH('Program MW '!I$28,'Ex post LI &amp; Eligibility Stats'!$A$8:$N$8,0))/1000)</f>
        <v>0</v>
      </c>
      <c r="K38" s="383">
        <v>0</v>
      </c>
      <c r="L38" s="326">
        <f>K38*(INDEX('Ex ante LI &amp; Eligibility Stats'!$A:$M,MATCH('Program MW '!$A38,'Ex ante LI &amp; Eligibility Stats'!$A:$A,0),MATCH('Program MW '!L$28,'Ex ante LI &amp; Eligibility Stats'!$A$8:$M$8,0))/1000)</f>
        <v>0</v>
      </c>
      <c r="M38" s="327">
        <f>K38*(INDEX('Ex post LI &amp; Eligibility Stats'!$A:$N,MATCH($A38,'Ex post LI &amp; Eligibility Stats'!$A:$A,0),MATCH('Program MW '!L$28,'Ex post LI &amp; Eligibility Stats'!$A$8:$N$8,0))/1000)</f>
        <v>0</v>
      </c>
      <c r="N38" s="383">
        <v>0</v>
      </c>
      <c r="O38" s="326">
        <f>N38*(INDEX('Ex ante LI &amp; Eligibility Stats'!$A:$M,MATCH('Program MW '!$A38,'Ex ante LI &amp; Eligibility Stats'!$A:$A,0),MATCH('Program MW '!O$28,'Ex ante LI &amp; Eligibility Stats'!$A$8:$M$8,0))/1000)</f>
        <v>0</v>
      </c>
      <c r="P38" s="327">
        <f>N38*(INDEX('Ex post LI &amp; Eligibility Stats'!$A:$N,MATCH($A38,'Ex post LI &amp; Eligibility Stats'!$A:$A,0),MATCH('Program MW '!O$28,'Ex post LI &amp; Eligibility Stats'!$A$8:$N$8,0))/1000)</f>
        <v>0</v>
      </c>
      <c r="Q38" s="383">
        <v>0</v>
      </c>
      <c r="R38" s="326">
        <f>Q38*(INDEX('Ex ante LI &amp; Eligibility Stats'!$A:$M,MATCH('Program MW '!$A38,'Ex ante LI &amp; Eligibility Stats'!$A:$A,0),MATCH('Program MW '!R$28,'Ex ante LI &amp; Eligibility Stats'!$A$8:$M$8,0))/1000)</f>
        <v>0</v>
      </c>
      <c r="S38" s="327">
        <f>Q38*(INDEX('Ex post LI &amp; Eligibility Stats'!$A:$N,MATCH($A38,'Ex post LI &amp; Eligibility Stats'!$A:$A,0),MATCH('Program MW '!R$28,'Ex post LI &amp; Eligibility Stats'!$A$8:$N$8,0))/1000)</f>
        <v>0</v>
      </c>
      <c r="T38" s="4">
        <v>157189</v>
      </c>
    </row>
    <row r="39" spans="1:26">
      <c r="A39" s="271" t="s">
        <v>23</v>
      </c>
      <c r="B39" s="383">
        <v>2705</v>
      </c>
      <c r="C39" s="326">
        <f>B39*(INDEX('Ex ante LI &amp; Eligibility Stats'!$A:$M,MATCH('Program MW '!$A39,'Ex ante LI &amp; Eligibility Stats'!$A:$A,0),MATCH('Program MW '!C$28,'Ex ante LI &amp; Eligibility Stats'!$A$8:$M$8,0))/1000)</f>
        <v>0.21937090149999999</v>
      </c>
      <c r="D39" s="327">
        <f>B39*(INDEX('Ex post LI &amp; Eligibility Stats'!$A:$N,MATCH($A39,'Ex post LI &amp; Eligibility Stats'!$A:$A,0),MATCH('Program MW '!C$28,'Ex post LI &amp; Eligibility Stats'!$A$8:$N$8,0))/1000)</f>
        <v>0.13347633149999999</v>
      </c>
      <c r="E39" s="383">
        <v>0</v>
      </c>
      <c r="F39" s="326">
        <f>E39*(INDEX('Ex ante LI &amp; Eligibility Stats'!$A:$M,MATCH('Program MW '!$A39,'Ex ante LI &amp; Eligibility Stats'!$A:$A,0),MATCH('Program MW '!F$28,'Ex ante LI &amp; Eligibility Stats'!$A$8:$M$8,0))/1000)</f>
        <v>0</v>
      </c>
      <c r="G39" s="327">
        <f>E39*(INDEX('Ex post LI &amp; Eligibility Stats'!$A:$N,MATCH($A39,'Ex post LI &amp; Eligibility Stats'!$A:$A,0),MATCH('Program MW '!F$28,'Ex post LI &amp; Eligibility Stats'!$A$8:$N$8,0))/1000)</f>
        <v>0</v>
      </c>
      <c r="H39" s="383">
        <v>0</v>
      </c>
      <c r="I39" s="326">
        <f>H39*(INDEX('Ex ante LI &amp; Eligibility Stats'!$A:$M,MATCH('Program MW '!$A39,'Ex ante LI &amp; Eligibility Stats'!$A:$A,0),MATCH('Program MW '!I$28,'Ex ante LI &amp; Eligibility Stats'!$A$8:$M$8,0))/1000)</f>
        <v>0</v>
      </c>
      <c r="J39" s="327">
        <f>H39*(INDEX('Ex post LI &amp; Eligibility Stats'!$A:$N,MATCH($A39,'Ex post LI &amp; Eligibility Stats'!$A:$A,0),MATCH('Program MW '!I$28,'Ex post LI &amp; Eligibility Stats'!$A$8:$N$8,0))/1000)</f>
        <v>0</v>
      </c>
      <c r="K39" s="383">
        <v>0</v>
      </c>
      <c r="L39" s="326">
        <f>K39*(INDEX('Ex ante LI &amp; Eligibility Stats'!$A:$M,MATCH('Program MW '!$A39,'Ex ante LI &amp; Eligibility Stats'!$A:$A,0),MATCH('Program MW '!L$28,'Ex ante LI &amp; Eligibility Stats'!$A$8:$M$8,0))/1000)</f>
        <v>0</v>
      </c>
      <c r="M39" s="327">
        <f>K39*(INDEX('Ex post LI &amp; Eligibility Stats'!$A:$N,MATCH($A39,'Ex post LI &amp; Eligibility Stats'!$A:$A,0),MATCH('Program MW '!L$28,'Ex post LI &amp; Eligibility Stats'!$A$8:$N$8,0))/1000)</f>
        <v>0</v>
      </c>
      <c r="N39" s="383">
        <v>0</v>
      </c>
      <c r="O39" s="326">
        <f>N39*(INDEX('Ex ante LI &amp; Eligibility Stats'!$A:$M,MATCH('Program MW '!$A39,'Ex ante LI &amp; Eligibility Stats'!$A:$A,0),MATCH('Program MW '!O$28,'Ex ante LI &amp; Eligibility Stats'!$A$8:$M$8,0))/1000)</f>
        <v>0</v>
      </c>
      <c r="P39" s="327">
        <f>N39*(INDEX('Ex post LI &amp; Eligibility Stats'!$A:$N,MATCH($A39,'Ex post LI &amp; Eligibility Stats'!$A:$A,0),MATCH('Program MW '!O$28,'Ex post LI &amp; Eligibility Stats'!$A$8:$N$8,0))/1000)</f>
        <v>0</v>
      </c>
      <c r="Q39" s="383">
        <v>0</v>
      </c>
      <c r="R39" s="326">
        <f>Q39*(INDEX('Ex ante LI &amp; Eligibility Stats'!$A:$M,MATCH('Program MW '!$A39,'Ex ante LI &amp; Eligibility Stats'!$A:$A,0),MATCH('Program MW '!R$28,'Ex ante LI &amp; Eligibility Stats'!$A$8:$M$8,0))/1000)</f>
        <v>0</v>
      </c>
      <c r="S39" s="327">
        <f>Q39*(INDEX('Ex post LI &amp; Eligibility Stats'!$A:$N,MATCH($A39,'Ex post LI &amp; Eligibility Stats'!$A:$A,0),MATCH('Program MW '!R$28,'Ex post LI &amp; Eligibility Stats'!$A$8:$N$8,0))/1000)</f>
        <v>0</v>
      </c>
      <c r="T39" s="4">
        <v>157189</v>
      </c>
    </row>
    <row r="40" spans="1:26">
      <c r="A40" s="85" t="s">
        <v>24</v>
      </c>
      <c r="B40" s="159">
        <v>35</v>
      </c>
      <c r="C40" s="326">
        <f>B40*(INDEX('Ex ante LI &amp; Eligibility Stats'!$A:$M,MATCH('Program MW '!$A40,'Ex ante LI &amp; Eligibility Stats'!$A:$A,0),MATCH('Program MW '!C$28,'Ex ante LI &amp; Eligibility Stats'!$A$8:$M$8,0))/1000)</f>
        <v>0.41388164999999999</v>
      </c>
      <c r="D40" s="327">
        <f>B40*(INDEX('Ex post LI &amp; Eligibility Stats'!$A:$N,MATCH($A40,'Ex post LI &amp; Eligibility Stats'!$A:$A,0),MATCH('Program MW '!C$28,'Ex post LI &amp; Eligibility Stats'!$A$8:$N$8,0))/1000)</f>
        <v>0.6283662000000001</v>
      </c>
      <c r="E40" s="159">
        <v>0</v>
      </c>
      <c r="F40" s="326">
        <f>E40*(INDEX('Ex ante LI &amp; Eligibility Stats'!$A:$M,MATCH('Program MW '!$A40,'Ex ante LI &amp; Eligibility Stats'!$A:$A,0),MATCH('Program MW '!F$28,'Ex ante LI &amp; Eligibility Stats'!$A$8:$M$8,0))/1000)</f>
        <v>0</v>
      </c>
      <c r="G40" s="327">
        <f>E40*(INDEX('Ex post LI &amp; Eligibility Stats'!$A:$N,MATCH($A40,'Ex post LI &amp; Eligibility Stats'!$A:$A,0),MATCH('Program MW '!F$28,'Ex post LI &amp; Eligibility Stats'!$A$8:$N$8,0))/1000)</f>
        <v>0</v>
      </c>
      <c r="H40" s="159">
        <v>0</v>
      </c>
      <c r="I40" s="326">
        <f>H40*(INDEX('Ex ante LI &amp; Eligibility Stats'!$A:$M,MATCH('Program MW '!$A40,'Ex ante LI &amp; Eligibility Stats'!$A:$A,0),MATCH('Program MW '!I$28,'Ex ante LI &amp; Eligibility Stats'!$A$8:$M$8,0))/1000)</f>
        <v>0</v>
      </c>
      <c r="J40" s="327">
        <f>H40*(INDEX('Ex post LI &amp; Eligibility Stats'!$A:$N,MATCH($A40,'Ex post LI &amp; Eligibility Stats'!$A:$A,0),MATCH('Program MW '!I$28,'Ex post LI &amp; Eligibility Stats'!$A$8:$N$8,0))/1000)</f>
        <v>0</v>
      </c>
      <c r="K40" s="159">
        <v>0</v>
      </c>
      <c r="L40" s="326">
        <f>K40*(INDEX('Ex ante LI &amp; Eligibility Stats'!$A:$M,MATCH('Program MW '!$A40,'Ex ante LI &amp; Eligibility Stats'!$A:$A,0),MATCH('Program MW '!L$28,'Ex ante LI &amp; Eligibility Stats'!$A$8:$M$8,0))/1000)</f>
        <v>0</v>
      </c>
      <c r="M40" s="327">
        <f>K40*(INDEX('Ex post LI &amp; Eligibility Stats'!$A:$N,MATCH($A40,'Ex post LI &amp; Eligibility Stats'!$A:$A,0),MATCH('Program MW '!L$28,'Ex post LI &amp; Eligibility Stats'!$A$8:$N$8,0))/1000)</f>
        <v>0</v>
      </c>
      <c r="N40" s="159">
        <v>0</v>
      </c>
      <c r="O40" s="326">
        <f>N40*(INDEX('Ex ante LI &amp; Eligibility Stats'!$A:$M,MATCH('Program MW '!$A40,'Ex ante LI &amp; Eligibility Stats'!$A:$A,0),MATCH('Program MW '!O$28,'Ex ante LI &amp; Eligibility Stats'!$A$8:$M$8,0))/1000)</f>
        <v>0</v>
      </c>
      <c r="P40" s="327">
        <f>N40*(INDEX('Ex post LI &amp; Eligibility Stats'!$A:$N,MATCH($A40,'Ex post LI &amp; Eligibility Stats'!$A:$A,0),MATCH('Program MW '!O$28,'Ex post LI &amp; Eligibility Stats'!$A$8:$N$8,0))/1000)</f>
        <v>0</v>
      </c>
      <c r="Q40" s="159">
        <v>0</v>
      </c>
      <c r="R40" s="326">
        <f>Q40*(INDEX('Ex ante LI &amp; Eligibility Stats'!$A:$M,MATCH('Program MW '!$A40,'Ex ante LI &amp; Eligibility Stats'!$A:$A,0),MATCH('Program MW '!R$28,'Ex ante LI &amp; Eligibility Stats'!$A$8:$M$8,0))/1000)</f>
        <v>0</v>
      </c>
      <c r="S40" s="327">
        <f>Q40*(INDEX('Ex post LI &amp; Eligibility Stats'!$A:$N,MATCH($A40,'Ex post LI &amp; Eligibility Stats'!$A:$A,0),MATCH('Program MW '!R$28,'Ex post LI &amp; Eligibility Stats'!$A$8:$N$8,0))/1000)</f>
        <v>0</v>
      </c>
      <c r="T40" s="4">
        <v>18875</v>
      </c>
      <c r="V40" s="406" t="s">
        <v>56</v>
      </c>
    </row>
    <row r="41" spans="1:26">
      <c r="A41" s="85" t="s">
        <v>25</v>
      </c>
      <c r="B41" s="159">
        <v>131</v>
      </c>
      <c r="C41" s="326">
        <f>B41*(INDEX('Ex ante LI &amp; Eligibility Stats'!$A:$M,MATCH('Program MW '!$A41,'Ex ante LI &amp; Eligibility Stats'!$A:$A,0),MATCH('Program MW '!C$28,'Ex ante LI &amp; Eligibility Stats'!$A$8:$M$8,0))/1000)</f>
        <v>1.186943447</v>
      </c>
      <c r="D41" s="327">
        <f>B41*(INDEX('Ex post LI &amp; Eligibility Stats'!$A:$N,MATCH($A41,'Ex post LI &amp; Eligibility Stats'!$A:$A,0),MATCH('Program MW '!C$28,'Ex post LI &amp; Eligibility Stats'!$A$8:$N$8,0))/1000)</f>
        <v>1.8079113499999999</v>
      </c>
      <c r="E41" s="159">
        <v>0</v>
      </c>
      <c r="F41" s="326">
        <f>E41*(INDEX('Ex ante LI &amp; Eligibility Stats'!$A:$M,MATCH('Program MW '!$A41,'Ex ante LI &amp; Eligibility Stats'!$A:$A,0),MATCH('Program MW '!F$28,'Ex ante LI &amp; Eligibility Stats'!$A$8:$M$8,0))/1000)</f>
        <v>0</v>
      </c>
      <c r="G41" s="327">
        <f>E41*(INDEX('Ex post LI &amp; Eligibility Stats'!$A:$N,MATCH($A41,'Ex post LI &amp; Eligibility Stats'!$A:$A,0),MATCH('Program MW '!F$28,'Ex post LI &amp; Eligibility Stats'!$A$8:$N$8,0))/1000)</f>
        <v>0</v>
      </c>
      <c r="H41" s="159">
        <v>0</v>
      </c>
      <c r="I41" s="326">
        <f>H41*(INDEX('Ex ante LI &amp; Eligibility Stats'!$A:$M,MATCH('Program MW '!$A41,'Ex ante LI &amp; Eligibility Stats'!$A:$A,0),MATCH('Program MW '!I$28,'Ex ante LI &amp; Eligibility Stats'!$A$8:$M$8,0))/1000)</f>
        <v>0</v>
      </c>
      <c r="J41" s="327">
        <f>H41*(INDEX('Ex post LI &amp; Eligibility Stats'!$A:$N,MATCH($A41,'Ex post LI &amp; Eligibility Stats'!$A:$A,0),MATCH('Program MW '!I$28,'Ex post LI &amp; Eligibility Stats'!$A$8:$N$8,0))/1000)</f>
        <v>0</v>
      </c>
      <c r="K41" s="159">
        <v>0</v>
      </c>
      <c r="L41" s="326">
        <f>K41*(INDEX('Ex ante LI &amp; Eligibility Stats'!$A:$M,MATCH('Program MW '!$A41,'Ex ante LI &amp; Eligibility Stats'!$A:$A,0),MATCH('Program MW '!L$28,'Ex ante LI &amp; Eligibility Stats'!$A$8:$M$8,0))/1000)</f>
        <v>0</v>
      </c>
      <c r="M41" s="327">
        <f>K41*(INDEX('Ex post LI &amp; Eligibility Stats'!$A:$N,MATCH($A41,'Ex post LI &amp; Eligibility Stats'!$A:$A,0),MATCH('Program MW '!L$28,'Ex post LI &amp; Eligibility Stats'!$A$8:$N$8,0))/1000)</f>
        <v>0</v>
      </c>
      <c r="N41" s="159">
        <v>0</v>
      </c>
      <c r="O41" s="326">
        <f>N41*(INDEX('Ex ante LI &amp; Eligibility Stats'!$A:$M,MATCH('Program MW '!$A41,'Ex ante LI &amp; Eligibility Stats'!$A:$A,0),MATCH('Program MW '!O$28,'Ex ante LI &amp; Eligibility Stats'!$A$8:$M$8,0))/1000)</f>
        <v>0</v>
      </c>
      <c r="P41" s="327">
        <f>N41*(INDEX('Ex post LI &amp; Eligibility Stats'!$A:$N,MATCH($A41,'Ex post LI &amp; Eligibility Stats'!$A:$A,0),MATCH('Program MW '!O$28,'Ex post LI &amp; Eligibility Stats'!$A$8:$N$8,0))/1000)</f>
        <v>0</v>
      </c>
      <c r="Q41" s="159">
        <v>0</v>
      </c>
      <c r="R41" s="326">
        <f>Q41*(INDEX('Ex ante LI &amp; Eligibility Stats'!$A:$M,MATCH('Program MW '!$A41,'Ex ante LI &amp; Eligibility Stats'!$A:$A,0),MATCH('Program MW '!R$28,'Ex ante LI &amp; Eligibility Stats'!$A$8:$M$8,0))/1000)</f>
        <v>0</v>
      </c>
      <c r="S41" s="327">
        <f>Q41*(INDEX('Ex post LI &amp; Eligibility Stats'!$A:$N,MATCH($A41,'Ex post LI &amp; Eligibility Stats'!$A:$A,0),MATCH('Program MW '!R$28,'Ex post LI &amp; Eligibility Stats'!$A$8:$N$8,0))/1000)</f>
        <v>0</v>
      </c>
      <c r="T41" s="4">
        <v>18875</v>
      </c>
    </row>
    <row r="42" spans="1:26" s="152" customFormat="1">
      <c r="A42" s="271" t="s">
        <v>55</v>
      </c>
      <c r="B42" s="206">
        <v>95</v>
      </c>
      <c r="C42" s="326">
        <f>B42*(INDEX('Ex ante LI &amp; Eligibility Stats'!$A:$M,MATCH('Program MW '!$A42,'Ex ante LI &amp; Eligibility Stats'!$A:$A,0),MATCH('Program MW '!C$28,'Ex ante LI &amp; Eligibility Stats'!$A$8:$M$8,0))/1000)</f>
        <v>0</v>
      </c>
      <c r="D42" s="327">
        <f>B42*(INDEX('Ex post LI &amp; Eligibility Stats'!$A:$N,MATCH($A42,'Ex post LI &amp; Eligibility Stats'!$A:$A,0),MATCH('Program MW '!C$28,'Ex post LI &amp; Eligibility Stats'!$A$8:$N$8,0))/1000)</f>
        <v>4.5078440010547637E-2</v>
      </c>
      <c r="E42" s="206">
        <v>0</v>
      </c>
      <c r="F42" s="326">
        <f>E42*(INDEX('Ex ante LI &amp; Eligibility Stats'!$A:$M,MATCH('Program MW '!$A42,'Ex ante LI &amp; Eligibility Stats'!$A:$A,0),MATCH('Program MW '!F$28,'Ex ante LI &amp; Eligibility Stats'!$A$8:$M$8,0))/1000)</f>
        <v>0</v>
      </c>
      <c r="G42" s="327">
        <f>E42*(INDEX('Ex post LI &amp; Eligibility Stats'!$A:$N,MATCH($A42,'Ex post LI &amp; Eligibility Stats'!$A:$A,0),MATCH('Program MW '!F$28,'Ex post LI &amp; Eligibility Stats'!$A$8:$N$8,0))/1000)</f>
        <v>0</v>
      </c>
      <c r="H42" s="206">
        <v>0</v>
      </c>
      <c r="I42" s="326">
        <f>H42*(INDEX('Ex ante LI &amp; Eligibility Stats'!$A:$M,MATCH('Program MW '!$A42,'Ex ante LI &amp; Eligibility Stats'!$A:$A,0),MATCH('Program MW '!I$28,'Ex ante LI &amp; Eligibility Stats'!$A$8:$M$8,0))/1000)</f>
        <v>0</v>
      </c>
      <c r="J42" s="327">
        <f>H42*(INDEX('Ex post LI &amp; Eligibility Stats'!$A:$N,MATCH($A42,'Ex post LI &amp; Eligibility Stats'!$A:$A,0),MATCH('Program MW '!I$28,'Ex post LI &amp; Eligibility Stats'!$A$8:$N$8,0))/1000)</f>
        <v>0</v>
      </c>
      <c r="K42" s="206">
        <v>0</v>
      </c>
      <c r="L42" s="326">
        <f>K42*(INDEX('Ex ante LI &amp; Eligibility Stats'!$A:$M,MATCH('Program MW '!$A42,'Ex ante LI &amp; Eligibility Stats'!$A:$A,0),MATCH('Program MW '!L$28,'Ex ante LI &amp; Eligibility Stats'!$A$8:$M$8,0))/1000)</f>
        <v>0</v>
      </c>
      <c r="M42" s="327">
        <f>K42*(INDEX('Ex post LI &amp; Eligibility Stats'!$A:$N,MATCH($A42,'Ex post LI &amp; Eligibility Stats'!$A:$A,0),MATCH('Program MW '!L$28,'Ex post LI &amp; Eligibility Stats'!$A$8:$N$8,0))/1000)</f>
        <v>0</v>
      </c>
      <c r="N42" s="206">
        <v>0</v>
      </c>
      <c r="O42" s="326">
        <f>N42*(INDEX('Ex ante LI &amp; Eligibility Stats'!$A:$M,MATCH('Program MW '!$A42,'Ex ante LI &amp; Eligibility Stats'!$A:$A,0),MATCH('Program MW '!O$28,'Ex ante LI &amp; Eligibility Stats'!$A$8:$M$8,0))/1000)</f>
        <v>0</v>
      </c>
      <c r="P42" s="327">
        <f>N42*(INDEX('Ex post LI &amp; Eligibility Stats'!$A:$N,MATCH($A42,'Ex post LI &amp; Eligibility Stats'!$A:$A,0),MATCH('Program MW '!O$28,'Ex post LI &amp; Eligibility Stats'!$A$8:$N$8,0))/1000)</f>
        <v>0</v>
      </c>
      <c r="Q42" s="206">
        <v>0</v>
      </c>
      <c r="R42" s="326">
        <f>Q42*(INDEX('Ex ante LI &amp; Eligibility Stats'!$A:$M,MATCH('Program MW '!$A42,'Ex ante LI &amp; Eligibility Stats'!$A:$A,0),MATCH('Program MW '!R$28,'Ex ante LI &amp; Eligibility Stats'!$A$8:$M$8,0))/1000)</f>
        <v>0</v>
      </c>
      <c r="S42" s="327">
        <f>Q42*(INDEX('Ex post LI &amp; Eligibility Stats'!$A:$N,MATCH($A42,'Ex post LI &amp; Eligibility Stats'!$A:$A,0),MATCH('Program MW '!R$28,'Ex post LI &amp; Eligibility Stats'!$A$8:$N$8,0))/1000)</f>
        <v>0</v>
      </c>
      <c r="T42" s="411"/>
    </row>
    <row r="43" spans="1:26">
      <c r="A43" s="85" t="s">
        <v>26</v>
      </c>
      <c r="B43" s="159">
        <v>62705</v>
      </c>
      <c r="C43" s="326">
        <f>B43*(INDEX('Ex ante LI &amp; Eligibility Stats'!$A:$M,MATCH('Program MW '!$A43,'Ex ante LI &amp; Eligibility Stats'!$A:$A,0),MATCH('Program MW '!C$28,'Ex ante LI &amp; Eligibility Stats'!$A$8:$M$8,0))/1000)</f>
        <v>0.13718643118937368</v>
      </c>
      <c r="D43" s="327">
        <f>B43*(INDEX('Ex post LI &amp; Eligibility Stats'!$A:$N,MATCH($A43,'Ex post LI &amp; Eligibility Stats'!$A:$A,0),MATCH('Program MW '!C$28,'Ex post LI &amp; Eligibility Stats'!$A$8:$N$8,0))/1000)</f>
        <v>3.1330050788902919</v>
      </c>
      <c r="E43" s="159">
        <v>0</v>
      </c>
      <c r="F43" s="326">
        <f>E43*(INDEX('Ex ante LI &amp; Eligibility Stats'!$A:$M,MATCH('Program MW '!$A43,'Ex ante LI &amp; Eligibility Stats'!$A:$A,0),MATCH('Program MW '!F$28,'Ex ante LI &amp; Eligibility Stats'!$A$8:$M$8,0))/1000)</f>
        <v>0</v>
      </c>
      <c r="G43" s="327">
        <f>E43*(INDEX('Ex post LI &amp; Eligibility Stats'!$A:$N,MATCH($A43,'Ex post LI &amp; Eligibility Stats'!$A:$A,0),MATCH('Program MW '!F$28,'Ex post LI &amp; Eligibility Stats'!$A$8:$N$8,0))/1000)</f>
        <v>0</v>
      </c>
      <c r="H43" s="159">
        <v>0</v>
      </c>
      <c r="I43" s="326">
        <f>H43*(INDEX('Ex ante LI &amp; Eligibility Stats'!$A:$M,MATCH('Program MW '!$A43,'Ex ante LI &amp; Eligibility Stats'!$A:$A,0),MATCH('Program MW '!I$28,'Ex ante LI &amp; Eligibility Stats'!$A$8:$M$8,0))/1000)</f>
        <v>0</v>
      </c>
      <c r="J43" s="327">
        <f>H43*(INDEX('Ex post LI &amp; Eligibility Stats'!$A:$N,MATCH($A43,'Ex post LI &amp; Eligibility Stats'!$A:$A,0),MATCH('Program MW '!I$28,'Ex post LI &amp; Eligibility Stats'!$A$8:$N$8,0))/1000)</f>
        <v>0</v>
      </c>
      <c r="K43" s="159">
        <v>0</v>
      </c>
      <c r="L43" s="326">
        <f>K43*(INDEX('Ex ante LI &amp; Eligibility Stats'!$A:$M,MATCH('Program MW '!$A43,'Ex ante LI &amp; Eligibility Stats'!$A:$A,0),MATCH('Program MW '!L$28,'Ex ante LI &amp; Eligibility Stats'!$A$8:$M$8,0))/1000)</f>
        <v>0</v>
      </c>
      <c r="M43" s="327">
        <f>K43*(INDEX('Ex post LI &amp; Eligibility Stats'!$A:$N,MATCH($A43,'Ex post LI &amp; Eligibility Stats'!$A:$A,0),MATCH('Program MW '!L$28,'Ex post LI &amp; Eligibility Stats'!$A$8:$N$8,0))/1000)</f>
        <v>0</v>
      </c>
      <c r="N43" s="159">
        <v>0</v>
      </c>
      <c r="O43" s="326">
        <f>N43*(INDEX('Ex ante LI &amp; Eligibility Stats'!$A:$M,MATCH('Program MW '!$A43,'Ex ante LI &amp; Eligibility Stats'!$A:$A,0),MATCH('Program MW '!O$28,'Ex ante LI &amp; Eligibility Stats'!$A$8:$M$8,0))/1000)</f>
        <v>0</v>
      </c>
      <c r="P43" s="327">
        <f>N43*(INDEX('Ex post LI &amp; Eligibility Stats'!$A:$N,MATCH($A43,'Ex post LI &amp; Eligibility Stats'!$A:$A,0),MATCH('Program MW '!O$28,'Ex post LI &amp; Eligibility Stats'!$A$8:$N$8,0))/1000)</f>
        <v>0</v>
      </c>
      <c r="Q43" s="159">
        <v>0</v>
      </c>
      <c r="R43" s="326">
        <f>Q43*(INDEX('Ex ante LI &amp; Eligibility Stats'!$A:$M,MATCH('Program MW '!$A43,'Ex ante LI &amp; Eligibility Stats'!$A:$A,0),MATCH('Program MW '!R$28,'Ex ante LI &amp; Eligibility Stats'!$A$8:$M$8,0))/1000)</f>
        <v>0</v>
      </c>
      <c r="S43" s="327">
        <f>Q43*(INDEX('Ex post LI &amp; Eligibility Stats'!$A:$N,MATCH($A43,'Ex post LI &amp; Eligibility Stats'!$A:$A,0),MATCH('Program MW '!R$28,'Ex post LI &amp; Eligibility Stats'!$A$8:$N$8,0))/1000)</f>
        <v>0</v>
      </c>
      <c r="T43" s="4"/>
    </row>
    <row r="44" spans="1:26">
      <c r="A44" s="42" t="s">
        <v>27</v>
      </c>
      <c r="B44" s="269">
        <v>21149</v>
      </c>
      <c r="C44" s="326">
        <f>B44*(INDEX('Ex ante LI &amp; Eligibility Stats'!$A:$M,MATCH('Program MW '!$A44,'Ex ante LI &amp; Eligibility Stats'!$A:$A,0),MATCH('Program MW '!C$28,'Ex ante LI &amp; Eligibility Stats'!$A$8:$M$8,0))/1000)</f>
        <v>1.8182098268599642</v>
      </c>
      <c r="D44" s="327">
        <f>B44*(INDEX('Ex post LI &amp; Eligibility Stats'!$A:$N,MATCH($A44,'Ex post LI &amp; Eligibility Stats'!$A:$A,0),MATCH('Program MW '!C$28,'Ex post LI &amp; Eligibility Stats'!$A$8:$N$8,0))/1000)</f>
        <v>3.5342182453142823</v>
      </c>
      <c r="E44" s="269">
        <v>0</v>
      </c>
      <c r="F44" s="326">
        <f>E44*(INDEX('Ex ante LI &amp; Eligibility Stats'!$A:$M,MATCH('Program MW '!$A44,'Ex ante LI &amp; Eligibility Stats'!$A:$A,0),MATCH('Program MW '!F$28,'Ex ante LI &amp; Eligibility Stats'!$A$8:$M$8,0))/1000)</f>
        <v>0</v>
      </c>
      <c r="G44" s="327">
        <f>E44*(INDEX('Ex post LI &amp; Eligibility Stats'!$A:$N,MATCH($A44,'Ex post LI &amp; Eligibility Stats'!$A:$A,0),MATCH('Program MW '!F$28,'Ex post LI &amp; Eligibility Stats'!$A$8:$N$8,0))/1000)</f>
        <v>0</v>
      </c>
      <c r="H44" s="269">
        <v>0</v>
      </c>
      <c r="I44" s="326">
        <f>H44*(INDEX('Ex ante LI &amp; Eligibility Stats'!$A:$M,MATCH('Program MW '!$A44,'Ex ante LI &amp; Eligibility Stats'!$A:$A,0),MATCH('Program MW '!I$28,'Ex ante LI &amp; Eligibility Stats'!$A$8:$M$8,0))/1000)</f>
        <v>0</v>
      </c>
      <c r="J44" s="327">
        <f>H44*(INDEX('Ex post LI &amp; Eligibility Stats'!$A:$N,MATCH($A44,'Ex post LI &amp; Eligibility Stats'!$A:$A,0),MATCH('Program MW '!I$28,'Ex post LI &amp; Eligibility Stats'!$A$8:$N$8,0))/1000)</f>
        <v>0</v>
      </c>
      <c r="K44" s="269">
        <v>0</v>
      </c>
      <c r="L44" s="326">
        <f>K44*(INDEX('Ex ante LI &amp; Eligibility Stats'!$A:$M,MATCH('Program MW '!$A44,'Ex ante LI &amp; Eligibility Stats'!$A:$A,0),MATCH('Program MW '!L$28,'Ex ante LI &amp; Eligibility Stats'!$A$8:$M$8,0))/1000)</f>
        <v>0</v>
      </c>
      <c r="M44" s="327">
        <f>K44*(INDEX('Ex post LI &amp; Eligibility Stats'!$A:$N,MATCH($A44,'Ex post LI &amp; Eligibility Stats'!$A:$A,0),MATCH('Program MW '!L$28,'Ex post LI &amp; Eligibility Stats'!$A$8:$N$8,0))/1000)</f>
        <v>0</v>
      </c>
      <c r="N44" s="269">
        <v>0</v>
      </c>
      <c r="O44" s="326">
        <f>N44*(INDEX('Ex ante LI &amp; Eligibility Stats'!$A:$M,MATCH('Program MW '!$A44,'Ex ante LI &amp; Eligibility Stats'!$A:$A,0),MATCH('Program MW '!O$28,'Ex ante LI &amp; Eligibility Stats'!$A$8:$M$8,0))/1000)</f>
        <v>0</v>
      </c>
      <c r="P44" s="327">
        <f>N44*(INDEX('Ex post LI &amp; Eligibility Stats'!$A:$N,MATCH($A44,'Ex post LI &amp; Eligibility Stats'!$A:$A,0),MATCH('Program MW '!O$28,'Ex post LI &amp; Eligibility Stats'!$A$8:$N$8,0))/1000)</f>
        <v>0</v>
      </c>
      <c r="Q44" s="269">
        <v>0</v>
      </c>
      <c r="R44" s="326">
        <f>Q44*(INDEX('Ex ante LI &amp; Eligibility Stats'!$A:$M,MATCH('Program MW '!$A44,'Ex ante LI &amp; Eligibility Stats'!$A:$A,0),MATCH('Program MW '!R$28,'Ex ante LI &amp; Eligibility Stats'!$A$8:$M$8,0))/1000)</f>
        <v>0</v>
      </c>
      <c r="S44" s="327">
        <f>Q44*(INDEX('Ex post LI &amp; Eligibility Stats'!$A:$N,MATCH($A44,'Ex post LI &amp; Eligibility Stats'!$A:$A,0),MATCH('Program MW '!R$28,'Ex post LI &amp; Eligibility Stats'!$A$8:$N$8,0))/1000)</f>
        <v>0</v>
      </c>
      <c r="T44" s="4"/>
    </row>
    <row r="45" spans="1:26" ht="13.5" thickBot="1">
      <c r="A45" s="184" t="s">
        <v>57</v>
      </c>
      <c r="B45" s="3">
        <f t="shared" ref="B45:S45" si="11">SUM(B34:B44)</f>
        <v>117170</v>
      </c>
      <c r="C45" s="253">
        <f t="shared" si="11"/>
        <v>8.0243870196707121</v>
      </c>
      <c r="D45" s="234">
        <f t="shared" si="11"/>
        <v>17.935063245218839</v>
      </c>
      <c r="E45" s="3">
        <f t="shared" si="11"/>
        <v>0</v>
      </c>
      <c r="F45" s="253">
        <f t="shared" si="11"/>
        <v>0</v>
      </c>
      <c r="G45" s="234">
        <f t="shared" si="11"/>
        <v>0</v>
      </c>
      <c r="H45" s="3">
        <f t="shared" si="11"/>
        <v>0</v>
      </c>
      <c r="I45" s="253">
        <f t="shared" si="11"/>
        <v>0</v>
      </c>
      <c r="J45" s="234">
        <f t="shared" si="11"/>
        <v>0</v>
      </c>
      <c r="K45" s="3">
        <f t="shared" si="11"/>
        <v>0</v>
      </c>
      <c r="L45" s="253">
        <f t="shared" si="11"/>
        <v>0</v>
      </c>
      <c r="M45" s="234">
        <f t="shared" si="11"/>
        <v>0</v>
      </c>
      <c r="N45" s="3">
        <f t="shared" si="11"/>
        <v>0</v>
      </c>
      <c r="O45" s="253">
        <f t="shared" si="11"/>
        <v>0</v>
      </c>
      <c r="P45" s="234">
        <f t="shared" si="11"/>
        <v>0</v>
      </c>
      <c r="Q45" s="3">
        <f t="shared" si="11"/>
        <v>0</v>
      </c>
      <c r="R45" s="253">
        <f t="shared" si="11"/>
        <v>0</v>
      </c>
      <c r="S45" s="234">
        <f t="shared" si="11"/>
        <v>0</v>
      </c>
      <c r="T45" s="9"/>
    </row>
    <row r="46" spans="1:26" ht="14" thickTop="1" thickBot="1">
      <c r="A46" s="191" t="s">
        <v>58</v>
      </c>
      <c r="B46" s="2">
        <f t="shared" ref="B46:S46" si="12">+B32+B45</f>
        <v>117171</v>
      </c>
      <c r="C46" s="254">
        <f t="shared" si="12"/>
        <v>8.1838750262625091</v>
      </c>
      <c r="D46" s="233">
        <f t="shared" si="12"/>
        <v>18.04106324521884</v>
      </c>
      <c r="E46" s="2">
        <f t="shared" si="12"/>
        <v>0</v>
      </c>
      <c r="F46" s="254">
        <f t="shared" si="12"/>
        <v>0</v>
      </c>
      <c r="G46" s="233">
        <f t="shared" si="12"/>
        <v>0</v>
      </c>
      <c r="H46" s="2">
        <f t="shared" si="12"/>
        <v>0</v>
      </c>
      <c r="I46" s="254">
        <f t="shared" si="12"/>
        <v>0</v>
      </c>
      <c r="J46" s="233">
        <f t="shared" si="12"/>
        <v>0</v>
      </c>
      <c r="K46" s="2">
        <f t="shared" si="12"/>
        <v>0</v>
      </c>
      <c r="L46" s="254">
        <f t="shared" si="12"/>
        <v>0</v>
      </c>
      <c r="M46" s="233">
        <f t="shared" si="12"/>
        <v>0</v>
      </c>
      <c r="N46" s="2">
        <f t="shared" si="12"/>
        <v>0</v>
      </c>
      <c r="O46" s="254">
        <f t="shared" si="12"/>
        <v>0</v>
      </c>
      <c r="P46" s="233">
        <f t="shared" si="12"/>
        <v>0</v>
      </c>
      <c r="Q46" s="2">
        <f t="shared" si="12"/>
        <v>0</v>
      </c>
      <c r="R46" s="254">
        <f t="shared" si="12"/>
        <v>0</v>
      </c>
      <c r="S46" s="233">
        <f t="shared" si="12"/>
        <v>0</v>
      </c>
      <c r="T46" s="12"/>
      <c r="U46" s="6"/>
      <c r="V46" s="12"/>
      <c r="W46" s="12"/>
      <c r="X46" s="6"/>
      <c r="Y46" s="12"/>
      <c r="Z46" s="12"/>
    </row>
    <row r="47" spans="1:26" ht="13.5" thickTop="1">
      <c r="A47" s="146"/>
      <c r="B47" s="12"/>
      <c r="C47" s="12"/>
      <c r="D47" s="6"/>
      <c r="E47" s="12"/>
      <c r="F47" s="12"/>
      <c r="G47" s="12"/>
      <c r="H47" s="6"/>
      <c r="I47" s="12"/>
      <c r="J47" s="12"/>
      <c r="K47" s="12"/>
      <c r="L47" s="12"/>
      <c r="M47" s="6"/>
      <c r="N47" s="12"/>
      <c r="O47" s="12"/>
      <c r="P47" s="12"/>
      <c r="Q47" s="6"/>
      <c r="R47" s="12"/>
      <c r="S47" s="12"/>
      <c r="T47" s="12"/>
      <c r="U47" s="6"/>
      <c r="V47" s="6"/>
      <c r="W47" s="12"/>
      <c r="X47" s="6"/>
      <c r="Y47" s="6"/>
      <c r="Z47" s="12"/>
    </row>
    <row r="48" spans="1:26" ht="14">
      <c r="A48" s="244" t="s">
        <v>63</v>
      </c>
      <c r="B48" s="192"/>
      <c r="C48" s="192"/>
      <c r="D48" s="192"/>
      <c r="E48" s="387"/>
      <c r="F48" s="193"/>
      <c r="G48" s="192"/>
      <c r="H48" s="193"/>
      <c r="I48" s="192"/>
      <c r="J48" s="192"/>
      <c r="K48" s="192"/>
      <c r="L48" s="192"/>
      <c r="M48" s="192"/>
      <c r="N48" s="192"/>
      <c r="O48" s="192"/>
      <c r="P48" s="194"/>
      <c r="Q48" s="192"/>
      <c r="R48" s="192"/>
      <c r="S48" s="192"/>
      <c r="T48" s="13"/>
      <c r="U48" s="13"/>
      <c r="V48" s="13"/>
      <c r="W48" s="13"/>
      <c r="X48" s="13"/>
      <c r="Y48" s="13"/>
      <c r="Z48" s="13"/>
    </row>
    <row r="49" spans="1:31" ht="29.65" customHeight="1">
      <c r="A49" s="720" t="s">
        <v>292</v>
      </c>
      <c r="B49" s="720"/>
      <c r="C49" s="720"/>
      <c r="D49" s="720"/>
      <c r="E49" s="720"/>
      <c r="F49" s="720"/>
      <c r="G49" s="720"/>
      <c r="H49" s="720"/>
      <c r="I49" s="720"/>
      <c r="J49" s="720"/>
      <c r="K49" s="720"/>
      <c r="L49" s="720"/>
      <c r="M49" s="720"/>
      <c r="N49" s="720"/>
      <c r="O49" s="720"/>
    </row>
    <row r="50" spans="1:31" ht="30.4" customHeight="1">
      <c r="A50" s="720" t="s">
        <v>293</v>
      </c>
      <c r="B50" s="720"/>
      <c r="C50" s="720"/>
      <c r="D50" s="720"/>
      <c r="E50" s="720"/>
      <c r="F50" s="720"/>
      <c r="G50" s="720"/>
      <c r="H50" s="720"/>
      <c r="I50" s="720"/>
      <c r="J50" s="720"/>
      <c r="K50" s="720"/>
      <c r="L50" s="720"/>
      <c r="M50" s="720"/>
      <c r="N50" s="720"/>
      <c r="O50" s="720"/>
      <c r="P50" s="13"/>
      <c r="Q50" s="13"/>
      <c r="R50" s="13"/>
      <c r="S50" s="13"/>
      <c r="T50" s="146"/>
      <c r="U50" s="146"/>
      <c r="V50" s="146"/>
      <c r="W50" s="146"/>
      <c r="X50" s="146"/>
      <c r="Y50" s="146"/>
      <c r="Z50" s="146"/>
    </row>
    <row r="51" spans="1:31" s="152" customFormat="1" ht="18" customHeight="1">
      <c r="A51" s="720" t="s">
        <v>248</v>
      </c>
      <c r="B51" s="720"/>
      <c r="C51" s="720"/>
      <c r="D51" s="720"/>
      <c r="E51" s="720"/>
      <c r="F51" s="720"/>
      <c r="G51" s="720"/>
      <c r="H51" s="720"/>
      <c r="I51" s="720"/>
      <c r="J51" s="720"/>
      <c r="K51" s="720"/>
      <c r="L51" s="720"/>
      <c r="M51" s="720"/>
      <c r="N51" s="720"/>
      <c r="O51" s="720"/>
      <c r="P51" s="384"/>
      <c r="Q51" s="384"/>
      <c r="R51" s="384"/>
      <c r="S51" s="384"/>
      <c r="T51" s="203"/>
      <c r="U51" s="203"/>
      <c r="V51" s="203"/>
      <c r="W51" s="203"/>
      <c r="X51" s="203"/>
      <c r="Y51" s="203"/>
      <c r="Z51" s="203"/>
    </row>
    <row r="52" spans="1:31" s="152" customFormat="1" ht="18" customHeight="1">
      <c r="A52" s="720" t="s">
        <v>274</v>
      </c>
      <c r="B52" s="720"/>
      <c r="C52" s="720"/>
      <c r="D52" s="720"/>
      <c r="E52" s="720"/>
      <c r="F52" s="720"/>
      <c r="G52" s="720"/>
      <c r="H52" s="720"/>
      <c r="I52" s="720"/>
      <c r="J52" s="720"/>
      <c r="K52" s="720"/>
      <c r="L52" s="720"/>
      <c r="M52" s="720"/>
      <c r="N52" s="720"/>
      <c r="O52" s="720"/>
      <c r="P52" s="384"/>
      <c r="Q52" s="384"/>
      <c r="R52" s="384"/>
      <c r="S52" s="384"/>
      <c r="T52" s="203"/>
      <c r="U52" s="203"/>
      <c r="V52" s="203"/>
      <c r="W52" s="203"/>
      <c r="X52" s="203"/>
      <c r="Y52" s="203"/>
      <c r="Z52" s="203"/>
    </row>
    <row r="53" spans="1:31" s="152" customFormat="1" ht="13.9" customHeight="1">
      <c r="A53" s="720" t="s">
        <v>331</v>
      </c>
      <c r="B53" s="720"/>
      <c r="C53" s="720"/>
      <c r="D53" s="720"/>
      <c r="E53" s="720"/>
      <c r="F53" s="720"/>
      <c r="G53" s="720"/>
      <c r="H53" s="720"/>
      <c r="I53" s="720"/>
      <c r="J53" s="720"/>
      <c r="K53" s="720"/>
      <c r="L53" s="720"/>
      <c r="M53" s="720"/>
      <c r="N53" s="720"/>
      <c r="O53" s="633"/>
      <c r="P53" s="384"/>
      <c r="Q53" s="384"/>
      <c r="R53" s="384"/>
      <c r="S53" s="384"/>
      <c r="T53" s="203"/>
      <c r="U53" s="203"/>
      <c r="V53" s="203"/>
      <c r="W53" s="203"/>
      <c r="X53" s="203"/>
      <c r="Y53" s="203"/>
      <c r="Z53" s="203"/>
    </row>
    <row r="54" spans="1:31" ht="15.75" customHeight="1">
      <c r="A54" s="496" t="s">
        <v>298</v>
      </c>
      <c r="B54" s="643"/>
      <c r="C54" s="643"/>
      <c r="D54" s="643"/>
      <c r="E54" s="643"/>
      <c r="F54" s="643"/>
      <c r="G54" s="643"/>
      <c r="H54" s="643"/>
      <c r="I54" s="643"/>
      <c r="J54" s="643"/>
      <c r="K54" s="643"/>
      <c r="L54" s="643"/>
      <c r="M54" s="643"/>
      <c r="N54" s="643"/>
      <c r="O54" s="644"/>
    </row>
    <row r="55" spans="1:31" ht="14">
      <c r="A55" s="496" t="s">
        <v>330</v>
      </c>
      <c r="B55" s="643"/>
      <c r="C55" s="643"/>
      <c r="D55" s="643"/>
      <c r="E55" s="643"/>
      <c r="F55" s="643"/>
      <c r="G55" s="643"/>
      <c r="H55" s="643"/>
      <c r="I55" s="643"/>
      <c r="J55" s="643"/>
      <c r="K55" s="643"/>
      <c r="L55" s="643"/>
      <c r="M55" s="643"/>
      <c r="N55" s="643"/>
      <c r="O55" s="644"/>
    </row>
    <row r="56" spans="1:31" ht="14">
      <c r="A56" s="642" t="s">
        <v>335</v>
      </c>
      <c r="B56" s="643"/>
      <c r="C56" s="643"/>
      <c r="D56" s="643"/>
      <c r="E56" s="643"/>
      <c r="F56" s="643"/>
      <c r="G56" s="643"/>
      <c r="H56" s="643"/>
      <c r="I56" s="643"/>
      <c r="J56" s="643"/>
      <c r="K56" s="643"/>
      <c r="L56" s="643"/>
      <c r="M56" s="643"/>
      <c r="N56" s="643"/>
      <c r="O56" s="644"/>
    </row>
    <row r="57" spans="1:31" s="152" customFormat="1" ht="14">
      <c r="A57" s="719" t="s">
        <v>354</v>
      </c>
    </row>
    <row r="58" spans="1:31" s="152" customFormat="1" ht="14">
      <c r="A58" s="719" t="s">
        <v>355</v>
      </c>
    </row>
    <row r="59" spans="1:31" ht="14">
      <c r="A59" s="496" t="s">
        <v>364</v>
      </c>
      <c r="B59" s="643"/>
      <c r="C59" s="643"/>
      <c r="D59" s="643"/>
      <c r="E59" s="643"/>
      <c r="F59" s="643"/>
      <c r="G59" s="643"/>
      <c r="H59" s="643"/>
      <c r="I59" s="643"/>
      <c r="J59" s="643"/>
      <c r="K59" s="643"/>
      <c r="L59" s="643"/>
      <c r="M59" s="643"/>
      <c r="N59" s="643"/>
      <c r="O59" s="644"/>
      <c r="P59" s="718"/>
      <c r="Q59" s="718"/>
      <c r="R59" s="718"/>
      <c r="S59" s="718"/>
      <c r="T59" s="718"/>
      <c r="U59" s="718"/>
      <c r="V59" s="718"/>
      <c r="W59" s="718"/>
      <c r="X59" s="718"/>
      <c r="Y59" s="718"/>
      <c r="Z59" s="718"/>
      <c r="AA59" s="718"/>
      <c r="AB59" s="718"/>
      <c r="AC59" s="718"/>
      <c r="AD59" s="718"/>
      <c r="AE59" s="718"/>
    </row>
    <row r="60" spans="1:31" ht="14">
      <c r="A60" s="235" t="s">
        <v>64</v>
      </c>
    </row>
  </sheetData>
  <mergeCells count="5">
    <mergeCell ref="A49:O49"/>
    <mergeCell ref="A50:O50"/>
    <mergeCell ref="A51:O51"/>
    <mergeCell ref="A52:O52"/>
    <mergeCell ref="A53:N53"/>
  </mergeCells>
  <phoneticPr fontId="0" type="noConversion"/>
  <printOptions horizontalCentered="1"/>
  <pageMargins left="0" right="0" top="0.3" bottom="0.17" header="0.3" footer="0.15"/>
  <pageSetup paperSize="5" scale="68" orientation="landscape" cellComments="atEnd" r:id="rId1"/>
  <headerFooter alignWithMargins="0">
    <oddHeader xml:space="preserve">&amp;C&amp;"Arial,Bold"
</oddHeader>
    <oddFooter>&amp;Rpage 1 of 11
&amp;A
&amp;D  &amp;T</oddFooter>
  </headerFooter>
  <customProperties>
    <customPr name="_pios_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pageSetUpPr fitToPage="1"/>
  </sheetPr>
  <dimension ref="A2:P30"/>
  <sheetViews>
    <sheetView topLeftCell="A7" zoomScaleNormal="100" zoomScaleSheetLayoutView="100" workbookViewId="0">
      <pane xSplit="1" ySplit="2" topLeftCell="B24" activePane="bottomRight" state="frozen"/>
      <selection activeCell="B55" sqref="B55"/>
      <selection pane="topRight" activeCell="B55" sqref="B55"/>
      <selection pane="bottomLeft" activeCell="B55" sqref="B55"/>
      <selection pane="bottomRight" activeCell="B55" sqref="B55"/>
    </sheetView>
  </sheetViews>
  <sheetFormatPr defaultColWidth="9.26953125" defaultRowHeight="12.5"/>
  <cols>
    <col min="1" max="1" width="33.54296875" customWidth="1"/>
    <col min="2" max="2" width="9" customWidth="1"/>
    <col min="3" max="3" width="10.453125" customWidth="1"/>
    <col min="4" max="4" width="9" customWidth="1"/>
    <col min="5" max="9" width="10.54296875" customWidth="1"/>
    <col min="10" max="10" width="11.54296875" customWidth="1"/>
    <col min="11" max="11" width="10.54296875" customWidth="1"/>
    <col min="12" max="12" width="10.7265625" customWidth="1"/>
    <col min="13" max="13" width="10.26953125" customWidth="1"/>
    <col min="14" max="14" width="18.7265625" style="153" customWidth="1"/>
    <col min="15" max="15" width="149.54296875" customWidth="1"/>
  </cols>
  <sheetData>
    <row r="2" spans="1:16" ht="13">
      <c r="A2" s="38"/>
      <c r="H2" s="148" t="s">
        <v>39</v>
      </c>
      <c r="N2" s="348"/>
    </row>
    <row r="3" spans="1:16" ht="13">
      <c r="E3" s="349"/>
      <c r="H3" s="151" t="str">
        <f>'Program MW '!H3</f>
        <v>July 2021</v>
      </c>
      <c r="N3" s="348"/>
    </row>
    <row r="4" spans="1:16">
      <c r="E4" s="150"/>
      <c r="F4" s="150"/>
      <c r="G4" s="150"/>
      <c r="I4" s="150"/>
      <c r="N4" s="348"/>
    </row>
    <row r="5" spans="1:16" ht="13">
      <c r="B5" s="150"/>
      <c r="C5" s="150"/>
      <c r="D5" s="150"/>
      <c r="F5" s="149"/>
      <c r="N5" s="348"/>
      <c r="O5" s="41"/>
    </row>
    <row r="6" spans="1:16" ht="13">
      <c r="F6" s="149"/>
      <c r="N6" s="348"/>
    </row>
    <row r="7" spans="1:16" ht="13.5" customHeight="1">
      <c r="A7" s="721" t="s">
        <v>65</v>
      </c>
      <c r="B7" s="722"/>
      <c r="C7" s="722"/>
      <c r="D7" s="722"/>
      <c r="E7" s="722"/>
      <c r="F7" s="722"/>
      <c r="G7" s="722"/>
      <c r="H7" s="722"/>
      <c r="I7" s="722"/>
      <c r="J7" s="722"/>
      <c r="K7" s="722"/>
      <c r="L7" s="722"/>
      <c r="M7" s="722"/>
      <c r="N7" s="723"/>
      <c r="O7" s="386"/>
    </row>
    <row r="8" spans="1:16" ht="38.25" customHeight="1">
      <c r="A8" s="40" t="s">
        <v>1</v>
      </c>
      <c r="B8" s="422" t="s">
        <v>41</v>
      </c>
      <c r="C8" s="422" t="s">
        <v>42</v>
      </c>
      <c r="D8" s="422" t="s">
        <v>43</v>
      </c>
      <c r="E8" s="422" t="s">
        <v>44</v>
      </c>
      <c r="F8" s="422" t="s">
        <v>31</v>
      </c>
      <c r="G8" s="422" t="s">
        <v>45</v>
      </c>
      <c r="H8" s="422" t="s">
        <v>59</v>
      </c>
      <c r="I8" s="422" t="s">
        <v>66</v>
      </c>
      <c r="J8" s="422" t="s">
        <v>67</v>
      </c>
      <c r="K8" s="422" t="s">
        <v>61</v>
      </c>
      <c r="L8" s="422" t="s">
        <v>68</v>
      </c>
      <c r="M8" s="422" t="s">
        <v>62</v>
      </c>
      <c r="N8" s="420" t="s">
        <v>69</v>
      </c>
      <c r="O8" s="272" t="s">
        <v>70</v>
      </c>
    </row>
    <row r="9" spans="1:16" ht="75.75" customHeight="1">
      <c r="A9" s="423" t="s">
        <v>8</v>
      </c>
      <c r="B9" s="424">
        <v>147.93927001953125</v>
      </c>
      <c r="C9" s="424">
        <v>123.35836029052734</v>
      </c>
      <c r="D9" s="424">
        <v>154.17617797851563</v>
      </c>
      <c r="E9" s="424">
        <v>141.36283874511719</v>
      </c>
      <c r="F9" s="424">
        <v>137.30026245117188</v>
      </c>
      <c r="G9" s="424">
        <v>167.08448791503906</v>
      </c>
      <c r="H9" s="424">
        <v>159.48800659179688</v>
      </c>
      <c r="I9" s="424">
        <v>159.82838439941406</v>
      </c>
      <c r="J9" s="424">
        <v>182.0330810546875</v>
      </c>
      <c r="K9" s="424">
        <v>153.41392517089844</v>
      </c>
      <c r="L9" s="424">
        <v>178.67237854003906</v>
      </c>
      <c r="M9" s="424">
        <v>115.07282257080078</v>
      </c>
      <c r="N9" s="425">
        <v>5326</v>
      </c>
      <c r="O9" s="414" t="s">
        <v>244</v>
      </c>
      <c r="P9" s="424"/>
    </row>
    <row r="10" spans="1:16" ht="75.75" customHeight="1">
      <c r="A10" s="426" t="s">
        <v>11</v>
      </c>
      <c r="B10" s="427">
        <v>0.14000000000000001</v>
      </c>
      <c r="C10" s="427">
        <v>0.14000000000000001</v>
      </c>
      <c r="D10" s="424">
        <v>0</v>
      </c>
      <c r="E10" s="424">
        <v>0</v>
      </c>
      <c r="F10" s="424">
        <v>0</v>
      </c>
      <c r="G10" s="424">
        <v>0</v>
      </c>
      <c r="H10" s="424">
        <v>0</v>
      </c>
      <c r="I10" s="424">
        <v>0</v>
      </c>
      <c r="J10" s="424">
        <v>0</v>
      </c>
      <c r="K10" s="424">
        <v>0</v>
      </c>
      <c r="L10" s="424">
        <v>0</v>
      </c>
      <c r="M10" s="424">
        <v>0</v>
      </c>
      <c r="N10" s="428">
        <v>24298</v>
      </c>
      <c r="O10" s="414" t="s">
        <v>71</v>
      </c>
    </row>
    <row r="11" spans="1:16" ht="75.75" customHeight="1">
      <c r="A11" s="426" t="s">
        <v>17</v>
      </c>
      <c r="B11" s="427">
        <v>1.1249953786318656E-5</v>
      </c>
      <c r="C11" s="427">
        <v>2.6053535293613095E-6</v>
      </c>
      <c r="D11" s="424">
        <v>0</v>
      </c>
      <c r="E11" s="424">
        <v>3.6579277366399765E-2</v>
      </c>
      <c r="F11" s="424">
        <v>8.1266388297080994E-2</v>
      </c>
      <c r="G11" s="424">
        <v>5.1364414393901825E-2</v>
      </c>
      <c r="H11" s="424">
        <v>0.16627712547779083</v>
      </c>
      <c r="I11" s="424">
        <v>0.22152504324913025</v>
      </c>
      <c r="J11" s="424">
        <v>0.28739506006240845</v>
      </c>
      <c r="K11" s="424">
        <v>0.1512436717748642</v>
      </c>
      <c r="L11" s="424">
        <v>2.2867627441883087E-2</v>
      </c>
      <c r="M11" s="424">
        <v>0</v>
      </c>
      <c r="N11" s="429">
        <v>590220</v>
      </c>
      <c r="O11" s="414" t="s">
        <v>245</v>
      </c>
    </row>
    <row r="12" spans="1:16" ht="75.75" customHeight="1">
      <c r="A12" s="426" t="s">
        <v>20</v>
      </c>
      <c r="B12" s="427">
        <v>3.6358251236379147E-4</v>
      </c>
      <c r="C12" s="427">
        <v>8.4200954006519169E-5</v>
      </c>
      <c r="D12" s="424">
        <v>0</v>
      </c>
      <c r="E12" s="424">
        <v>0.3435758650302887</v>
      </c>
      <c r="F12" s="424">
        <v>0.92136132717132568</v>
      </c>
      <c r="G12" s="424">
        <v>0.85638010501861572</v>
      </c>
      <c r="H12" s="424">
        <v>2.0786657333374023</v>
      </c>
      <c r="I12" s="424">
        <v>3.0234215259552002</v>
      </c>
      <c r="J12" s="424">
        <v>2.5092508792877197</v>
      </c>
      <c r="K12" s="424">
        <v>2.084477424621582</v>
      </c>
      <c r="L12" s="424">
        <v>0.46237781643867493</v>
      </c>
      <c r="M12" s="424">
        <v>0</v>
      </c>
      <c r="N12" s="429">
        <v>133226</v>
      </c>
      <c r="O12" s="414" t="s">
        <v>72</v>
      </c>
    </row>
    <row r="13" spans="1:16" ht="75.75" customHeight="1">
      <c r="A13" s="426" t="s">
        <v>21</v>
      </c>
      <c r="B13" s="430">
        <v>0</v>
      </c>
      <c r="C13" s="430">
        <v>0</v>
      </c>
      <c r="D13" s="424">
        <v>0</v>
      </c>
      <c r="E13" s="424">
        <v>2.7623999999999999E-2</v>
      </c>
      <c r="F13" s="424">
        <v>5.7694599999999999E-2</v>
      </c>
      <c r="G13" s="424">
        <v>3.6857399999999998E-2</v>
      </c>
      <c r="H13" s="424">
        <v>0.13324759999999999</v>
      </c>
      <c r="I13" s="424">
        <v>0.19637180000000001</v>
      </c>
      <c r="J13" s="424">
        <v>0.24341650000000001</v>
      </c>
      <c r="K13" s="424">
        <v>0.12678610000000001</v>
      </c>
      <c r="L13" s="424">
        <v>0</v>
      </c>
      <c r="M13" s="424">
        <v>0</v>
      </c>
      <c r="N13" s="429">
        <v>590220</v>
      </c>
      <c r="O13" s="414" t="s">
        <v>246</v>
      </c>
    </row>
    <row r="14" spans="1:16" ht="75.75" customHeight="1">
      <c r="A14" s="426" t="s">
        <v>23</v>
      </c>
      <c r="B14" s="430">
        <v>0</v>
      </c>
      <c r="C14" s="430">
        <v>0</v>
      </c>
      <c r="D14" s="424">
        <v>0</v>
      </c>
      <c r="E14" s="424">
        <v>5.6296800000000001E-2</v>
      </c>
      <c r="F14" s="424">
        <v>6.4429500000000001E-2</v>
      </c>
      <c r="G14" s="424">
        <v>5.9807899999999997E-2</v>
      </c>
      <c r="H14" s="424">
        <v>8.1098299999999998E-2</v>
      </c>
      <c r="I14" s="424">
        <v>9.1515600000000003E-2</v>
      </c>
      <c r="J14" s="424">
        <v>0.1040353</v>
      </c>
      <c r="K14" s="424">
        <v>8.3492899999999995E-2</v>
      </c>
      <c r="L14" s="424">
        <v>0</v>
      </c>
      <c r="M14" s="424">
        <v>0</v>
      </c>
      <c r="N14" s="429">
        <v>133226</v>
      </c>
      <c r="O14" s="414" t="s">
        <v>247</v>
      </c>
    </row>
    <row r="15" spans="1:16" ht="75.75" customHeight="1">
      <c r="A15" s="426" t="s">
        <v>24</v>
      </c>
      <c r="B15" s="430">
        <v>0</v>
      </c>
      <c r="C15" s="430">
        <v>0</v>
      </c>
      <c r="D15" s="424">
        <v>0</v>
      </c>
      <c r="E15" s="424">
        <v>0</v>
      </c>
      <c r="F15" s="424">
        <v>11.825189999999999</v>
      </c>
      <c r="G15" s="424">
        <v>11.825189999999999</v>
      </c>
      <c r="H15" s="424">
        <v>11.825189999999999</v>
      </c>
      <c r="I15" s="424">
        <v>11.825189999999999</v>
      </c>
      <c r="J15" s="424">
        <v>11.825189999999999</v>
      </c>
      <c r="K15" s="424">
        <v>11.825189999999999</v>
      </c>
      <c r="L15" s="424">
        <v>0</v>
      </c>
      <c r="M15" s="424">
        <v>0</v>
      </c>
      <c r="N15" s="428">
        <v>78368</v>
      </c>
      <c r="O15" s="414" t="s">
        <v>73</v>
      </c>
    </row>
    <row r="16" spans="1:16" ht="75.75" customHeight="1">
      <c r="A16" s="426" t="s">
        <v>25</v>
      </c>
      <c r="B16" s="430">
        <v>0</v>
      </c>
      <c r="C16" s="430">
        <v>0</v>
      </c>
      <c r="D16" s="424">
        <v>0</v>
      </c>
      <c r="E16" s="424">
        <v>0</v>
      </c>
      <c r="F16" s="424">
        <v>9.0606369999999998</v>
      </c>
      <c r="G16" s="424">
        <v>9.0606369999999998</v>
      </c>
      <c r="H16" s="424">
        <v>9.0606369999999998</v>
      </c>
      <c r="I16" s="424">
        <v>9.0606369999999998</v>
      </c>
      <c r="J16" s="424">
        <v>9.0606369999999998</v>
      </c>
      <c r="K16" s="424">
        <v>9.0606369999999998</v>
      </c>
      <c r="L16" s="424">
        <v>0</v>
      </c>
      <c r="M16" s="424">
        <v>0</v>
      </c>
      <c r="N16" s="428">
        <v>78368</v>
      </c>
      <c r="O16" s="414" t="s">
        <v>73</v>
      </c>
    </row>
    <row r="17" spans="1:15" ht="75.75" customHeight="1">
      <c r="A17" s="426" t="s">
        <v>27</v>
      </c>
      <c r="B17" s="427">
        <v>3.8699023425579071E-2</v>
      </c>
      <c r="C17" s="427">
        <v>3.4362420439720154E-2</v>
      </c>
      <c r="D17" s="424">
        <v>4.2291874821189825E-2</v>
      </c>
      <c r="E17" s="424">
        <v>4.6052272182349342E-2</v>
      </c>
      <c r="F17" s="424">
        <v>9.885066047078217E-2</v>
      </c>
      <c r="G17" s="424">
        <v>7.4932532811322408E-2</v>
      </c>
      <c r="H17" s="424">
        <v>8.597143254338098E-2</v>
      </c>
      <c r="I17" s="424">
        <v>9.1918985532060252E-2</v>
      </c>
      <c r="J17" s="424">
        <v>0.10056453415944168</v>
      </c>
      <c r="K17" s="424">
        <v>9.3665201236999687E-2</v>
      </c>
      <c r="L17" s="424">
        <v>0.14194687939870335</v>
      </c>
      <c r="M17" s="424">
        <v>0.16120215621047654</v>
      </c>
      <c r="N17" s="428">
        <v>1292629</v>
      </c>
      <c r="O17" s="414" t="s">
        <v>74</v>
      </c>
    </row>
    <row r="18" spans="1:15" ht="160.5" customHeight="1">
      <c r="A18" s="498" t="s">
        <v>26</v>
      </c>
      <c r="B18" s="432">
        <v>0.01</v>
      </c>
      <c r="C18" s="432">
        <v>0.01</v>
      </c>
      <c r="D18" s="499">
        <v>1.04106768919839E-4</v>
      </c>
      <c r="E18" s="499">
        <v>7.3445614094823331E-4</v>
      </c>
      <c r="F18" s="499">
        <v>1.3674112203188298E-3</v>
      </c>
      <c r="G18" s="499">
        <v>8.7751531743847301E-4</v>
      </c>
      <c r="H18" s="499">
        <v>2.1878068924228323E-3</v>
      </c>
      <c r="I18" s="499">
        <v>3.1452219928486133E-3</v>
      </c>
      <c r="J18" s="499">
        <v>4.4619246315722007E-3</v>
      </c>
      <c r="K18" s="499">
        <v>2.8590413124677172E-3</v>
      </c>
      <c r="L18" s="499">
        <v>3.151220920205923E-4</v>
      </c>
      <c r="M18" s="499">
        <v>-7.7720472862196388E-5</v>
      </c>
      <c r="N18" s="500">
        <v>120672</v>
      </c>
      <c r="O18" s="501" t="s">
        <v>74</v>
      </c>
    </row>
    <row r="19" spans="1:15" ht="50">
      <c r="A19" s="423" t="s">
        <v>55</v>
      </c>
      <c r="B19" s="502">
        <v>7.0191817358136177E-3</v>
      </c>
      <c r="C19" s="502">
        <v>7.0191817358136177E-3</v>
      </c>
      <c r="D19" s="502">
        <v>8.5556581616401672E-3</v>
      </c>
      <c r="E19" s="502">
        <v>0</v>
      </c>
      <c r="F19" s="502">
        <v>0</v>
      </c>
      <c r="G19" s="502">
        <v>0</v>
      </c>
      <c r="H19" s="502">
        <v>0</v>
      </c>
      <c r="I19" s="502">
        <v>0</v>
      </c>
      <c r="J19" s="502">
        <v>0</v>
      </c>
      <c r="K19" s="502">
        <v>0</v>
      </c>
      <c r="L19" s="502">
        <v>0</v>
      </c>
      <c r="M19" s="502">
        <v>0</v>
      </c>
      <c r="N19" s="503">
        <v>2822</v>
      </c>
      <c r="O19" s="273" t="s">
        <v>75</v>
      </c>
    </row>
    <row r="20" spans="1:15" s="415" customFormat="1" ht="51" customHeight="1">
      <c r="A20" s="445"/>
      <c r="B20" s="446"/>
      <c r="C20" s="446"/>
      <c r="D20" s="446"/>
      <c r="E20" s="446"/>
      <c r="F20" s="446"/>
      <c r="G20" s="446"/>
      <c r="H20" s="446"/>
      <c r="I20" s="446"/>
      <c r="J20" s="446"/>
      <c r="K20" s="446"/>
      <c r="L20" s="446"/>
      <c r="M20" s="446"/>
      <c r="N20" s="447"/>
      <c r="O20" s="419"/>
    </row>
    <row r="21" spans="1:15">
      <c r="A21" s="445"/>
      <c r="B21" s="446"/>
      <c r="C21" s="446"/>
      <c r="D21" s="446"/>
      <c r="E21" s="446"/>
      <c r="F21" s="446"/>
      <c r="G21" s="446"/>
      <c r="H21" s="446"/>
      <c r="I21" s="446"/>
      <c r="J21" s="446"/>
      <c r="K21" s="446"/>
      <c r="L21" s="446"/>
      <c r="M21" s="446"/>
      <c r="N21" s="448"/>
      <c r="O21" s="419"/>
    </row>
    <row r="22" spans="1:15" ht="14">
      <c r="A22" s="245" t="s">
        <v>63</v>
      </c>
      <c r="B22" s="350"/>
      <c r="C22" s="350"/>
      <c r="D22" s="350"/>
      <c r="E22" s="350"/>
      <c r="F22" s="351"/>
      <c r="G22" s="350"/>
      <c r="H22" s="351"/>
      <c r="I22" s="350"/>
      <c r="J22" s="350"/>
      <c r="K22" s="350"/>
      <c r="L22" s="350"/>
      <c r="M22" s="350"/>
      <c r="N22" s="348"/>
      <c r="O22" s="350"/>
    </row>
    <row r="23" spans="1:15" ht="30.4" customHeight="1">
      <c r="A23" s="728" t="s">
        <v>290</v>
      </c>
      <c r="B23" s="728"/>
      <c r="C23" s="728"/>
      <c r="D23" s="728"/>
      <c r="E23" s="728"/>
      <c r="F23" s="728"/>
      <c r="G23" s="728"/>
      <c r="H23" s="728"/>
      <c r="I23" s="728"/>
      <c r="J23" s="728"/>
      <c r="K23" s="728"/>
      <c r="L23" s="728"/>
      <c r="M23" s="728"/>
      <c r="N23" s="559"/>
      <c r="O23" s="559"/>
    </row>
    <row r="24" spans="1:15" ht="14">
      <c r="A24" s="724" t="s">
        <v>76</v>
      </c>
      <c r="B24" s="725"/>
      <c r="C24" s="725"/>
      <c r="D24" s="725"/>
      <c r="E24" s="725"/>
      <c r="F24" s="725"/>
      <c r="G24" s="725"/>
      <c r="H24" s="725"/>
      <c r="I24" s="725"/>
      <c r="J24" s="725"/>
      <c r="K24" s="725"/>
      <c r="L24" s="725"/>
      <c r="M24" s="725"/>
      <c r="N24" s="725"/>
      <c r="O24" s="504"/>
    </row>
    <row r="25" spans="1:15" ht="14">
      <c r="A25" s="505" t="s">
        <v>77</v>
      </c>
      <c r="B25" s="504"/>
      <c r="C25" s="504"/>
      <c r="D25" s="504"/>
      <c r="E25" s="504"/>
      <c r="F25" s="504"/>
      <c r="G25" s="41"/>
      <c r="H25" s="41"/>
      <c r="I25" s="41"/>
      <c r="J25" s="41"/>
      <c r="K25" s="41"/>
      <c r="L25" s="41"/>
      <c r="M25" s="41"/>
      <c r="N25" s="41"/>
      <c r="O25" s="41"/>
    </row>
    <row r="26" spans="1:15" s="150" customFormat="1" ht="14">
      <c r="A26" s="726" t="s">
        <v>249</v>
      </c>
      <c r="B26" s="727"/>
      <c r="C26" s="727"/>
      <c r="D26" s="727"/>
      <c r="E26" s="727"/>
      <c r="F26" s="727"/>
      <c r="G26" s="727"/>
      <c r="H26" s="727"/>
      <c r="I26" s="727"/>
      <c r="J26" s="727"/>
      <c r="K26" s="727"/>
      <c r="L26" s="727"/>
      <c r="M26" s="727"/>
      <c r="N26" s="727"/>
      <c r="O26" s="504"/>
    </row>
    <row r="27" spans="1:15" ht="14">
      <c r="A27" s="235" t="s">
        <v>64</v>
      </c>
      <c r="B27" s="509"/>
      <c r="C27" s="509"/>
      <c r="D27" s="509"/>
      <c r="E27" s="509"/>
      <c r="F27" s="509"/>
      <c r="G27" s="509"/>
      <c r="H27" s="509"/>
      <c r="I27" s="509"/>
      <c r="J27" s="509"/>
      <c r="K27" s="509"/>
      <c r="L27" s="509"/>
      <c r="M27" s="509"/>
      <c r="N27" s="509"/>
      <c r="O27" s="497" t="s">
        <v>79</v>
      </c>
    </row>
    <row r="28" spans="1:15" ht="14">
      <c r="A28" s="455"/>
      <c r="B28" s="433"/>
      <c r="C28" s="433"/>
      <c r="D28" s="433"/>
      <c r="E28" s="433"/>
      <c r="F28" s="433"/>
      <c r="G28" s="433"/>
      <c r="H28" s="433"/>
      <c r="I28" s="433"/>
      <c r="J28" s="433"/>
      <c r="K28" s="433"/>
      <c r="L28" s="433"/>
      <c r="M28" s="433"/>
      <c r="N28" s="433"/>
      <c r="O28" s="433"/>
    </row>
    <row r="29" spans="1:15">
      <c r="N29" s="348"/>
    </row>
    <row r="30" spans="1:15">
      <c r="N30" s="348"/>
    </row>
  </sheetData>
  <mergeCells count="4">
    <mergeCell ref="A7:N7"/>
    <mergeCell ref="A24:N24"/>
    <mergeCell ref="A26:N26"/>
    <mergeCell ref="A23:M23"/>
  </mergeCells>
  <phoneticPr fontId="45" type="noConversion"/>
  <printOptions horizontalCentered="1"/>
  <pageMargins left="0" right="0" top="0.55000000000000004" bottom="0.17" header="0.3" footer="0.15"/>
  <pageSetup paperSize="5" scale="54" orientation="landscape" cellComments="atEnd" r:id="rId1"/>
  <headerFooter alignWithMargins="0">
    <oddHeader xml:space="preserve">&amp;C&amp;"Arial,Bold"
</oddHeader>
    <oddFooter>&amp;Rpage 2 of 11
&amp;A
&amp;D</oddFooter>
  </headerFooter>
  <customProperties>
    <customPr name="_pios_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Z58"/>
  <sheetViews>
    <sheetView showGridLines="0" showRuler="0" topLeftCell="A19" zoomScaleNormal="100" zoomScaleSheetLayoutView="100" workbookViewId="0">
      <selection activeCell="F34" sqref="F34"/>
    </sheetView>
  </sheetViews>
  <sheetFormatPr defaultColWidth="9.26953125" defaultRowHeight="40.5" customHeight="1"/>
  <cols>
    <col min="1" max="1" width="35" customWidth="1"/>
    <col min="2" max="9" width="10.7265625" customWidth="1"/>
    <col min="10" max="10" width="11.453125" customWidth="1"/>
    <col min="11" max="13" width="10.7265625" customWidth="1"/>
    <col min="14" max="14" width="14.26953125" style="201" bestFit="1" customWidth="1"/>
    <col min="15" max="15" width="149.54296875" customWidth="1"/>
  </cols>
  <sheetData>
    <row r="1" spans="1:16" ht="12.5">
      <c r="N1" s="352"/>
    </row>
    <row r="2" spans="1:16" ht="13">
      <c r="H2" s="148" t="s">
        <v>39</v>
      </c>
      <c r="N2" s="352"/>
    </row>
    <row r="3" spans="1:16" ht="13">
      <c r="H3" s="198" t="str">
        <f>'Program MW '!H3</f>
        <v>July 2021</v>
      </c>
      <c r="N3" s="352"/>
    </row>
    <row r="4" spans="1:16" ht="12.5">
      <c r="F4" s="150"/>
      <c r="G4" s="150"/>
      <c r="I4" s="150"/>
      <c r="N4" s="352"/>
      <c r="O4" s="41"/>
    </row>
    <row r="5" spans="1:16" ht="13">
      <c r="B5" s="150"/>
      <c r="C5" s="150"/>
      <c r="D5" s="150"/>
      <c r="F5" s="148"/>
      <c r="N5" s="352"/>
    </row>
    <row r="6" spans="1:16" ht="13">
      <c r="F6" s="148"/>
      <c r="N6" s="352"/>
    </row>
    <row r="7" spans="1:16" ht="22.5" customHeight="1">
      <c r="A7" s="729" t="s">
        <v>80</v>
      </c>
      <c r="B7" s="730"/>
      <c r="C7" s="730"/>
      <c r="D7" s="730"/>
      <c r="E7" s="730"/>
      <c r="F7" s="730"/>
      <c r="G7" s="730"/>
      <c r="H7" s="730"/>
      <c r="I7" s="730"/>
      <c r="J7" s="730"/>
      <c r="K7" s="730"/>
      <c r="L7" s="730"/>
      <c r="M7" s="730"/>
      <c r="N7" s="731"/>
      <c r="O7" s="39"/>
    </row>
    <row r="8" spans="1:16" ht="40.5" customHeight="1">
      <c r="A8" s="40" t="s">
        <v>1</v>
      </c>
      <c r="B8" s="422" t="s">
        <v>41</v>
      </c>
      <c r="C8" s="422" t="s">
        <v>42</v>
      </c>
      <c r="D8" s="422" t="s">
        <v>43</v>
      </c>
      <c r="E8" s="422" t="s">
        <v>44</v>
      </c>
      <c r="F8" s="422" t="s">
        <v>31</v>
      </c>
      <c r="G8" s="422" t="s">
        <v>45</v>
      </c>
      <c r="H8" s="422" t="s">
        <v>59</v>
      </c>
      <c r="I8" s="422" t="s">
        <v>66</v>
      </c>
      <c r="J8" s="422" t="s">
        <v>67</v>
      </c>
      <c r="K8" s="422" t="s">
        <v>61</v>
      </c>
      <c r="L8" s="422" t="s">
        <v>68</v>
      </c>
      <c r="M8" s="422" t="s">
        <v>62</v>
      </c>
      <c r="N8" s="421" t="str">
        <f>'Ex ante LI &amp; Eligibility Stats'!N8:N8</f>
        <v>Eligible Accounts as of January</v>
      </c>
      <c r="O8" s="272" t="s">
        <v>70</v>
      </c>
    </row>
    <row r="9" spans="1:16" ht="75.75" customHeight="1">
      <c r="A9" s="423" t="s">
        <v>8</v>
      </c>
      <c r="B9" s="424">
        <v>106.08</v>
      </c>
      <c r="C9" s="424">
        <v>106.08</v>
      </c>
      <c r="D9" s="424">
        <v>106</v>
      </c>
      <c r="E9" s="424">
        <v>106</v>
      </c>
      <c r="F9" s="424">
        <v>106</v>
      </c>
      <c r="G9" s="424">
        <v>106</v>
      </c>
      <c r="H9" s="424">
        <v>106</v>
      </c>
      <c r="I9" s="424">
        <v>106</v>
      </c>
      <c r="J9" s="424">
        <v>106</v>
      </c>
      <c r="K9" s="424">
        <v>106</v>
      </c>
      <c r="L9" s="424">
        <v>106</v>
      </c>
      <c r="M9" s="424">
        <v>106</v>
      </c>
      <c r="N9" s="431">
        <f>'Ex ante LI &amp; Eligibility Stats'!N9</f>
        <v>5326</v>
      </c>
      <c r="O9" s="273" t="str">
        <f>'Ex ante LI &amp; Eligibility Stats'!O9</f>
        <v>Applicable to all non-residential time-of-use metered customers who either: 1) commit to curtail at least 15% of Monthly Average Peak Demand, with a minimum load reduction of 100 kW, or b) sign up through an aggregator. This tariff is available to bundled, Direct Access, and Community Choice Aggregation (CCA) customers.</v>
      </c>
      <c r="P9" s="424"/>
    </row>
    <row r="10" spans="1:16" ht="75.75" customHeight="1">
      <c r="A10" s="510" t="s">
        <v>11</v>
      </c>
      <c r="B10" s="511">
        <v>0.4</v>
      </c>
      <c r="C10" s="511">
        <v>0.4</v>
      </c>
      <c r="D10" s="424">
        <v>0.48120716908709499</v>
      </c>
      <c r="E10" s="424">
        <v>0.48120716908709499</v>
      </c>
      <c r="F10" s="424">
        <v>0.48120716908709499</v>
      </c>
      <c r="G10" s="424">
        <v>0.48120716908709499</v>
      </c>
      <c r="H10" s="424">
        <v>0.48120716908709499</v>
      </c>
      <c r="I10" s="424">
        <v>0.48120716908709499</v>
      </c>
      <c r="J10" s="424">
        <v>0.48120716908709499</v>
      </c>
      <c r="K10" s="424">
        <v>0.48120716908709499</v>
      </c>
      <c r="L10" s="424">
        <v>0.48120716908709499</v>
      </c>
      <c r="M10" s="424">
        <v>0.48120716908709499</v>
      </c>
      <c r="N10" s="429">
        <f>'Ex ante LI &amp; Eligibility Stats'!N10</f>
        <v>24298</v>
      </c>
      <c r="O10" s="273" t="str">
        <f>'Ex ante LI &amp; Eligibility Stats'!O10</f>
        <v>This Schedule is the default commodity rate for customers currently receiving bundled utility service on a commercial/industrial rate schedule for customers whose Maximum Monthly Demand is equal to or exceeds or is expected to equal or exceed 20 kW for twelve consecutive months. This Schedule is not applicable to Direct Access (DA) or Community Choice Aggregation (CCA) customers.</v>
      </c>
    </row>
    <row r="11" spans="1:16" ht="75.75" customHeight="1">
      <c r="A11" s="426" t="s">
        <v>17</v>
      </c>
      <c r="B11" s="427">
        <v>0.32</v>
      </c>
      <c r="C11" s="427">
        <v>0.32</v>
      </c>
      <c r="D11" s="424">
        <v>0.30028513073921204</v>
      </c>
      <c r="E11" s="424">
        <v>0.30028513073921204</v>
      </c>
      <c r="F11" s="424">
        <v>0.30028513073921204</v>
      </c>
      <c r="G11" s="424">
        <v>0.30028513073921204</v>
      </c>
      <c r="H11" s="424">
        <v>0.30028513073921204</v>
      </c>
      <c r="I11" s="424">
        <v>0.30028513073921204</v>
      </c>
      <c r="J11" s="424">
        <v>0.30028513073921204</v>
      </c>
      <c r="K11" s="424">
        <v>0.30028513073921204</v>
      </c>
      <c r="L11" s="424">
        <v>0.30028513073921204</v>
      </c>
      <c r="M11" s="424">
        <v>0.30028513073921204</v>
      </c>
      <c r="N11" s="429">
        <f>'Ex ante LI &amp; Eligibility Stats'!N11</f>
        <v>590220</v>
      </c>
      <c r="O11" s="273" t="str">
        <f>'Ex ante LI &amp; Eligibility Stats'!O11</f>
        <v>AC Saver Day Ahead (thermostats) is a voluntary demand response program available to all residential customers with air conditioner (AC) units installed at their premise with SDG&amp;E approved technology capable of curtailing the customers’ AC unit. Residential customers with Net Energy Metering are not eligible for this schedule. This schedule is available to customers receiving Bundled Utility Service or, Direct Access (DA) service and billed by the Utility. Service on this schedule must be taken in combination with the customer’s otherwise applicable rate schedule. Note: AC Saver Day Of we used 54% based on 2019 California Residential Appliance Saturation Survey (RASS) report.</v>
      </c>
    </row>
    <row r="12" spans="1:16" ht="75.75" customHeight="1">
      <c r="A12" s="426" t="s">
        <v>20</v>
      </c>
      <c r="B12" s="427">
        <v>0.46</v>
      </c>
      <c r="C12" s="427">
        <v>0.46</v>
      </c>
      <c r="D12" s="424">
        <v>0.4638446569442749</v>
      </c>
      <c r="E12" s="424">
        <v>0.4638446569442749</v>
      </c>
      <c r="F12" s="424">
        <v>0.4638446569442749</v>
      </c>
      <c r="G12" s="424">
        <v>0.4638446569442749</v>
      </c>
      <c r="H12" s="424">
        <v>0.4638446569442749</v>
      </c>
      <c r="I12" s="424">
        <v>0.4638446569442749</v>
      </c>
      <c r="J12" s="424">
        <v>0.4638446569442749</v>
      </c>
      <c r="K12" s="424">
        <v>0.4638446569442749</v>
      </c>
      <c r="L12" s="424">
        <v>0.4638446569442749</v>
      </c>
      <c r="M12" s="424">
        <v>0.4638446569442749</v>
      </c>
      <c r="N12" s="429">
        <f>'Ex ante LI &amp; Eligibility Stats'!N12</f>
        <v>133226</v>
      </c>
      <c r="O12" s="273" t="str">
        <f>'Ex ante LI &amp; Eligibility Stats'!O12</f>
        <v>AC Saver Day Ahead (thermostats) is a voluntary demand response program available to all commercial customers with air conditioner (AC) units installed at their premise with SDG&amp;E approved technology capable of curtailing the customers’ AC unit. This schedule is available to customers receiving Bundled Utility Service or, Direct Access (DA) service and billed by the Utility. Service on this schedule must be taken in combination with the customer’s otherwise applicable rate schedule. Note: AC Saver Day Of we used 85% based on commercial estimates.</v>
      </c>
    </row>
    <row r="13" spans="1:16" ht="75.75" customHeight="1">
      <c r="A13" s="426" t="s">
        <v>21</v>
      </c>
      <c r="B13" s="427">
        <v>0.13</v>
      </c>
      <c r="C13" s="427">
        <v>0.13</v>
      </c>
      <c r="D13" s="424">
        <v>0.13413890000000001</v>
      </c>
      <c r="E13" s="424">
        <v>0.13413890000000001</v>
      </c>
      <c r="F13" s="424">
        <v>0.13413890000000001</v>
      </c>
      <c r="G13" s="424">
        <v>0.13413890000000001</v>
      </c>
      <c r="H13" s="424">
        <v>0.13413890000000001</v>
      </c>
      <c r="I13" s="424">
        <v>0.13413890000000001</v>
      </c>
      <c r="J13" s="424">
        <v>0.13413890000000001</v>
      </c>
      <c r="K13" s="424">
        <v>0.13413890000000001</v>
      </c>
      <c r="L13" s="424">
        <v>0.13413890000000001</v>
      </c>
      <c r="M13" s="424">
        <v>0.13413890000000001</v>
      </c>
      <c r="N13" s="429">
        <f>'Ex ante LI &amp; Eligibility Stats'!N13</f>
        <v>590220</v>
      </c>
      <c r="O13" s="273" t="str">
        <f>'Ex ante LI &amp; Eligibility Stats'!O13</f>
        <v>AC Saver is a voluntary demand response program available to all residential customers with air conditioner (AC) units installed at their premise with SDG&amp;E approved technology capable of curtailing the customers’ AC unit. Residential customers with Net Energy Metering are not eligible for this schedule. This schedule is available to customers receiving Bundled Utility Service or, Direct Access (DA) or Community Choice Aggregation (CCA) service and billed by the Utility. Service on this schedule must be taken in combination with the customer’s otherwise applicable rate schedule. Note: AC Saver Day Of in the past we used 54% based on 2019 California Residential Appliance Saturation Survey (RASS) report.</v>
      </c>
    </row>
    <row r="14" spans="1:16" ht="75.75" customHeight="1">
      <c r="A14" s="426" t="s">
        <v>23</v>
      </c>
      <c r="B14" s="427">
        <v>0.05</v>
      </c>
      <c r="C14" s="427">
        <v>0.05</v>
      </c>
      <c r="D14" s="424">
        <v>4.9344300000000001E-2</v>
      </c>
      <c r="E14" s="424">
        <v>4.9344300000000001E-2</v>
      </c>
      <c r="F14" s="424">
        <v>4.9344300000000001E-2</v>
      </c>
      <c r="G14" s="424">
        <v>4.9344300000000001E-2</v>
      </c>
      <c r="H14" s="424">
        <v>4.9344300000000001E-2</v>
      </c>
      <c r="I14" s="424">
        <v>4.9344300000000001E-2</v>
      </c>
      <c r="J14" s="424">
        <v>4.9344300000000001E-2</v>
      </c>
      <c r="K14" s="424">
        <v>4.9344300000000001E-2</v>
      </c>
      <c r="L14" s="424">
        <v>4.9344300000000001E-2</v>
      </c>
      <c r="M14" s="424">
        <v>4.9344300000000001E-2</v>
      </c>
      <c r="N14" s="429">
        <f>'Ex ante LI &amp; Eligibility Stats'!N14</f>
        <v>133226</v>
      </c>
      <c r="O14" s="273" t="str">
        <f>'Ex ante LI &amp; Eligibility Stats'!O14</f>
        <v>AC Saver Day Of (switches) is a voluntary demand response program available to all commercial customers with air conditioner (AC) units installed at their premise with SDG&amp;E approved technology capable of curtailing the customers’ AC unit. This schedule is available to customers receiving Bundled Utility Service or, Direct Access (DA) or Community Choice Aggregation (CCA) service and billed by the Utility. Service on this schedule must be taken in combination with the customer’s otherwise applicable rate schedule. Note: AC Saver Day Of we used 85% based on commercial estimates</v>
      </c>
    </row>
    <row r="15" spans="1:16" ht="75.75" customHeight="1">
      <c r="A15" s="510" t="s">
        <v>24</v>
      </c>
      <c r="B15" s="512">
        <v>18</v>
      </c>
      <c r="C15" s="512">
        <v>18</v>
      </c>
      <c r="D15" s="424">
        <v>17.953320000000001</v>
      </c>
      <c r="E15" s="424">
        <v>17.953320000000001</v>
      </c>
      <c r="F15" s="424">
        <v>17.953320000000001</v>
      </c>
      <c r="G15" s="424">
        <v>17.953320000000001</v>
      </c>
      <c r="H15" s="424">
        <v>17.953320000000001</v>
      </c>
      <c r="I15" s="424">
        <v>17.953320000000001</v>
      </c>
      <c r="J15" s="424">
        <v>17.953320000000001</v>
      </c>
      <c r="K15" s="424">
        <v>17.953320000000001</v>
      </c>
      <c r="L15" s="424">
        <v>17.953320000000001</v>
      </c>
      <c r="M15" s="424">
        <v>17.953320000000001</v>
      </c>
      <c r="N15" s="429">
        <f>'Ex ante LI &amp; Eligibility Stats'!N15</f>
        <v>78368</v>
      </c>
      <c r="O15" s="273" t="str">
        <f>'Ex ante LI &amp; Eligibility Stats'!O15</f>
        <v xml:space="preserve">This schedule is available to commercial and industrial Utility customers receiving Bundled Utility service, Direct Access (“DA”) service or Community Choice Aggregation (“CCA”) service, and being billed on a Utility commercial, industrial or agricultural rate schedule. </v>
      </c>
    </row>
    <row r="16" spans="1:16" ht="75.75" customHeight="1">
      <c r="A16" s="510" t="s">
        <v>25</v>
      </c>
      <c r="B16" s="512">
        <v>13.8</v>
      </c>
      <c r="C16" s="512">
        <v>13.8</v>
      </c>
      <c r="D16" s="424">
        <v>13.800850000000001</v>
      </c>
      <c r="E16" s="424">
        <v>13.800850000000001</v>
      </c>
      <c r="F16" s="424">
        <v>13.800850000000001</v>
      </c>
      <c r="G16" s="424">
        <v>13.800850000000001</v>
      </c>
      <c r="H16" s="424">
        <v>13.800850000000001</v>
      </c>
      <c r="I16" s="424">
        <v>13.800850000000001</v>
      </c>
      <c r="J16" s="424">
        <v>13.800850000000001</v>
      </c>
      <c r="K16" s="424">
        <v>13.800850000000001</v>
      </c>
      <c r="L16" s="424">
        <v>13.800850000000001</v>
      </c>
      <c r="M16" s="424">
        <v>13.800850000000001</v>
      </c>
      <c r="N16" s="429">
        <f>'Ex ante LI &amp; Eligibility Stats'!N16</f>
        <v>78368</v>
      </c>
      <c r="O16" s="273" t="str">
        <f>'Ex ante LI &amp; Eligibility Stats'!O16</f>
        <v xml:space="preserve">This schedule is available to commercial and industrial Utility customers receiving Bundled Utility service, Direct Access (“DA”) service or Community Choice Aggregation (“CCA”) service, and being billed on a Utility commercial, industrial or agricultural rate schedule. </v>
      </c>
    </row>
    <row r="17" spans="1:26" ht="75.75" customHeight="1">
      <c r="A17" s="426" t="s">
        <v>27</v>
      </c>
      <c r="B17" s="424">
        <v>0.17</v>
      </c>
      <c r="C17" s="424">
        <v>0.17</v>
      </c>
      <c r="D17" s="424">
        <v>0.16711041871077983</v>
      </c>
      <c r="E17" s="424">
        <v>0.16711041871077983</v>
      </c>
      <c r="F17" s="424">
        <v>0.16711041871077983</v>
      </c>
      <c r="G17" s="424">
        <v>0.16711041871077983</v>
      </c>
      <c r="H17" s="424">
        <v>0.16711041871077983</v>
      </c>
      <c r="I17" s="424">
        <v>0.16711041871077983</v>
      </c>
      <c r="J17" s="424">
        <v>0.16711041871077983</v>
      </c>
      <c r="K17" s="424">
        <v>0.16711041871077983</v>
      </c>
      <c r="L17" s="424">
        <v>0.16711041871077983</v>
      </c>
      <c r="M17" s="424">
        <v>0.16711041871077983</v>
      </c>
      <c r="N17" s="429">
        <f>'Ex ante LI &amp; Eligibility Stats'!N17</f>
        <v>1292629</v>
      </c>
      <c r="O17" s="273" t="str">
        <f>'Ex ante LI &amp; Eligibility Stats'!O17</f>
        <v xml:space="preserve">This optional tariff provides residential customers with the opportunity to manage their electric costs by either reducing load during high cost pricing periods defined as a Reduce Your Use (RYU) Event Day, or shifting load from high cost pricing periods to lower cost pricing periods. This Schedule is not applicable to commercial customers. This Schedule is not applicable to Direct Access (DA), Transitional Bundled Service (TBS) or Community Choice Aggregation (CCA) customers. </v>
      </c>
    </row>
    <row r="18" spans="1:26" ht="160.5" customHeight="1">
      <c r="A18" s="498" t="s">
        <v>26</v>
      </c>
      <c r="B18" s="432">
        <v>0.05</v>
      </c>
      <c r="C18" s="432">
        <v>0.05</v>
      </c>
      <c r="D18" s="499">
        <v>4.9964198690539703E-2</v>
      </c>
      <c r="E18" s="499">
        <v>4.9964198690539703E-2</v>
      </c>
      <c r="F18" s="499">
        <v>4.9964198690539703E-2</v>
      </c>
      <c r="G18" s="499">
        <v>4.9964198690539703E-2</v>
      </c>
      <c r="H18" s="499">
        <v>4.9964198690539703E-2</v>
      </c>
      <c r="I18" s="499">
        <v>4.9964198690539703E-2</v>
      </c>
      <c r="J18" s="499">
        <v>4.9964198690539703E-2</v>
      </c>
      <c r="K18" s="499">
        <v>4.9964198690539703E-2</v>
      </c>
      <c r="L18" s="499">
        <v>4.9964198690539703E-2</v>
      </c>
      <c r="M18" s="499">
        <v>4.9964198690539703E-2</v>
      </c>
      <c r="N18" s="506">
        <f>'Ex ante LI &amp; Eligibility Stats'!N18</f>
        <v>120672</v>
      </c>
      <c r="O18" s="507" t="str">
        <f>'Ex ante LI &amp; Eligibility Stats'!O18</f>
        <v xml:space="preserve">This optional tariff provides residential customers with the opportunity to manage their electric costs by either reducing load during high cost pricing periods defined as a Reduce Your Use (RYU) Event Day, or shifting load from high cost pricing periods to lower cost pricing periods. This Schedule is not applicable to commercial customers. This Schedule is not applicable to Direct Access (DA), Transitional Bundled Service (TBS) or Community Choice Aggregation (CCA) customers. </v>
      </c>
    </row>
    <row r="19" spans="1:26" ht="66.75" customHeight="1">
      <c r="A19" s="423" t="s">
        <v>55</v>
      </c>
      <c r="B19" s="502">
        <v>0</v>
      </c>
      <c r="C19" s="502">
        <v>0</v>
      </c>
      <c r="D19" s="502">
        <v>0.47450989484786987</v>
      </c>
      <c r="E19" s="502">
        <v>0.47450989484786987</v>
      </c>
      <c r="F19" s="502">
        <v>0.47450989484786987</v>
      </c>
      <c r="G19" s="502">
        <v>0.47450989484786987</v>
      </c>
      <c r="H19" s="502">
        <v>0.47450989484786987</v>
      </c>
      <c r="I19" s="502">
        <v>0.47450989484786987</v>
      </c>
      <c r="J19" s="502">
        <v>0.47450989484786987</v>
      </c>
      <c r="K19" s="502">
        <v>0.47450989484786987</v>
      </c>
      <c r="L19" s="502">
        <v>0.47450989484786987</v>
      </c>
      <c r="M19" s="502">
        <v>0.47450989484786987</v>
      </c>
      <c r="N19" s="508">
        <f>'Ex ante LI &amp; Eligibility Stats'!N19</f>
        <v>2822</v>
      </c>
      <c r="O19" s="273" t="str">
        <f>'Ex ante LI &amp; Eligibility Stats'!O19</f>
        <v>This Schedule is the standard Schedule for customers whose monthly maximum demand does not exceed 20kW for no more than 3 out of 12 consecutive months for general power service utilized to pump water, or in the production of agricultural products including feed choppers, milking machines, heaters for incubators, brooders, poultry house and flower production lighting, but excluding power service used for the processing of agricultural products, general or protective lighting, or domestic household uses. This schedule is available to agricultural and water pumping customers.</v>
      </c>
    </row>
    <row r="20" spans="1:26" ht="23.25" customHeight="1">
      <c r="A20" s="445"/>
      <c r="B20" s="446"/>
      <c r="C20" s="446"/>
      <c r="D20" s="446"/>
      <c r="E20" s="446"/>
      <c r="F20" s="446"/>
      <c r="G20" s="446"/>
      <c r="H20" s="446"/>
      <c r="I20" s="446"/>
      <c r="J20" s="446"/>
      <c r="K20" s="446"/>
      <c r="L20" s="446"/>
      <c r="M20" s="446"/>
      <c r="N20" s="447"/>
      <c r="O20" s="419"/>
    </row>
    <row r="21" spans="1:26" ht="14">
      <c r="A21" s="732" t="s">
        <v>81</v>
      </c>
      <c r="B21" s="732"/>
      <c r="C21" s="732"/>
      <c r="D21" s="732"/>
      <c r="E21" s="732"/>
      <c r="F21" s="732"/>
      <c r="G21" s="732"/>
      <c r="H21" s="732"/>
      <c r="I21" s="732"/>
      <c r="J21" s="732"/>
      <c r="K21" s="732"/>
      <c r="L21" s="732"/>
      <c r="M21" s="732"/>
      <c r="N21" s="732"/>
      <c r="O21" s="732"/>
    </row>
    <row r="22" spans="1:26" s="10" customFormat="1" ht="48.75" customHeight="1">
      <c r="A22" s="728" t="s">
        <v>291</v>
      </c>
      <c r="B22" s="739"/>
      <c r="C22" s="739"/>
      <c r="D22" s="739"/>
      <c r="E22" s="739"/>
      <c r="F22" s="739"/>
      <c r="G22" s="739"/>
      <c r="H22" s="739"/>
      <c r="I22" s="739"/>
      <c r="J22" s="739"/>
      <c r="K22" s="739"/>
      <c r="L22" s="739"/>
      <c r="M22" s="560"/>
      <c r="N22" s="560"/>
      <c r="O22" s="560"/>
      <c r="P22" s="13"/>
      <c r="Q22" s="13"/>
      <c r="R22" s="13"/>
      <c r="S22" s="13"/>
      <c r="T22" s="146"/>
      <c r="U22" s="146"/>
      <c r="V22" s="146"/>
      <c r="W22" s="146"/>
      <c r="X22" s="146"/>
      <c r="Y22" s="146"/>
      <c r="Z22" s="146"/>
    </row>
    <row r="23" spans="1:26" s="10" customFormat="1" ht="13.5" customHeight="1">
      <c r="A23" s="634"/>
      <c r="B23" s="641"/>
      <c r="C23" s="641"/>
      <c r="D23" s="641"/>
      <c r="E23" s="641"/>
      <c r="F23" s="641"/>
      <c r="G23" s="641"/>
      <c r="H23" s="641"/>
      <c r="I23" s="641"/>
      <c r="J23" s="641"/>
      <c r="K23" s="641"/>
      <c r="L23" s="641"/>
      <c r="M23" s="636"/>
      <c r="N23" s="636"/>
      <c r="O23" s="636"/>
      <c r="P23" s="13"/>
      <c r="Q23" s="13"/>
      <c r="R23" s="13"/>
      <c r="S23" s="13"/>
      <c r="T23" s="146"/>
      <c r="U23" s="146"/>
      <c r="V23" s="146"/>
      <c r="W23" s="146"/>
      <c r="X23" s="146"/>
      <c r="Y23" s="146"/>
      <c r="Z23" s="146"/>
    </row>
    <row r="24" spans="1:26" ht="12.75" customHeight="1">
      <c r="A24" s="733" t="s">
        <v>82</v>
      </c>
      <c r="B24" s="734"/>
      <c r="C24" s="734"/>
      <c r="D24" s="734"/>
      <c r="E24" s="734"/>
      <c r="F24" s="734"/>
      <c r="G24" s="734"/>
      <c r="H24" s="734"/>
      <c r="I24" s="734"/>
      <c r="J24" s="734"/>
      <c r="K24" s="734"/>
      <c r="L24" s="734"/>
      <c r="M24" s="734"/>
      <c r="N24" s="734"/>
      <c r="O24" s="734"/>
    </row>
    <row r="25" spans="1:26" ht="12.75" customHeight="1">
      <c r="A25" s="635"/>
      <c r="B25" s="636"/>
      <c r="C25" s="636"/>
      <c r="D25" s="636"/>
      <c r="E25" s="636"/>
      <c r="F25" s="636"/>
      <c r="G25" s="636"/>
      <c r="H25" s="636"/>
      <c r="I25" s="636"/>
      <c r="J25" s="636"/>
      <c r="K25" s="636"/>
      <c r="L25" s="636"/>
      <c r="M25" s="636"/>
      <c r="N25" s="636"/>
      <c r="O25" s="636"/>
    </row>
    <row r="26" spans="1:26" ht="12.75" customHeight="1">
      <c r="A26" s="737" t="s">
        <v>78</v>
      </c>
      <c r="B26" s="738"/>
      <c r="C26" s="738"/>
      <c r="D26" s="738"/>
      <c r="E26" s="738"/>
      <c r="F26" s="738"/>
      <c r="G26" s="738"/>
      <c r="H26" s="738"/>
      <c r="I26" s="738"/>
      <c r="J26" s="738"/>
      <c r="K26" s="738"/>
      <c r="L26" s="738"/>
      <c r="M26" s="738"/>
      <c r="N26" s="738"/>
    </row>
    <row r="27" spans="1:26" ht="12.75" customHeight="1">
      <c r="A27" s="639"/>
      <c r="B27" s="640"/>
      <c r="C27" s="640"/>
      <c r="D27" s="640"/>
      <c r="E27" s="640"/>
      <c r="F27" s="640"/>
      <c r="G27" s="640"/>
      <c r="H27" s="640"/>
      <c r="I27" s="640"/>
      <c r="J27" s="640"/>
      <c r="K27" s="640"/>
      <c r="L27" s="640"/>
      <c r="M27" s="640"/>
      <c r="N27" s="640"/>
    </row>
    <row r="28" spans="1:26" s="10" customFormat="1" ht="27.65" customHeight="1">
      <c r="A28" s="735" t="s">
        <v>332</v>
      </c>
      <c r="B28" s="736"/>
      <c r="C28" s="736"/>
      <c r="D28" s="736"/>
      <c r="E28" s="736"/>
      <c r="F28" s="736"/>
      <c r="G28" s="736"/>
      <c r="H28" s="736"/>
      <c r="I28" s="736"/>
      <c r="J28" s="736"/>
      <c r="K28" s="736"/>
      <c r="L28" s="736"/>
      <c r="M28" s="736"/>
      <c r="N28" s="736"/>
      <c r="O28"/>
      <c r="P28" s="13"/>
      <c r="Q28" s="13"/>
      <c r="R28" s="13"/>
      <c r="S28" s="13"/>
      <c r="T28" s="146"/>
      <c r="U28" s="146"/>
      <c r="V28" s="146"/>
      <c r="W28" s="146"/>
      <c r="X28" s="146"/>
      <c r="Y28" s="146"/>
      <c r="Z28" s="146"/>
    </row>
    <row r="29" spans="1:26" s="10" customFormat="1" ht="15.75" customHeight="1">
      <c r="A29" s="637"/>
      <c r="B29" s="638"/>
      <c r="C29" s="638"/>
      <c r="D29" s="638"/>
      <c r="E29" s="638"/>
      <c r="F29" s="638"/>
      <c r="G29" s="638"/>
      <c r="H29" s="638"/>
      <c r="I29" s="638"/>
      <c r="J29" s="638"/>
      <c r="K29" s="638"/>
      <c r="L29" s="638"/>
      <c r="M29" s="638"/>
      <c r="N29" s="638"/>
      <c r="O29"/>
      <c r="P29" s="13"/>
      <c r="Q29" s="13"/>
      <c r="R29" s="13"/>
      <c r="S29" s="13"/>
      <c r="T29" s="146"/>
      <c r="U29" s="146"/>
      <c r="V29" s="146"/>
      <c r="W29" s="146"/>
      <c r="X29" s="146"/>
      <c r="Y29" s="146"/>
      <c r="Z29" s="146"/>
    </row>
    <row r="30" spans="1:26" s="10" customFormat="1" ht="14">
      <c r="A30" s="246" t="s">
        <v>64</v>
      </c>
      <c r="B30"/>
      <c r="C30"/>
      <c r="D30"/>
      <c r="E30"/>
      <c r="F30"/>
      <c r="G30"/>
      <c r="H30"/>
      <c r="I30"/>
      <c r="J30"/>
      <c r="K30"/>
      <c r="L30"/>
      <c r="M30"/>
      <c r="N30" s="352"/>
      <c r="O30"/>
      <c r="P30" s="13"/>
      <c r="Q30" s="13"/>
      <c r="R30" s="13"/>
      <c r="S30" s="13"/>
      <c r="T30" s="146"/>
      <c r="U30" s="146"/>
      <c r="V30" s="146"/>
      <c r="W30" s="146"/>
      <c r="X30" s="146"/>
      <c r="Y30" s="146"/>
      <c r="Z30" s="146"/>
    </row>
    <row r="31" spans="1:26" ht="40.5" customHeight="1">
      <c r="N31" s="352"/>
    </row>
    <row r="58" spans="1:1" ht="40.5" customHeight="1">
      <c r="A58" s="204"/>
    </row>
  </sheetData>
  <mergeCells count="6">
    <mergeCell ref="A7:N7"/>
    <mergeCell ref="A21:O21"/>
    <mergeCell ref="A24:O24"/>
    <mergeCell ref="A28:N28"/>
    <mergeCell ref="A26:N26"/>
    <mergeCell ref="A22:L22"/>
  </mergeCells>
  <phoneticPr fontId="0" type="noConversion"/>
  <printOptions horizontalCentered="1"/>
  <pageMargins left="0" right="0" top="0" bottom="0" header="0.3" footer="0.15"/>
  <pageSetup paperSize="5" scale="50" orientation="landscape" cellComments="atEnd" r:id="rId1"/>
  <headerFooter alignWithMargins="0">
    <oddHeader xml:space="preserve">&amp;C&amp;"Arial,Bold"
</oddHeader>
    <oddFooter>&amp;Rpage 3 of 11
&amp;A
&amp;D</oddFooter>
  </headerFooter>
  <customProperties>
    <customPr name="_pios_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pageSetUpPr fitToPage="1"/>
  </sheetPr>
  <dimension ref="A1:Y60"/>
  <sheetViews>
    <sheetView topLeftCell="A26" zoomScale="80" zoomScaleNormal="80" zoomScaleSheetLayoutView="70" workbookViewId="0"/>
  </sheetViews>
  <sheetFormatPr defaultColWidth="9.26953125" defaultRowHeight="12.5"/>
  <cols>
    <col min="1" max="1" width="45.7265625" style="44" customWidth="1"/>
    <col min="2" max="4" width="10.7265625" style="44" customWidth="1"/>
    <col min="5" max="5" width="12.7265625" style="44" customWidth="1"/>
    <col min="6" max="8" width="10.54296875" style="44" customWidth="1"/>
    <col min="9" max="9" width="12.7265625" style="44" customWidth="1"/>
    <col min="10" max="12" width="10.7265625" style="44" customWidth="1"/>
    <col min="13" max="13" width="12.7265625" style="44" customWidth="1"/>
    <col min="14" max="16" width="10.7265625" style="44" customWidth="1"/>
    <col min="17" max="17" width="12.7265625" style="44" customWidth="1"/>
    <col min="18" max="20" width="10.7265625" style="44" customWidth="1"/>
    <col min="21" max="21" width="12.7265625" style="44" customWidth="1"/>
    <col min="22" max="24" width="10.7265625" style="44" customWidth="1"/>
    <col min="25" max="25" width="12.7265625" style="44" customWidth="1"/>
    <col min="26" max="16384" width="9.26953125" style="44"/>
  </cols>
  <sheetData>
    <row r="1" spans="1:25" ht="13">
      <c r="A1" s="43" t="s">
        <v>83</v>
      </c>
    </row>
    <row r="3" spans="1:25" ht="21.75" customHeight="1">
      <c r="A3" s="94">
        <v>2016</v>
      </c>
      <c r="B3" s="740" t="s">
        <v>41</v>
      </c>
      <c r="C3" s="740"/>
      <c r="D3" s="740"/>
      <c r="E3" s="740"/>
      <c r="F3" s="741" t="s">
        <v>42</v>
      </c>
      <c r="G3" s="741"/>
      <c r="H3" s="741"/>
      <c r="I3" s="741"/>
      <c r="J3" s="741" t="s">
        <v>43</v>
      </c>
      <c r="K3" s="741"/>
      <c r="L3" s="741"/>
      <c r="M3" s="741"/>
      <c r="N3" s="741" t="s">
        <v>44</v>
      </c>
      <c r="O3" s="741"/>
      <c r="P3" s="741"/>
      <c r="Q3" s="741"/>
      <c r="R3" s="741" t="s">
        <v>31</v>
      </c>
      <c r="S3" s="741"/>
      <c r="T3" s="741"/>
      <c r="U3" s="741"/>
      <c r="V3" s="741" t="s">
        <v>45</v>
      </c>
      <c r="W3" s="741"/>
      <c r="X3" s="741"/>
      <c r="Y3" s="741"/>
    </row>
    <row r="4" spans="1:25" ht="79.5" customHeight="1">
      <c r="A4" s="456" t="s">
        <v>84</v>
      </c>
      <c r="B4" s="54" t="s">
        <v>85</v>
      </c>
      <c r="C4" s="54" t="s">
        <v>86</v>
      </c>
      <c r="D4" s="54" t="s">
        <v>87</v>
      </c>
      <c r="E4" s="54" t="s">
        <v>88</v>
      </c>
      <c r="F4" s="54" t="s">
        <v>85</v>
      </c>
      <c r="G4" s="54" t="s">
        <v>86</v>
      </c>
      <c r="H4" s="54" t="s">
        <v>87</v>
      </c>
      <c r="I4" s="54" t="s">
        <v>88</v>
      </c>
      <c r="J4" s="54" t="s">
        <v>85</v>
      </c>
      <c r="K4" s="54" t="s">
        <v>86</v>
      </c>
      <c r="L4" s="54" t="s">
        <v>87</v>
      </c>
      <c r="M4" s="54" t="s">
        <v>88</v>
      </c>
      <c r="N4" s="54" t="s">
        <v>85</v>
      </c>
      <c r="O4" s="54" t="s">
        <v>86</v>
      </c>
      <c r="P4" s="54" t="s">
        <v>87</v>
      </c>
      <c r="Q4" s="54" t="s">
        <v>88</v>
      </c>
      <c r="R4" s="54" t="s">
        <v>85</v>
      </c>
      <c r="S4" s="54" t="s">
        <v>86</v>
      </c>
      <c r="T4" s="54" t="s">
        <v>87</v>
      </c>
      <c r="U4" s="54" t="s">
        <v>88</v>
      </c>
      <c r="V4" s="54" t="s">
        <v>85</v>
      </c>
      <c r="W4" s="54" t="s">
        <v>86</v>
      </c>
      <c r="X4" s="54" t="s">
        <v>87</v>
      </c>
      <c r="Y4" s="54" t="s">
        <v>88</v>
      </c>
    </row>
    <row r="5" spans="1:25" ht="13">
      <c r="A5" s="95" t="s">
        <v>89</v>
      </c>
      <c r="B5" s="56"/>
      <c r="C5" s="57">
        <v>5.8977000000000004</v>
      </c>
      <c r="D5" s="58">
        <v>2.3029999999999999</v>
      </c>
      <c r="E5" s="59">
        <f>SUM(B5:D5)</f>
        <v>8.2007000000000012</v>
      </c>
      <c r="F5" s="55"/>
      <c r="G5" s="58">
        <v>5.8977000000000004</v>
      </c>
      <c r="H5" s="58">
        <v>2.3029999999999999</v>
      </c>
      <c r="I5" s="60">
        <f>SUM(G5:H5)</f>
        <v>8.2007000000000012</v>
      </c>
      <c r="J5" s="55"/>
      <c r="K5" s="58"/>
      <c r="L5" s="58"/>
      <c r="M5" s="60">
        <f>SUM(K5:L5)</f>
        <v>0</v>
      </c>
      <c r="N5" s="55"/>
      <c r="O5" s="58"/>
      <c r="P5" s="58"/>
      <c r="Q5" s="60">
        <f>SUM(O5:P5)</f>
        <v>0</v>
      </c>
      <c r="R5" s="55"/>
      <c r="S5" s="58"/>
      <c r="T5" s="58"/>
      <c r="U5" s="60">
        <f>SUM(S5:T5)</f>
        <v>0</v>
      </c>
      <c r="V5" s="55"/>
      <c r="W5" s="58"/>
      <c r="X5" s="58"/>
      <c r="Y5" s="60">
        <f>SUM(W5:X5)</f>
        <v>0</v>
      </c>
    </row>
    <row r="6" spans="1:25" ht="13">
      <c r="A6" s="95" t="s">
        <v>90</v>
      </c>
      <c r="B6" s="103"/>
      <c r="C6" s="104">
        <v>12.8962</v>
      </c>
      <c r="D6" s="57">
        <v>1.4750000000000001</v>
      </c>
      <c r="E6" s="59">
        <f>SUM(B6:D6)</f>
        <v>14.3712</v>
      </c>
      <c r="F6" s="55"/>
      <c r="G6" s="58">
        <v>12.911899999999999</v>
      </c>
      <c r="H6" s="61">
        <v>1.4750000000000001</v>
      </c>
      <c r="I6" s="60">
        <f>SUM(G6:H6)</f>
        <v>14.386899999999999</v>
      </c>
      <c r="J6" s="62"/>
      <c r="K6" s="58"/>
      <c r="L6" s="61"/>
      <c r="M6" s="60">
        <f>SUM(K6:L6)</f>
        <v>0</v>
      </c>
      <c r="N6" s="62"/>
      <c r="O6" s="58"/>
      <c r="P6" s="61"/>
      <c r="Q6" s="60">
        <f>SUM(O6:P6)</f>
        <v>0</v>
      </c>
      <c r="R6" s="62"/>
      <c r="S6" s="58"/>
      <c r="T6" s="61"/>
      <c r="U6" s="60">
        <f>SUM(S6:T6)</f>
        <v>0</v>
      </c>
      <c r="V6" s="62"/>
      <c r="W6" s="58"/>
      <c r="X6" s="61"/>
      <c r="Y6" s="60">
        <f>SUM(W6:X6)</f>
        <v>0</v>
      </c>
    </row>
    <row r="7" spans="1:25" s="43" customFormat="1" ht="13">
      <c r="A7" s="96" t="s">
        <v>91</v>
      </c>
      <c r="B7" s="105"/>
      <c r="C7" s="106">
        <f>SUM(C5:C6)</f>
        <v>18.793900000000001</v>
      </c>
      <c r="D7" s="106">
        <f>SUM(D5:D6)</f>
        <v>3.778</v>
      </c>
      <c r="E7" s="106">
        <f>SUM(E5:E6)</f>
        <v>22.571899999999999</v>
      </c>
      <c r="F7" s="63"/>
      <c r="G7" s="60">
        <f t="shared" ref="G7:Y7" si="0">SUM(G5:G6)</f>
        <v>18.8096</v>
      </c>
      <c r="H7" s="60">
        <f t="shared" si="0"/>
        <v>3.778</v>
      </c>
      <c r="I7" s="60">
        <f t="shared" si="0"/>
        <v>22.587600000000002</v>
      </c>
      <c r="J7" s="60"/>
      <c r="K7" s="60">
        <f t="shared" si="0"/>
        <v>0</v>
      </c>
      <c r="L7" s="60">
        <f t="shared" si="0"/>
        <v>0</v>
      </c>
      <c r="M7" s="60">
        <f t="shared" si="0"/>
        <v>0</v>
      </c>
      <c r="N7" s="60"/>
      <c r="O7" s="60">
        <f t="shared" si="0"/>
        <v>0</v>
      </c>
      <c r="P7" s="60">
        <f t="shared" si="0"/>
        <v>0</v>
      </c>
      <c r="Q7" s="60">
        <f t="shared" si="0"/>
        <v>0</v>
      </c>
      <c r="R7" s="60"/>
      <c r="S7" s="60">
        <f t="shared" si="0"/>
        <v>0</v>
      </c>
      <c r="T7" s="60">
        <f t="shared" si="0"/>
        <v>0</v>
      </c>
      <c r="U7" s="60">
        <f t="shared" si="0"/>
        <v>0</v>
      </c>
      <c r="V7" s="60"/>
      <c r="W7" s="60">
        <f t="shared" si="0"/>
        <v>0</v>
      </c>
      <c r="X7" s="60">
        <f t="shared" si="0"/>
        <v>0</v>
      </c>
      <c r="Y7" s="60">
        <f t="shared" si="0"/>
        <v>0</v>
      </c>
    </row>
    <row r="8" spans="1:25" ht="4.5" customHeight="1">
      <c r="A8" s="96"/>
      <c r="B8" s="63"/>
      <c r="C8" s="107"/>
      <c r="D8" s="107"/>
      <c r="E8" s="108"/>
      <c r="F8" s="63"/>
      <c r="G8" s="62"/>
      <c r="H8" s="62"/>
      <c r="I8" s="60"/>
      <c r="J8" s="64"/>
      <c r="K8" s="62"/>
      <c r="L8" s="62"/>
      <c r="M8" s="60"/>
      <c r="N8" s="64"/>
      <c r="O8" s="62"/>
      <c r="P8" s="62"/>
      <c r="Q8" s="60"/>
      <c r="R8" s="64"/>
      <c r="S8" s="62"/>
      <c r="T8" s="62"/>
      <c r="U8" s="60"/>
      <c r="V8" s="64"/>
      <c r="W8" s="62"/>
      <c r="X8" s="62"/>
      <c r="Y8" s="60"/>
    </row>
    <row r="9" spans="1:25" ht="13">
      <c r="A9" s="97" t="s">
        <v>51</v>
      </c>
      <c r="B9" s="65"/>
      <c r="C9" s="54"/>
      <c r="D9" s="54"/>
      <c r="E9" s="457"/>
      <c r="F9" s="65"/>
      <c r="G9" s="66"/>
      <c r="H9" s="67"/>
      <c r="I9" s="67"/>
      <c r="J9" s="68"/>
      <c r="K9" s="66"/>
      <c r="L9" s="67"/>
      <c r="M9" s="60"/>
      <c r="N9" s="68"/>
      <c r="O9" s="66"/>
      <c r="P9" s="67"/>
      <c r="Q9" s="60"/>
      <c r="R9" s="68"/>
      <c r="S9" s="66"/>
      <c r="T9" s="67"/>
      <c r="U9" s="60"/>
      <c r="V9" s="68"/>
      <c r="W9" s="66"/>
      <c r="X9" s="67"/>
      <c r="Y9" s="60">
        <f>SUM(W9:X9)</f>
        <v>0</v>
      </c>
    </row>
    <row r="10" spans="1:25" ht="13">
      <c r="A10" s="95" t="s">
        <v>92</v>
      </c>
      <c r="B10" s="103"/>
      <c r="C10" s="103"/>
      <c r="D10" s="57"/>
      <c r="E10" s="59"/>
      <c r="F10" s="55"/>
      <c r="G10" s="58"/>
      <c r="H10" s="57"/>
      <c r="I10" s="59"/>
      <c r="J10" s="62"/>
      <c r="K10" s="57" t="s">
        <v>56</v>
      </c>
      <c r="L10" s="57"/>
      <c r="M10" s="60"/>
      <c r="N10" s="62"/>
      <c r="O10" s="57" t="s">
        <v>56</v>
      </c>
      <c r="P10" s="57"/>
      <c r="Q10" s="60"/>
      <c r="R10" s="62"/>
      <c r="S10" s="57" t="s">
        <v>56</v>
      </c>
      <c r="T10" s="57"/>
      <c r="U10" s="60"/>
      <c r="V10" s="62"/>
      <c r="W10" s="57" t="s">
        <v>56</v>
      </c>
      <c r="X10" s="57"/>
      <c r="Y10" s="60">
        <f>SUM(W10:X10)</f>
        <v>0</v>
      </c>
    </row>
    <row r="11" spans="1:25" ht="13">
      <c r="A11" s="95" t="s">
        <v>93</v>
      </c>
      <c r="B11" s="103"/>
      <c r="C11" s="103"/>
      <c r="D11" s="57"/>
      <c r="E11" s="59"/>
      <c r="F11" s="55"/>
      <c r="G11" s="58"/>
      <c r="H11" s="58"/>
      <c r="I11" s="62"/>
      <c r="J11" s="62"/>
      <c r="K11" s="58"/>
      <c r="L11" s="58"/>
      <c r="M11" s="60"/>
      <c r="N11" s="62"/>
      <c r="O11" s="58"/>
      <c r="P11" s="58"/>
      <c r="Q11" s="60"/>
      <c r="R11" s="62"/>
      <c r="S11" s="58"/>
      <c r="T11" s="58"/>
      <c r="U11" s="60"/>
      <c r="V11" s="62"/>
      <c r="W11" s="58"/>
      <c r="X11" s="58"/>
      <c r="Y11" s="60">
        <f>SUM(W11:X11)</f>
        <v>0</v>
      </c>
    </row>
    <row r="12" spans="1:25" ht="13">
      <c r="A12" s="95"/>
      <c r="B12" s="56"/>
      <c r="C12" s="57"/>
      <c r="D12" s="57"/>
      <c r="E12" s="109"/>
      <c r="F12" s="55"/>
      <c r="G12" s="58"/>
      <c r="H12" s="58"/>
      <c r="I12" s="62"/>
      <c r="J12" s="62"/>
      <c r="K12" s="58"/>
      <c r="L12" s="58"/>
      <c r="M12" s="60" t="s">
        <v>56</v>
      </c>
      <c r="N12" s="62"/>
      <c r="O12" s="58"/>
      <c r="P12" s="58"/>
      <c r="Q12" s="60" t="s">
        <v>56</v>
      </c>
      <c r="R12" s="62"/>
      <c r="S12" s="58"/>
      <c r="T12" s="58"/>
      <c r="U12" s="60" t="s">
        <v>56</v>
      </c>
      <c r="V12" s="62"/>
      <c r="W12" s="58"/>
      <c r="X12" s="58"/>
      <c r="Y12" s="60" t="s">
        <v>56</v>
      </c>
    </row>
    <row r="13" spans="1:25" s="43" customFormat="1" ht="13">
      <c r="A13" s="96" t="s">
        <v>91</v>
      </c>
      <c r="B13" s="105"/>
      <c r="C13" s="106">
        <v>0</v>
      </c>
      <c r="D13" s="106">
        <f>SUM(D10:D12)</f>
        <v>0</v>
      </c>
      <c r="E13" s="106">
        <f>SUM(E10:E12)</f>
        <v>0</v>
      </c>
      <c r="F13" s="63"/>
      <c r="G13" s="60">
        <f>SUM(G9:G12)</f>
        <v>0</v>
      </c>
      <c r="H13" s="60">
        <f>SUM(H9:H12)</f>
        <v>0</v>
      </c>
      <c r="I13" s="60">
        <f>SUM(I9:I12)</f>
        <v>0</v>
      </c>
      <c r="J13" s="64"/>
      <c r="K13" s="60">
        <f>SUM(K9:K12)</f>
        <v>0</v>
      </c>
      <c r="L13" s="60">
        <f>SUM(L9:L12)</f>
        <v>0</v>
      </c>
      <c r="M13" s="60">
        <f>SUM(M9:M12)</f>
        <v>0</v>
      </c>
      <c r="N13" s="64"/>
      <c r="O13" s="60">
        <f>SUM(O9:O12)</f>
        <v>0</v>
      </c>
      <c r="P13" s="60">
        <f>SUM(P9:P12)</f>
        <v>0</v>
      </c>
      <c r="Q13" s="60">
        <f>SUM(Q9:Q12)</f>
        <v>0</v>
      </c>
      <c r="R13" s="64"/>
      <c r="S13" s="60">
        <f>SUM(S9:S12)</f>
        <v>0</v>
      </c>
      <c r="T13" s="60">
        <f>SUM(T9:T12)</f>
        <v>0</v>
      </c>
      <c r="U13" s="60">
        <f>SUM(U9:U12)</f>
        <v>0</v>
      </c>
      <c r="V13" s="64"/>
      <c r="W13" s="60">
        <f>SUM(W9:W12)</f>
        <v>0</v>
      </c>
      <c r="X13" s="60">
        <f>SUM(X9:X12)</f>
        <v>0</v>
      </c>
      <c r="Y13" s="60">
        <f>SUM(Y9:Y12)</f>
        <v>0</v>
      </c>
    </row>
    <row r="14" spans="1:25" ht="4.5" customHeight="1">
      <c r="A14" s="96"/>
      <c r="B14" s="63"/>
      <c r="C14" s="107"/>
      <c r="D14" s="107"/>
      <c r="E14" s="108"/>
      <c r="F14" s="63"/>
      <c r="G14" s="62"/>
      <c r="H14" s="62"/>
      <c r="I14" s="60"/>
      <c r="J14" s="64"/>
      <c r="K14" s="62"/>
      <c r="L14" s="62"/>
      <c r="M14" s="60">
        <f>SUM(M9:M12)</f>
        <v>0</v>
      </c>
      <c r="N14" s="64"/>
      <c r="O14" s="62"/>
      <c r="P14" s="62"/>
      <c r="Q14" s="60">
        <f>SUM(Q9:Q12)</f>
        <v>0</v>
      </c>
      <c r="R14" s="64"/>
      <c r="S14" s="62"/>
      <c r="T14" s="62"/>
      <c r="U14" s="60">
        <f>SUM(U9:U12)</f>
        <v>0</v>
      </c>
      <c r="V14" s="64"/>
      <c r="W14" s="62"/>
      <c r="X14" s="62"/>
      <c r="Y14" s="60"/>
    </row>
    <row r="15" spans="1:25" s="43" customFormat="1" ht="17.25" customHeight="1">
      <c r="A15" s="96" t="s">
        <v>88</v>
      </c>
      <c r="B15" s="63"/>
      <c r="C15" s="106">
        <f>C7+C13</f>
        <v>18.793900000000001</v>
      </c>
      <c r="D15" s="106">
        <f>D7+D13</f>
        <v>3.778</v>
      </c>
      <c r="E15" s="106">
        <f>E7+E13</f>
        <v>22.571899999999999</v>
      </c>
      <c r="F15" s="63"/>
      <c r="G15" s="60">
        <f>G7+G13</f>
        <v>18.8096</v>
      </c>
      <c r="H15" s="60">
        <f>H7+H13</f>
        <v>3.778</v>
      </c>
      <c r="I15" s="60">
        <f>I7+I13</f>
        <v>22.587600000000002</v>
      </c>
      <c r="J15" s="64"/>
      <c r="K15" s="60">
        <f>K7+K13</f>
        <v>0</v>
      </c>
      <c r="L15" s="60">
        <f>L7+L13</f>
        <v>0</v>
      </c>
      <c r="M15" s="60">
        <f>M7+M13</f>
        <v>0</v>
      </c>
      <c r="N15" s="64"/>
      <c r="O15" s="60">
        <f>O7+O13</f>
        <v>0</v>
      </c>
      <c r="P15" s="60">
        <f>P7+P13</f>
        <v>0</v>
      </c>
      <c r="Q15" s="60">
        <f>Q7+Q13</f>
        <v>0</v>
      </c>
      <c r="R15" s="64"/>
      <c r="S15" s="60">
        <f>S7+S13</f>
        <v>0</v>
      </c>
      <c r="T15" s="60">
        <f>T7+T13</f>
        <v>0</v>
      </c>
      <c r="U15" s="60">
        <f>U7+U13</f>
        <v>0</v>
      </c>
      <c r="V15" s="64"/>
      <c r="W15" s="60">
        <f>W7+W13</f>
        <v>0</v>
      </c>
      <c r="X15" s="60">
        <f>X7+X13</f>
        <v>0</v>
      </c>
      <c r="Y15" s="60">
        <f>Y7+Y13</f>
        <v>0</v>
      </c>
    </row>
    <row r="16" spans="1:25" ht="17.25" customHeight="1">
      <c r="A16" s="98"/>
      <c r="B16" s="81"/>
      <c r="C16" s="110"/>
      <c r="D16" s="110"/>
      <c r="E16" s="111"/>
      <c r="F16" s="81"/>
      <c r="G16" s="69"/>
      <c r="H16" s="69"/>
      <c r="I16" s="70"/>
      <c r="J16" s="70"/>
      <c r="K16" s="69"/>
      <c r="L16" s="69"/>
      <c r="M16" s="70"/>
      <c r="N16" s="70"/>
      <c r="O16" s="69"/>
      <c r="P16" s="69"/>
      <c r="Q16" s="70"/>
      <c r="R16" s="70"/>
      <c r="S16" s="69"/>
      <c r="T16" s="69"/>
      <c r="U16" s="70"/>
      <c r="V16" s="70"/>
      <c r="W16" s="69"/>
      <c r="X16" s="69"/>
      <c r="Y16" s="70"/>
    </row>
    <row r="17" spans="1:25" ht="13">
      <c r="A17" s="456" t="s">
        <v>94</v>
      </c>
      <c r="B17" s="112"/>
      <c r="C17" s="113"/>
      <c r="D17" s="113"/>
      <c r="E17" s="114"/>
      <c r="F17" s="122"/>
      <c r="G17" s="71"/>
      <c r="H17" s="71"/>
      <c r="I17" s="72"/>
      <c r="J17" s="72"/>
      <c r="K17" s="71"/>
      <c r="L17" s="71"/>
      <c r="M17" s="72"/>
      <c r="N17" s="72"/>
      <c r="O17" s="71"/>
      <c r="P17" s="71"/>
      <c r="Q17" s="72"/>
      <c r="R17" s="72"/>
      <c r="S17" s="71"/>
      <c r="T17" s="71"/>
      <c r="U17" s="72"/>
      <c r="V17" s="72"/>
      <c r="W17" s="71"/>
      <c r="X17" s="71"/>
      <c r="Y17" s="73"/>
    </row>
    <row r="18" spans="1:25" ht="13">
      <c r="A18" s="99" t="s">
        <v>95</v>
      </c>
      <c r="B18" s="56"/>
      <c r="C18" s="103"/>
      <c r="D18" s="103"/>
      <c r="E18" s="109"/>
      <c r="F18" s="56"/>
      <c r="G18" s="58"/>
      <c r="H18" s="58"/>
      <c r="I18" s="62"/>
      <c r="J18" s="56"/>
      <c r="K18" s="58"/>
      <c r="L18" s="58"/>
      <c r="M18" s="62"/>
      <c r="N18" s="56"/>
      <c r="O18" s="58"/>
      <c r="P18" s="58"/>
      <c r="Q18" s="62"/>
      <c r="R18" s="56"/>
      <c r="S18" s="58"/>
      <c r="T18" s="58"/>
      <c r="U18" s="62"/>
      <c r="V18" s="56"/>
      <c r="W18" s="58"/>
      <c r="X18" s="58"/>
      <c r="Y18" s="62"/>
    </row>
    <row r="19" spans="1:25" ht="13">
      <c r="A19" s="95"/>
      <c r="B19" s="55"/>
      <c r="C19" s="115"/>
      <c r="D19" s="115"/>
      <c r="E19" s="116">
        <v>59.3</v>
      </c>
      <c r="F19" s="55"/>
      <c r="G19" s="58"/>
      <c r="H19" s="58"/>
      <c r="I19" s="116">
        <v>59.3</v>
      </c>
      <c r="J19" s="62"/>
      <c r="K19" s="58"/>
      <c r="L19" s="58"/>
      <c r="M19" s="62"/>
      <c r="N19" s="62"/>
      <c r="O19" s="58"/>
      <c r="P19" s="58"/>
      <c r="Q19" s="62"/>
      <c r="R19" s="62"/>
      <c r="S19" s="58"/>
      <c r="T19" s="58"/>
      <c r="U19" s="62"/>
      <c r="V19" s="62"/>
      <c r="W19" s="58"/>
      <c r="X19" s="58"/>
      <c r="Y19" s="62"/>
    </row>
    <row r="20" spans="1:25" s="43" customFormat="1" ht="13">
      <c r="A20" s="100" t="s">
        <v>91</v>
      </c>
      <c r="B20" s="106">
        <f>SUM(B18:B19)</f>
        <v>0</v>
      </c>
      <c r="C20" s="106"/>
      <c r="D20" s="106"/>
      <c r="E20" s="106">
        <v>59.3</v>
      </c>
      <c r="F20" s="74">
        <f>SUM(F18:F19)</f>
        <v>0</v>
      </c>
      <c r="G20" s="75"/>
      <c r="H20" s="75"/>
      <c r="I20" s="106">
        <v>59.3</v>
      </c>
      <c r="J20" s="60">
        <f>SUM(J18:J19)</f>
        <v>0</v>
      </c>
      <c r="K20" s="75"/>
      <c r="L20" s="75"/>
      <c r="M20" s="60"/>
      <c r="N20" s="60">
        <f>SUM(N18:N19)</f>
        <v>0</v>
      </c>
      <c r="O20" s="75"/>
      <c r="P20" s="75"/>
      <c r="Q20" s="60"/>
      <c r="R20" s="60">
        <f>SUM(R18:R19)</f>
        <v>0</v>
      </c>
      <c r="S20" s="75"/>
      <c r="T20" s="75"/>
      <c r="U20" s="60"/>
      <c r="V20" s="60">
        <f>SUM(V18:V19)</f>
        <v>0</v>
      </c>
      <c r="W20" s="75"/>
      <c r="X20" s="75"/>
      <c r="Y20" s="60"/>
    </row>
    <row r="21" spans="1:25" ht="4.5" customHeight="1">
      <c r="A21" s="96"/>
      <c r="B21" s="107"/>
      <c r="C21" s="107"/>
      <c r="D21" s="107"/>
      <c r="E21" s="108"/>
      <c r="F21" s="63"/>
      <c r="G21" s="62"/>
      <c r="H21" s="62"/>
      <c r="I21" s="108"/>
      <c r="J21" s="64"/>
      <c r="K21" s="62"/>
      <c r="L21" s="62"/>
      <c r="M21" s="60"/>
      <c r="N21" s="64"/>
      <c r="O21" s="62"/>
      <c r="P21" s="62"/>
      <c r="Q21" s="60"/>
      <c r="R21" s="64"/>
      <c r="S21" s="62"/>
      <c r="T21" s="62"/>
      <c r="U21" s="60"/>
      <c r="V21" s="64"/>
      <c r="W21" s="62"/>
      <c r="X21" s="62"/>
      <c r="Y21" s="60"/>
    </row>
    <row r="22" spans="1:25" s="43" customFormat="1" ht="13">
      <c r="A22" s="96" t="s">
        <v>96</v>
      </c>
      <c r="B22" s="76">
        <f>B20</f>
        <v>0</v>
      </c>
      <c r="C22" s="76"/>
      <c r="D22" s="76"/>
      <c r="E22" s="77">
        <v>59.3</v>
      </c>
      <c r="F22" s="74">
        <f>F20</f>
        <v>0</v>
      </c>
      <c r="G22" s="76"/>
      <c r="H22" s="76"/>
      <c r="I22" s="77">
        <v>59.3</v>
      </c>
      <c r="J22" s="64">
        <f>J20</f>
        <v>0</v>
      </c>
      <c r="K22" s="76"/>
      <c r="L22" s="76"/>
      <c r="M22" s="77"/>
      <c r="N22" s="64">
        <f>N20</f>
        <v>0</v>
      </c>
      <c r="O22" s="76"/>
      <c r="P22" s="76"/>
      <c r="Q22" s="77"/>
      <c r="R22" s="64">
        <f>R20</f>
        <v>0</v>
      </c>
      <c r="S22" s="76"/>
      <c r="T22" s="76"/>
      <c r="U22" s="77"/>
      <c r="V22" s="64">
        <f>V20</f>
        <v>0</v>
      </c>
      <c r="W22" s="76"/>
      <c r="X22" s="76"/>
      <c r="Y22" s="77"/>
    </row>
    <row r="23" spans="1:25" ht="13">
      <c r="A23" s="43"/>
      <c r="B23" s="82"/>
      <c r="C23" s="83"/>
      <c r="D23" s="83"/>
      <c r="E23" s="84"/>
      <c r="F23" s="82"/>
      <c r="G23" s="83"/>
      <c r="H23" s="84"/>
      <c r="I23" s="82"/>
      <c r="J23" s="82"/>
      <c r="K23" s="83"/>
      <c r="L23" s="84"/>
      <c r="M23" s="82"/>
      <c r="N23" s="82"/>
      <c r="O23" s="83"/>
      <c r="P23" s="84"/>
      <c r="Q23" s="82"/>
      <c r="R23" s="82"/>
      <c r="S23" s="83"/>
      <c r="T23" s="84"/>
      <c r="U23" s="82"/>
      <c r="V23" s="82"/>
      <c r="W23" s="83"/>
      <c r="X23" s="84"/>
      <c r="Y23" s="82"/>
    </row>
    <row r="24" spans="1:25">
      <c r="B24" s="53"/>
      <c r="C24" s="53"/>
      <c r="D24" s="53"/>
      <c r="E24" s="53"/>
      <c r="F24" s="53"/>
      <c r="G24" s="53"/>
      <c r="H24" s="53"/>
      <c r="I24" s="53"/>
      <c r="J24" s="53"/>
      <c r="K24" s="53"/>
      <c r="L24" s="53"/>
      <c r="M24" s="53"/>
      <c r="N24" s="53"/>
      <c r="O24" s="53"/>
      <c r="P24" s="53"/>
      <c r="Q24" s="53"/>
      <c r="R24" s="53"/>
      <c r="S24" s="53"/>
      <c r="T24" s="53"/>
      <c r="U24" s="53"/>
      <c r="V24" s="53"/>
      <c r="W24" s="53"/>
      <c r="X24" s="53"/>
      <c r="Y24" s="53"/>
    </row>
    <row r="25" spans="1:25" ht="13">
      <c r="A25" s="101"/>
      <c r="B25" s="741" t="s">
        <v>59</v>
      </c>
      <c r="C25" s="741"/>
      <c r="D25" s="741"/>
      <c r="E25" s="741"/>
      <c r="F25" s="741" t="s">
        <v>66</v>
      </c>
      <c r="G25" s="741"/>
      <c r="H25" s="741"/>
      <c r="I25" s="741" t="s">
        <v>59</v>
      </c>
      <c r="J25" s="741" t="s">
        <v>67</v>
      </c>
      <c r="K25" s="741"/>
      <c r="L25" s="741"/>
      <c r="M25" s="741" t="s">
        <v>59</v>
      </c>
      <c r="N25" s="741" t="s">
        <v>61</v>
      </c>
      <c r="O25" s="741"/>
      <c r="P25" s="741"/>
      <c r="Q25" s="741" t="s">
        <v>59</v>
      </c>
      <c r="R25" s="741" t="s">
        <v>68</v>
      </c>
      <c r="S25" s="741"/>
      <c r="T25" s="741"/>
      <c r="U25" s="741" t="s">
        <v>59</v>
      </c>
      <c r="V25" s="741" t="s">
        <v>62</v>
      </c>
      <c r="W25" s="741"/>
      <c r="X25" s="741"/>
      <c r="Y25" s="741" t="s">
        <v>59</v>
      </c>
    </row>
    <row r="26" spans="1:25" ht="39">
      <c r="A26" s="456" t="s">
        <v>84</v>
      </c>
      <c r="B26" s="54" t="s">
        <v>85</v>
      </c>
      <c r="C26" s="54" t="s">
        <v>86</v>
      </c>
      <c r="D26" s="54" t="s">
        <v>87</v>
      </c>
      <c r="E26" s="54" t="s">
        <v>88</v>
      </c>
      <c r="F26" s="54" t="s">
        <v>85</v>
      </c>
      <c r="G26" s="54" t="s">
        <v>86</v>
      </c>
      <c r="H26" s="54" t="s">
        <v>87</v>
      </c>
      <c r="I26" s="54" t="s">
        <v>88</v>
      </c>
      <c r="J26" s="54" t="s">
        <v>85</v>
      </c>
      <c r="K26" s="54" t="s">
        <v>86</v>
      </c>
      <c r="L26" s="54" t="s">
        <v>87</v>
      </c>
      <c r="M26" s="54" t="s">
        <v>88</v>
      </c>
      <c r="N26" s="54" t="s">
        <v>85</v>
      </c>
      <c r="O26" s="54" t="s">
        <v>86</v>
      </c>
      <c r="P26" s="54" t="s">
        <v>87</v>
      </c>
      <c r="Q26" s="54" t="s">
        <v>88</v>
      </c>
      <c r="R26" s="54" t="s">
        <v>85</v>
      </c>
      <c r="S26" s="54" t="s">
        <v>86</v>
      </c>
      <c r="T26" s="54" t="s">
        <v>87</v>
      </c>
      <c r="U26" s="54" t="s">
        <v>88</v>
      </c>
      <c r="V26" s="54" t="s">
        <v>85</v>
      </c>
      <c r="W26" s="54" t="s">
        <v>86</v>
      </c>
      <c r="X26" s="54" t="s">
        <v>87</v>
      </c>
      <c r="Y26" s="54" t="s">
        <v>88</v>
      </c>
    </row>
    <row r="27" spans="1:25" ht="13">
      <c r="A27" s="95" t="s">
        <v>97</v>
      </c>
      <c r="B27" s="78"/>
      <c r="C27" s="78"/>
      <c r="D27" s="58"/>
      <c r="E27" s="117"/>
      <c r="F27" s="62"/>
      <c r="G27" s="58"/>
      <c r="H27" s="61"/>
      <c r="I27" s="60"/>
      <c r="J27" s="62"/>
      <c r="K27" s="58"/>
      <c r="L27" s="61"/>
      <c r="M27" s="60"/>
      <c r="N27" s="62"/>
      <c r="O27" s="58"/>
      <c r="P27" s="61"/>
      <c r="Q27" s="60"/>
      <c r="R27" s="62"/>
      <c r="S27" s="58"/>
      <c r="T27" s="61"/>
      <c r="U27" s="60"/>
      <c r="V27" s="62"/>
      <c r="W27" s="58"/>
      <c r="X27" s="61"/>
      <c r="Y27" s="60"/>
    </row>
    <row r="28" spans="1:25" ht="13">
      <c r="A28" s="95" t="s">
        <v>90</v>
      </c>
      <c r="B28" s="78"/>
      <c r="C28" s="118"/>
      <c r="D28" s="58"/>
      <c r="E28" s="117">
        <f>SUM(B28:D28)</f>
        <v>0</v>
      </c>
      <c r="F28" s="62"/>
      <c r="G28" s="58"/>
      <c r="H28" s="61"/>
      <c r="I28" s="60">
        <f>SUM(G28:H28)</f>
        <v>0</v>
      </c>
      <c r="J28" s="62"/>
      <c r="K28" s="58"/>
      <c r="L28" s="61"/>
      <c r="M28" s="60">
        <f>SUM(K28:L28)</f>
        <v>0</v>
      </c>
      <c r="N28" s="62"/>
      <c r="O28" s="58"/>
      <c r="P28" s="61"/>
      <c r="Q28" s="60">
        <f t="shared" ref="Q28:Q33" si="1">SUM(O28:P28)</f>
        <v>0</v>
      </c>
      <c r="R28" s="62"/>
      <c r="S28" s="58"/>
      <c r="T28" s="61"/>
      <c r="U28" s="60">
        <f>SUM(S28:T28)</f>
        <v>0</v>
      </c>
      <c r="V28" s="62"/>
      <c r="W28" s="58"/>
      <c r="X28" s="61"/>
      <c r="Y28" s="60">
        <f>SUM(W28:X28)</f>
        <v>0</v>
      </c>
    </row>
    <row r="29" spans="1:25" ht="13">
      <c r="A29" s="95" t="s">
        <v>98</v>
      </c>
      <c r="B29" s="78"/>
      <c r="C29" s="58"/>
      <c r="D29" s="58"/>
      <c r="E29" s="117"/>
      <c r="F29" s="62"/>
      <c r="G29" s="58"/>
      <c r="H29" s="61"/>
      <c r="I29" s="60">
        <f>SUM(G29:H29)</f>
        <v>0</v>
      </c>
      <c r="J29" s="62"/>
      <c r="K29" s="58"/>
      <c r="L29" s="61"/>
      <c r="M29" s="60">
        <f t="shared" ref="M29:M40" si="2">SUM(K29:L29)</f>
        <v>0</v>
      </c>
      <c r="N29" s="62"/>
      <c r="O29" s="58"/>
      <c r="P29" s="61"/>
      <c r="Q29" s="60">
        <f t="shared" si="1"/>
        <v>0</v>
      </c>
      <c r="R29" s="62"/>
      <c r="S29" s="58"/>
      <c r="T29" s="61"/>
      <c r="U29" s="60"/>
      <c r="V29" s="62"/>
      <c r="W29" s="58"/>
      <c r="X29" s="61"/>
      <c r="Y29" s="60"/>
    </row>
    <row r="30" spans="1:25" ht="13">
      <c r="A30" s="95" t="s">
        <v>99</v>
      </c>
      <c r="B30" s="78"/>
      <c r="C30" s="58"/>
      <c r="D30" s="58"/>
      <c r="E30" s="117"/>
      <c r="F30" s="62"/>
      <c r="G30" s="79"/>
      <c r="H30" s="79"/>
      <c r="I30" s="60">
        <f>SUM(G30:H30)</f>
        <v>0</v>
      </c>
      <c r="J30" s="62"/>
      <c r="K30" s="79"/>
      <c r="L30" s="79"/>
      <c r="M30" s="60">
        <f t="shared" si="2"/>
        <v>0</v>
      </c>
      <c r="N30" s="62"/>
      <c r="O30" s="79"/>
      <c r="P30" s="79"/>
      <c r="Q30" s="60">
        <f t="shared" si="1"/>
        <v>0</v>
      </c>
      <c r="R30" s="62"/>
      <c r="S30" s="79"/>
      <c r="T30" s="79"/>
      <c r="U30" s="60"/>
      <c r="V30" s="62"/>
      <c r="W30" s="79"/>
      <c r="X30" s="79"/>
      <c r="Y30" s="60"/>
    </row>
    <row r="31" spans="1:25" ht="13">
      <c r="A31" s="95" t="s">
        <v>100</v>
      </c>
      <c r="B31" s="78"/>
      <c r="C31" s="58"/>
      <c r="D31" s="58"/>
      <c r="E31" s="117"/>
      <c r="F31" s="62"/>
      <c r="G31" s="79"/>
      <c r="H31" s="79"/>
      <c r="I31" s="60">
        <f>SUM(G31:H31)</f>
        <v>0</v>
      </c>
      <c r="J31" s="62"/>
      <c r="K31" s="79"/>
      <c r="L31" s="79"/>
      <c r="M31" s="60">
        <f t="shared" si="2"/>
        <v>0</v>
      </c>
      <c r="N31" s="62"/>
      <c r="O31" s="79"/>
      <c r="P31" s="79"/>
      <c r="Q31" s="60">
        <f t="shared" si="1"/>
        <v>0</v>
      </c>
      <c r="R31" s="62"/>
      <c r="S31" s="79"/>
      <c r="T31" s="79"/>
      <c r="U31" s="60"/>
      <c r="V31" s="62"/>
      <c r="W31" s="79"/>
      <c r="X31" s="79"/>
      <c r="Y31" s="60"/>
    </row>
    <row r="32" spans="1:25" ht="13">
      <c r="A32" s="95" t="s">
        <v>101</v>
      </c>
      <c r="B32" s="62"/>
      <c r="C32" s="58"/>
      <c r="D32" s="58"/>
      <c r="E32" s="117">
        <f>SUM(B32:D32)</f>
        <v>0</v>
      </c>
      <c r="F32" s="62"/>
      <c r="G32" s="58"/>
      <c r="H32" s="58"/>
      <c r="I32" s="60">
        <f>SUM(G32:H32)</f>
        <v>0</v>
      </c>
      <c r="J32" s="62"/>
      <c r="K32" s="58"/>
      <c r="L32" s="58"/>
      <c r="M32" s="60">
        <f t="shared" si="2"/>
        <v>0</v>
      </c>
      <c r="N32" s="62"/>
      <c r="O32" s="58"/>
      <c r="P32" s="58"/>
      <c r="Q32" s="60">
        <f t="shared" si="1"/>
        <v>0</v>
      </c>
      <c r="R32" s="62"/>
      <c r="S32" s="58"/>
      <c r="T32" s="58"/>
      <c r="U32" s="60">
        <f>SUM(S32:T32)</f>
        <v>0</v>
      </c>
      <c r="V32" s="62"/>
      <c r="W32" s="58"/>
      <c r="X32" s="58"/>
      <c r="Y32" s="60">
        <f>SUM(W32:X32)</f>
        <v>0</v>
      </c>
    </row>
    <row r="33" spans="1:25" s="43" customFormat="1" ht="13">
      <c r="A33" s="96" t="s">
        <v>91</v>
      </c>
      <c r="B33" s="119"/>
      <c r="C33" s="64">
        <f>SUM(C27:C32)</f>
        <v>0</v>
      </c>
      <c r="D33" s="64">
        <f>SUM(D27:D32)</f>
        <v>0</v>
      </c>
      <c r="E33" s="64">
        <f>SUM(E27:E32)</f>
        <v>0</v>
      </c>
      <c r="F33" s="64"/>
      <c r="G33" s="60">
        <f>SUM(G27:G32)</f>
        <v>0</v>
      </c>
      <c r="H33" s="60">
        <f>SUM(H27:H32)</f>
        <v>0</v>
      </c>
      <c r="I33" s="60">
        <f>SUM(I27:I32)</f>
        <v>0</v>
      </c>
      <c r="J33" s="64"/>
      <c r="K33" s="60">
        <f>SUM(K28:K32)</f>
        <v>0</v>
      </c>
      <c r="L33" s="60">
        <f>SUM(L28:L32)</f>
        <v>0</v>
      </c>
      <c r="M33" s="60">
        <f t="shared" si="2"/>
        <v>0</v>
      </c>
      <c r="N33" s="64"/>
      <c r="O33" s="60">
        <f>SUM(O28:O32)</f>
        <v>0</v>
      </c>
      <c r="P33" s="60">
        <f>SUM(P28:P32)</f>
        <v>0</v>
      </c>
      <c r="Q33" s="60">
        <f t="shared" si="1"/>
        <v>0</v>
      </c>
      <c r="R33" s="64"/>
      <c r="S33" s="60">
        <f>SUM(S28:S32)</f>
        <v>0</v>
      </c>
      <c r="T33" s="60">
        <f>SUM(T28:T32)</f>
        <v>0</v>
      </c>
      <c r="U33" s="60">
        <f>SUM(S33:T33)</f>
        <v>0</v>
      </c>
      <c r="V33" s="64"/>
      <c r="W33" s="60">
        <f>SUM(W28:W32)</f>
        <v>0</v>
      </c>
      <c r="X33" s="60">
        <f>SUM(X28:X32)</f>
        <v>0</v>
      </c>
      <c r="Y33" s="60">
        <f>SUM(W33:X33)</f>
        <v>0</v>
      </c>
    </row>
    <row r="34" spans="1:25" ht="4.5" customHeight="1">
      <c r="A34" s="96"/>
      <c r="B34" s="64"/>
      <c r="C34" s="62"/>
      <c r="D34" s="62"/>
      <c r="E34" s="60"/>
      <c r="F34" s="64"/>
      <c r="G34" s="62"/>
      <c r="H34" s="62"/>
      <c r="I34" s="60"/>
      <c r="J34" s="64"/>
      <c r="K34" s="62"/>
      <c r="L34" s="62"/>
      <c r="M34" s="60"/>
      <c r="N34" s="64"/>
      <c r="O34" s="62"/>
      <c r="P34" s="62"/>
      <c r="Q34" s="60"/>
      <c r="R34" s="64"/>
      <c r="S34" s="62"/>
      <c r="T34" s="62"/>
      <c r="U34" s="60"/>
      <c r="V34" s="64"/>
      <c r="W34" s="62"/>
      <c r="X34" s="62"/>
      <c r="Y34" s="60"/>
    </row>
    <row r="35" spans="1:25" ht="13">
      <c r="A35" s="97" t="s">
        <v>51</v>
      </c>
      <c r="B35" s="68"/>
      <c r="C35" s="66"/>
      <c r="D35" s="66"/>
      <c r="E35" s="67"/>
      <c r="F35" s="68"/>
      <c r="G35" s="66"/>
      <c r="H35" s="67"/>
      <c r="I35" s="60">
        <f>SUM(G35:H35)</f>
        <v>0</v>
      </c>
      <c r="J35" s="68"/>
      <c r="K35" s="66"/>
      <c r="L35" s="67"/>
      <c r="M35" s="60">
        <f t="shared" si="2"/>
        <v>0</v>
      </c>
      <c r="N35" s="68"/>
      <c r="O35" s="60"/>
      <c r="P35" s="67"/>
      <c r="Q35" s="60">
        <f t="shared" ref="Q35:Q40" si="3">SUM(O35:P35)</f>
        <v>0</v>
      </c>
      <c r="R35" s="68"/>
      <c r="S35" s="66"/>
      <c r="T35" s="67"/>
      <c r="U35" s="60">
        <f t="shared" ref="U35:U40" si="4">SUM(S35:T35)</f>
        <v>0</v>
      </c>
      <c r="V35" s="68"/>
      <c r="W35" s="66"/>
      <c r="X35" s="67"/>
      <c r="Y35" s="60">
        <f t="shared" ref="Y35:Y40" si="5">SUM(W35:X35)</f>
        <v>0</v>
      </c>
    </row>
    <row r="36" spans="1:25" ht="13">
      <c r="A36" s="95" t="s">
        <v>92</v>
      </c>
      <c r="B36" s="78"/>
      <c r="C36" s="78"/>
      <c r="D36" s="58"/>
      <c r="E36" s="117"/>
      <c r="F36" s="62"/>
      <c r="G36" s="58"/>
      <c r="H36" s="58"/>
      <c r="I36" s="60">
        <f>SUM(G36:H36)</f>
        <v>0</v>
      </c>
      <c r="J36" s="62"/>
      <c r="K36" s="58"/>
      <c r="L36" s="58"/>
      <c r="M36" s="60">
        <f t="shared" si="2"/>
        <v>0</v>
      </c>
      <c r="N36" s="62"/>
      <c r="O36" s="60"/>
      <c r="P36" s="58"/>
      <c r="Q36" s="60">
        <f t="shared" si="3"/>
        <v>0</v>
      </c>
      <c r="R36" s="62"/>
      <c r="S36" s="58"/>
      <c r="T36" s="58"/>
      <c r="U36" s="60">
        <f t="shared" si="4"/>
        <v>0</v>
      </c>
      <c r="V36" s="62"/>
      <c r="W36" s="58"/>
      <c r="X36" s="58"/>
      <c r="Y36" s="60">
        <f t="shared" si="5"/>
        <v>0</v>
      </c>
    </row>
    <row r="37" spans="1:25" ht="13">
      <c r="A37" s="95" t="s">
        <v>102</v>
      </c>
      <c r="B37" s="78"/>
      <c r="C37" s="78"/>
      <c r="D37" s="58"/>
      <c r="E37" s="117"/>
      <c r="F37" s="62"/>
      <c r="G37" s="58"/>
      <c r="H37" s="58"/>
      <c r="I37" s="60">
        <f>SUM(G37:H37)</f>
        <v>0</v>
      </c>
      <c r="J37" s="62"/>
      <c r="K37" s="58"/>
      <c r="L37" s="58"/>
      <c r="M37" s="60">
        <f t="shared" si="2"/>
        <v>0</v>
      </c>
      <c r="N37" s="62"/>
      <c r="O37" s="60"/>
      <c r="P37" s="58"/>
      <c r="Q37" s="60">
        <f t="shared" si="3"/>
        <v>0</v>
      </c>
      <c r="R37" s="62"/>
      <c r="S37" s="58"/>
      <c r="T37" s="58"/>
      <c r="U37" s="60">
        <f t="shared" si="4"/>
        <v>0</v>
      </c>
      <c r="V37" s="62"/>
      <c r="W37" s="58"/>
      <c r="X37" s="58"/>
      <c r="Y37" s="60">
        <f t="shared" si="5"/>
        <v>0</v>
      </c>
    </row>
    <row r="38" spans="1:25" ht="13">
      <c r="A38" s="95" t="s">
        <v>93</v>
      </c>
      <c r="B38" s="78"/>
      <c r="C38" s="78"/>
      <c r="D38" s="58"/>
      <c r="E38" s="117"/>
      <c r="F38" s="62"/>
      <c r="G38" s="58"/>
      <c r="H38" s="58"/>
      <c r="I38" s="60">
        <f>SUM(G38:H38)</f>
        <v>0</v>
      </c>
      <c r="J38" s="62"/>
      <c r="K38" s="58"/>
      <c r="L38" s="58"/>
      <c r="M38" s="60">
        <f t="shared" si="2"/>
        <v>0</v>
      </c>
      <c r="N38" s="62"/>
      <c r="O38" s="60"/>
      <c r="P38" s="58"/>
      <c r="Q38" s="60">
        <f t="shared" si="3"/>
        <v>0</v>
      </c>
      <c r="R38" s="62"/>
      <c r="S38" s="58"/>
      <c r="T38" s="58"/>
      <c r="U38" s="60">
        <f t="shared" si="4"/>
        <v>0</v>
      </c>
      <c r="V38" s="62"/>
      <c r="W38" s="58"/>
      <c r="X38" s="58"/>
      <c r="Y38" s="60">
        <f t="shared" si="5"/>
        <v>0</v>
      </c>
    </row>
    <row r="39" spans="1:25" ht="13">
      <c r="A39" s="95"/>
      <c r="B39" s="62"/>
      <c r="C39" s="58"/>
      <c r="D39" s="58"/>
      <c r="E39" s="75"/>
      <c r="F39" s="62"/>
      <c r="G39" s="58"/>
      <c r="H39" s="58"/>
      <c r="I39" s="60">
        <f>SUM(G39:H39)</f>
        <v>0</v>
      </c>
      <c r="J39" s="62"/>
      <c r="K39" s="58"/>
      <c r="L39" s="58"/>
      <c r="M39" s="60">
        <f t="shared" si="2"/>
        <v>0</v>
      </c>
      <c r="N39" s="62"/>
      <c r="O39" s="60"/>
      <c r="P39" s="58"/>
      <c r="Q39" s="60">
        <f t="shared" si="3"/>
        <v>0</v>
      </c>
      <c r="R39" s="62"/>
      <c r="S39" s="58"/>
      <c r="T39" s="58"/>
      <c r="U39" s="60">
        <f t="shared" si="4"/>
        <v>0</v>
      </c>
      <c r="V39" s="62"/>
      <c r="W39" s="58"/>
      <c r="X39" s="58"/>
      <c r="Y39" s="60">
        <f t="shared" si="5"/>
        <v>0</v>
      </c>
    </row>
    <row r="40" spans="1:25" s="43" customFormat="1" ht="13">
      <c r="A40" s="96" t="s">
        <v>91</v>
      </c>
      <c r="B40" s="119"/>
      <c r="C40" s="64">
        <f>SUM(C35:C39)</f>
        <v>0</v>
      </c>
      <c r="D40" s="64">
        <f>SUM(D36:D39)</f>
        <v>0</v>
      </c>
      <c r="E40" s="64">
        <f>SUM(E36:E39)</f>
        <v>0</v>
      </c>
      <c r="F40" s="64"/>
      <c r="G40" s="60">
        <f>SUM(G35:G39)</f>
        <v>0</v>
      </c>
      <c r="H40" s="60">
        <f>SUM(H35:H39)</f>
        <v>0</v>
      </c>
      <c r="I40" s="60">
        <f>SUM(I35:I39)</f>
        <v>0</v>
      </c>
      <c r="J40" s="64"/>
      <c r="K40" s="60">
        <f>(K35+K39)</f>
        <v>0</v>
      </c>
      <c r="L40" s="60">
        <f>(L35+L39)</f>
        <v>0</v>
      </c>
      <c r="M40" s="60">
        <f t="shared" si="2"/>
        <v>0</v>
      </c>
      <c r="N40" s="64"/>
      <c r="O40" s="60"/>
      <c r="P40" s="60"/>
      <c r="Q40" s="60">
        <f t="shared" si="3"/>
        <v>0</v>
      </c>
      <c r="R40" s="64"/>
      <c r="S40" s="60"/>
      <c r="T40" s="60"/>
      <c r="U40" s="60">
        <f t="shared" si="4"/>
        <v>0</v>
      </c>
      <c r="V40" s="64"/>
      <c r="W40" s="60"/>
      <c r="X40" s="60"/>
      <c r="Y40" s="60">
        <f t="shared" si="5"/>
        <v>0</v>
      </c>
    </row>
    <row r="41" spans="1:25" ht="4.5" customHeight="1">
      <c r="A41" s="96"/>
      <c r="B41" s="64"/>
      <c r="C41" s="62"/>
      <c r="D41" s="62"/>
      <c r="E41" s="60"/>
      <c r="F41" s="64"/>
      <c r="G41" s="62"/>
      <c r="H41" s="62"/>
      <c r="I41" s="60"/>
      <c r="J41" s="64"/>
      <c r="K41" s="62"/>
      <c r="L41" s="62"/>
      <c r="M41" s="60"/>
      <c r="N41" s="64"/>
      <c r="O41" s="62"/>
      <c r="P41" s="62"/>
      <c r="Q41" s="60"/>
      <c r="R41" s="64"/>
      <c r="S41" s="62"/>
      <c r="T41" s="62"/>
      <c r="U41" s="60"/>
      <c r="V41" s="64"/>
      <c r="W41" s="62"/>
      <c r="X41" s="62"/>
      <c r="Y41" s="60"/>
    </row>
    <row r="42" spans="1:25" ht="17.25" customHeight="1">
      <c r="A42" s="96" t="s">
        <v>88</v>
      </c>
      <c r="B42" s="64"/>
      <c r="C42" s="64">
        <f>C33+C40</f>
        <v>0</v>
      </c>
      <c r="D42" s="64">
        <f>D33+D40</f>
        <v>0</v>
      </c>
      <c r="E42" s="64">
        <f>E33+E40</f>
        <v>0</v>
      </c>
      <c r="F42" s="64"/>
      <c r="G42" s="60">
        <f>G33+G40</f>
        <v>0</v>
      </c>
      <c r="H42" s="60">
        <f>H33+H40</f>
        <v>0</v>
      </c>
      <c r="I42" s="60">
        <f>I33+I40</f>
        <v>0</v>
      </c>
      <c r="J42" s="64"/>
      <c r="K42" s="60">
        <f>(K33+K40)</f>
        <v>0</v>
      </c>
      <c r="L42" s="60">
        <f>(L33+L40)</f>
        <v>0</v>
      </c>
      <c r="M42" s="60">
        <f>(M33+M40)</f>
        <v>0</v>
      </c>
      <c r="N42" s="60">
        <f>N33+N40</f>
        <v>0</v>
      </c>
      <c r="O42" s="60">
        <f>O33+O40</f>
        <v>0</v>
      </c>
      <c r="P42" s="60">
        <f>(P33+P40)</f>
        <v>0</v>
      </c>
      <c r="Q42" s="60">
        <f>(Q33+Q40)</f>
        <v>0</v>
      </c>
      <c r="R42" s="60">
        <f t="shared" ref="R42:Y42" si="6">SUM(R33:R40)</f>
        <v>0</v>
      </c>
      <c r="S42" s="60">
        <f t="shared" si="6"/>
        <v>0</v>
      </c>
      <c r="T42" s="60">
        <f t="shared" si="6"/>
        <v>0</v>
      </c>
      <c r="U42" s="60">
        <f t="shared" si="6"/>
        <v>0</v>
      </c>
      <c r="V42" s="60">
        <f t="shared" si="6"/>
        <v>0</v>
      </c>
      <c r="W42" s="60">
        <f t="shared" si="6"/>
        <v>0</v>
      </c>
      <c r="X42" s="60">
        <f t="shared" si="6"/>
        <v>0</v>
      </c>
      <c r="Y42" s="60">
        <f t="shared" si="6"/>
        <v>0</v>
      </c>
    </row>
    <row r="43" spans="1:25" ht="17.25" customHeight="1">
      <c r="A43" s="98"/>
      <c r="B43" s="70"/>
      <c r="C43" s="69"/>
      <c r="D43" s="69"/>
      <c r="E43" s="70"/>
      <c r="F43" s="70"/>
      <c r="G43" s="69"/>
      <c r="H43" s="69"/>
      <c r="I43" s="70"/>
      <c r="J43" s="70"/>
      <c r="K43" s="69"/>
      <c r="L43" s="69"/>
      <c r="M43" s="70"/>
      <c r="N43" s="70"/>
      <c r="O43" s="69"/>
      <c r="P43" s="69"/>
      <c r="Q43" s="70"/>
      <c r="R43" s="70"/>
      <c r="S43" s="69"/>
      <c r="T43" s="69"/>
      <c r="U43" s="70"/>
      <c r="V43" s="70"/>
      <c r="W43" s="69"/>
      <c r="X43" s="69"/>
      <c r="Y43" s="70"/>
    </row>
    <row r="44" spans="1:25" ht="13">
      <c r="A44" s="456" t="s">
        <v>94</v>
      </c>
      <c r="B44" s="120"/>
      <c r="C44" s="71"/>
      <c r="D44" s="71"/>
      <c r="E44" s="121"/>
      <c r="F44" s="72"/>
      <c r="G44" s="71"/>
      <c r="H44" s="71"/>
      <c r="I44" s="72"/>
      <c r="J44" s="72"/>
      <c r="K44" s="71"/>
      <c r="L44" s="71"/>
      <c r="M44" s="72"/>
      <c r="N44" s="72"/>
      <c r="O44" s="71"/>
      <c r="P44" s="71"/>
      <c r="Q44" s="72"/>
      <c r="R44" s="72"/>
      <c r="S44" s="71"/>
      <c r="T44" s="71"/>
      <c r="U44" s="72"/>
      <c r="V44" s="72"/>
      <c r="W44" s="71"/>
      <c r="X44" s="71"/>
      <c r="Y44" s="73"/>
    </row>
    <row r="45" spans="1:25" ht="13">
      <c r="A45" s="99" t="s">
        <v>95</v>
      </c>
      <c r="B45" s="62"/>
      <c r="C45" s="78"/>
      <c r="D45" s="78"/>
      <c r="E45" s="75"/>
      <c r="F45" s="56"/>
      <c r="G45" s="78"/>
      <c r="H45" s="78"/>
      <c r="I45" s="75"/>
      <c r="J45" s="56"/>
      <c r="K45" s="78"/>
      <c r="L45" s="78"/>
      <c r="M45" s="75"/>
      <c r="N45" s="56"/>
      <c r="O45" s="78"/>
      <c r="P45" s="78"/>
      <c r="Q45" s="75"/>
      <c r="R45" s="56"/>
      <c r="S45" s="78"/>
      <c r="T45" s="78"/>
      <c r="U45" s="75"/>
      <c r="V45" s="56"/>
      <c r="W45" s="78"/>
      <c r="X45" s="78"/>
      <c r="Y45" s="75"/>
    </row>
    <row r="46" spans="1:25" ht="13">
      <c r="A46" s="95"/>
      <c r="B46" s="62"/>
      <c r="C46" s="58"/>
      <c r="D46" s="58"/>
      <c r="E46" s="75"/>
      <c r="F46" s="62"/>
      <c r="G46" s="58"/>
      <c r="H46" s="58"/>
      <c r="I46" s="75"/>
      <c r="J46" s="62"/>
      <c r="K46" s="58"/>
      <c r="L46" s="58"/>
      <c r="M46" s="75"/>
      <c r="N46" s="62"/>
      <c r="O46" s="58"/>
      <c r="P46" s="58"/>
      <c r="Q46" s="75"/>
      <c r="R46" s="62"/>
      <c r="S46" s="58"/>
      <c r="T46" s="58"/>
      <c r="U46" s="75"/>
      <c r="V46" s="62"/>
      <c r="W46" s="58"/>
      <c r="X46" s="58"/>
      <c r="Y46" s="75"/>
    </row>
    <row r="47" spans="1:25" s="43" customFormat="1" ht="13">
      <c r="A47" s="100" t="s">
        <v>91</v>
      </c>
      <c r="B47" s="64">
        <f>SUM(B45:B46)</f>
        <v>0</v>
      </c>
      <c r="C47" s="64"/>
      <c r="D47" s="64"/>
      <c r="E47" s="64"/>
      <c r="F47" s="64">
        <f>SUM(F45:F46)</f>
        <v>0</v>
      </c>
      <c r="G47" s="64"/>
      <c r="H47" s="64"/>
      <c r="I47" s="64">
        <f>SUM(I45:I46)</f>
        <v>0</v>
      </c>
      <c r="J47" s="64"/>
      <c r="K47" s="64"/>
      <c r="L47" s="64"/>
      <c r="M47" s="64">
        <f>SUM(M45:M46)</f>
        <v>0</v>
      </c>
      <c r="N47" s="64"/>
      <c r="O47" s="64"/>
      <c r="P47" s="64"/>
      <c r="Q47" s="64">
        <f>SUM(Q45:Q46)</f>
        <v>0</v>
      </c>
      <c r="R47" s="64"/>
      <c r="S47" s="64"/>
      <c r="T47" s="64"/>
      <c r="U47" s="64">
        <f>SUM(U45:U46)</f>
        <v>0</v>
      </c>
      <c r="V47" s="64"/>
      <c r="W47" s="64"/>
      <c r="X47" s="64"/>
      <c r="Y47" s="64"/>
    </row>
    <row r="48" spans="1:25" ht="4.5" customHeight="1">
      <c r="A48" s="96"/>
      <c r="B48" s="62"/>
      <c r="C48" s="62"/>
      <c r="D48" s="62"/>
      <c r="E48" s="60"/>
      <c r="F48" s="62"/>
      <c r="G48" s="62"/>
      <c r="H48" s="62"/>
      <c r="I48" s="60"/>
      <c r="J48" s="62"/>
      <c r="K48" s="62"/>
      <c r="L48" s="62"/>
      <c r="M48" s="60"/>
      <c r="N48" s="62"/>
      <c r="O48" s="62"/>
      <c r="P48" s="62"/>
      <c r="Q48" s="60"/>
      <c r="R48" s="62"/>
      <c r="S48" s="62"/>
      <c r="T48" s="62"/>
      <c r="U48" s="60"/>
      <c r="V48" s="62"/>
      <c r="W48" s="62"/>
      <c r="X48" s="62"/>
      <c r="Y48" s="60"/>
    </row>
    <row r="49" spans="1:25" s="46" customFormat="1" ht="13">
      <c r="A49" s="96" t="s">
        <v>96</v>
      </c>
      <c r="B49" s="80">
        <f>B47</f>
        <v>0</v>
      </c>
      <c r="C49" s="80"/>
      <c r="D49" s="80"/>
      <c r="E49" s="80"/>
      <c r="F49" s="80">
        <f>F47</f>
        <v>0</v>
      </c>
      <c r="G49" s="80"/>
      <c r="H49" s="80"/>
      <c r="I49" s="80">
        <f>I47</f>
        <v>0</v>
      </c>
      <c r="J49" s="80"/>
      <c r="K49" s="80"/>
      <c r="L49" s="80"/>
      <c r="M49" s="80">
        <f>M47</f>
        <v>0</v>
      </c>
      <c r="N49" s="80"/>
      <c r="O49" s="80"/>
      <c r="P49" s="80"/>
      <c r="Q49" s="80">
        <f>Q47</f>
        <v>0</v>
      </c>
      <c r="R49" s="80"/>
      <c r="S49" s="80"/>
      <c r="T49" s="80"/>
      <c r="U49" s="80">
        <f>U47</f>
        <v>0</v>
      </c>
      <c r="V49" s="80"/>
      <c r="W49" s="80"/>
      <c r="X49" s="80"/>
      <c r="Y49" s="80"/>
    </row>
    <row r="50" spans="1:25" s="51" customFormat="1" ht="13">
      <c r="A50" s="43"/>
      <c r="B50" s="47"/>
      <c r="C50" s="47"/>
      <c r="D50" s="47"/>
      <c r="E50" s="48"/>
      <c r="F50" s="46"/>
      <c r="G50" s="49"/>
      <c r="H50" s="50"/>
      <c r="I50" s="46"/>
      <c r="J50" s="46"/>
      <c r="K50" s="49"/>
      <c r="L50" s="50"/>
      <c r="M50" s="46"/>
      <c r="N50" s="46"/>
      <c r="O50" s="49"/>
      <c r="P50" s="50"/>
      <c r="Q50" s="46"/>
      <c r="R50" s="46"/>
      <c r="S50" s="49"/>
      <c r="T50" s="50"/>
      <c r="U50" s="46"/>
      <c r="V50" s="46"/>
      <c r="W50" s="49"/>
      <c r="X50" s="50"/>
      <c r="Y50" s="46"/>
    </row>
    <row r="51" spans="1:25" ht="13">
      <c r="A51" s="43" t="s">
        <v>63</v>
      </c>
      <c r="B51" s="43"/>
      <c r="C51" s="45" t="s">
        <v>103</v>
      </c>
      <c r="D51" s="45"/>
      <c r="E51" s="45"/>
      <c r="F51" s="43"/>
      <c r="G51" s="45"/>
      <c r="H51" s="45"/>
      <c r="I51" s="43"/>
      <c r="J51" s="43"/>
      <c r="K51" s="45"/>
      <c r="L51" s="45"/>
      <c r="M51" s="43"/>
      <c r="N51" s="43"/>
      <c r="O51" s="45"/>
      <c r="P51" s="45"/>
      <c r="Q51" s="43"/>
      <c r="R51" s="43"/>
      <c r="S51" s="45"/>
      <c r="T51" s="45"/>
      <c r="V51" s="43"/>
      <c r="W51" s="45"/>
      <c r="X51" s="45"/>
      <c r="Y51" s="43"/>
    </row>
    <row r="52" spans="1:25">
      <c r="W52" s="45"/>
      <c r="X52" s="45"/>
    </row>
    <row r="53" spans="1:25" ht="13">
      <c r="A53" s="43" t="s">
        <v>104</v>
      </c>
      <c r="B53" s="43" t="s">
        <v>105</v>
      </c>
      <c r="D53" s="45"/>
      <c r="G53" s="45"/>
      <c r="I53" s="43"/>
      <c r="K53" s="45"/>
      <c r="M53" s="43"/>
      <c r="O53" s="45"/>
      <c r="P53" s="45"/>
      <c r="S53" s="45"/>
      <c r="T53" s="45"/>
      <c r="W53" s="45"/>
      <c r="X53" s="45"/>
    </row>
    <row r="54" spans="1:25" ht="13">
      <c r="A54" s="43" t="s">
        <v>106</v>
      </c>
      <c r="B54" s="43" t="s">
        <v>107</v>
      </c>
      <c r="D54" s="45"/>
      <c r="G54" s="45"/>
      <c r="I54" s="43"/>
      <c r="K54" s="45"/>
      <c r="M54" s="43"/>
      <c r="O54" s="45"/>
      <c r="P54" s="45"/>
      <c r="S54" s="45"/>
      <c r="T54" s="45"/>
    </row>
    <row r="55" spans="1:25" ht="13">
      <c r="A55" s="43" t="s">
        <v>108</v>
      </c>
      <c r="B55" s="43" t="s">
        <v>109</v>
      </c>
      <c r="D55" s="45"/>
      <c r="G55" s="45"/>
      <c r="I55" s="43"/>
      <c r="K55" s="45"/>
      <c r="M55" s="43"/>
      <c r="U55" s="52"/>
      <c r="V55" s="52"/>
      <c r="Y55" s="52"/>
    </row>
    <row r="56" spans="1:25" ht="13">
      <c r="A56" s="43" t="s">
        <v>110</v>
      </c>
      <c r="B56" s="43" t="s">
        <v>111</v>
      </c>
      <c r="D56" s="45"/>
      <c r="F56" s="52"/>
      <c r="I56" s="52"/>
      <c r="J56" s="52"/>
      <c r="M56" s="52"/>
      <c r="N56" s="52"/>
      <c r="Q56" s="52"/>
      <c r="R56" s="52"/>
      <c r="W56" s="45"/>
      <c r="X56" s="45"/>
    </row>
    <row r="57" spans="1:25" ht="13">
      <c r="A57" s="43"/>
      <c r="B57" s="43"/>
      <c r="D57" s="45"/>
      <c r="G57" s="45"/>
      <c r="I57" s="43"/>
      <c r="K57" s="45"/>
      <c r="M57" s="43"/>
      <c r="O57" s="45"/>
      <c r="P57" s="45"/>
      <c r="S57" s="45"/>
      <c r="T57" s="45"/>
      <c r="U57" s="52"/>
      <c r="V57" s="52"/>
      <c r="Y57" s="52"/>
    </row>
    <row r="58" spans="1:25">
      <c r="A58" s="52"/>
      <c r="B58" s="52"/>
      <c r="F58" s="52"/>
      <c r="I58" s="52"/>
      <c r="J58" s="52"/>
      <c r="M58" s="52"/>
      <c r="N58" s="52"/>
      <c r="Q58" s="52"/>
      <c r="R58" s="52"/>
      <c r="U58" s="52"/>
      <c r="V58" s="52"/>
      <c r="Y58" s="52"/>
    </row>
    <row r="59" spans="1:25">
      <c r="A59" s="52"/>
      <c r="B59" s="52"/>
      <c r="F59" s="52"/>
      <c r="I59" s="52"/>
      <c r="J59" s="52"/>
      <c r="M59" s="52"/>
      <c r="N59" s="52"/>
      <c r="Q59" s="52"/>
      <c r="R59" s="52"/>
      <c r="U59" s="52"/>
      <c r="V59" s="52"/>
      <c r="Y59" s="52"/>
    </row>
    <row r="60" spans="1:25">
      <c r="A60" s="52"/>
      <c r="B60" s="52"/>
      <c r="F60" s="52"/>
      <c r="I60" s="52"/>
      <c r="J60" s="52"/>
      <c r="M60" s="52"/>
      <c r="N60" s="52"/>
      <c r="Q60" s="52"/>
      <c r="R60" s="52"/>
      <c r="U60" s="52"/>
      <c r="V60" s="52"/>
      <c r="Y60" s="52"/>
    </row>
  </sheetData>
  <sheetProtection password="F485" sheet="1" objects="1" scenarios="1"/>
  <mergeCells count="12">
    <mergeCell ref="B3:E3"/>
    <mergeCell ref="F3:I3"/>
    <mergeCell ref="B25:E25"/>
    <mergeCell ref="F25:I25"/>
    <mergeCell ref="V3:Y3"/>
    <mergeCell ref="R25:U25"/>
    <mergeCell ref="V25:Y25"/>
    <mergeCell ref="N25:Q25"/>
    <mergeCell ref="J25:M25"/>
    <mergeCell ref="J3:M3"/>
    <mergeCell ref="N3:Q3"/>
    <mergeCell ref="R3:U3"/>
  </mergeCells>
  <phoneticPr fontId="0" type="noConversion"/>
  <printOptions horizontalCentered="1" verticalCentered="1"/>
  <pageMargins left="0" right="0" top="1" bottom="1" header="0.5" footer="0.5"/>
  <pageSetup scale="44" orientation="landscape" cellComments="asDisplayed" r:id="rId1"/>
  <headerFooter alignWithMargins="0">
    <oddHeader xml:space="preserve">&amp;C&amp;"Arial,Bold"San Diego Gas and Electric
Program Subscription Statistics
MARCH 2016
</oddHeader>
    <oddFooter>&amp;L&amp;F</oddFooter>
  </headerFooter>
  <customProperties>
    <customPr name="_pios_id" r:id="rId2"/>
  </customProperties>
  <ignoredErrors>
    <ignoredError sqref="M28:M33 M35:M40" unlocked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pageSetUpPr fitToPage="1"/>
  </sheetPr>
  <dimension ref="A2:N56"/>
  <sheetViews>
    <sheetView topLeftCell="A7" zoomScaleNormal="100" zoomScaleSheetLayoutView="90" workbookViewId="0">
      <selection sqref="A1:XFD1048576"/>
    </sheetView>
  </sheetViews>
  <sheetFormatPr defaultColWidth="9.26953125" defaultRowHeight="14.25" customHeight="1"/>
  <cols>
    <col min="1" max="1" width="56.7265625" style="354" customWidth="1"/>
    <col min="2" max="2" width="30" style="242" customWidth="1"/>
    <col min="3" max="3" width="15.7265625" style="356" customWidth="1"/>
    <col min="4" max="4" width="27" style="354" bestFit="1" customWidth="1"/>
    <col min="5" max="5" width="15.7265625" style="354" customWidth="1"/>
    <col min="6" max="6" width="22" style="354" customWidth="1"/>
    <col min="7" max="7" width="37" style="354" customWidth="1"/>
    <col min="8" max="16384" width="9.26953125" style="355"/>
  </cols>
  <sheetData>
    <row r="2" spans="1:14" ht="13">
      <c r="A2" s="487"/>
      <c r="C2" s="243" t="s">
        <v>39</v>
      </c>
      <c r="D2" s="487"/>
      <c r="E2" s="487"/>
      <c r="F2" s="487"/>
      <c r="G2" s="487"/>
      <c r="H2" s="488"/>
      <c r="I2" s="488"/>
      <c r="J2" s="488"/>
      <c r="K2" s="488"/>
      <c r="L2" s="488"/>
      <c r="M2" s="488"/>
      <c r="N2" s="488"/>
    </row>
    <row r="3" spans="1:14" ht="13">
      <c r="A3" s="487"/>
      <c r="C3" s="243" t="s">
        <v>181</v>
      </c>
      <c r="D3" s="487"/>
      <c r="E3" s="487"/>
      <c r="F3" s="487"/>
      <c r="G3" s="487"/>
      <c r="H3" s="488"/>
      <c r="I3" s="488"/>
      <c r="J3" s="488"/>
      <c r="K3" s="488"/>
      <c r="L3" s="488"/>
      <c r="M3" s="488"/>
      <c r="N3" s="488"/>
    </row>
    <row r="4" spans="1:14" ht="13">
      <c r="A4" s="487"/>
      <c r="C4" s="243" t="str">
        <f>'Program MW '!H3</f>
        <v>July 2021</v>
      </c>
      <c r="D4" s="487"/>
      <c r="E4" s="487"/>
      <c r="F4" s="487"/>
      <c r="G4" s="487"/>
      <c r="H4" s="488"/>
      <c r="I4" s="488"/>
      <c r="J4" s="488"/>
      <c r="K4" s="488"/>
      <c r="L4" s="488"/>
      <c r="M4" s="488"/>
      <c r="N4" s="488"/>
    </row>
    <row r="5" spans="1:14" ht="13">
      <c r="A5" s="487"/>
      <c r="C5" s="243"/>
      <c r="D5" s="487"/>
      <c r="E5" s="487"/>
      <c r="F5" s="487"/>
      <c r="G5" s="487"/>
      <c r="H5" s="488"/>
      <c r="I5" s="488"/>
      <c r="J5" s="488"/>
      <c r="K5" s="488"/>
      <c r="L5" s="488"/>
      <c r="M5" s="488"/>
      <c r="N5" s="488"/>
    </row>
    <row r="7" spans="1:14" ht="15.5">
      <c r="A7" s="742" t="s">
        <v>182</v>
      </c>
      <c r="B7" s="743"/>
      <c r="C7" s="743"/>
      <c r="D7" s="743"/>
      <c r="E7" s="743"/>
      <c r="F7" s="743"/>
      <c r="G7" s="744"/>
      <c r="H7" s="488"/>
      <c r="I7" s="488"/>
      <c r="J7" s="488"/>
      <c r="K7" s="488"/>
      <c r="L7" s="488"/>
      <c r="M7" s="488"/>
      <c r="N7" s="488"/>
    </row>
    <row r="8" spans="1:14" ht="28">
      <c r="A8" s="489" t="s">
        <v>175</v>
      </c>
      <c r="B8" s="489" t="s">
        <v>183</v>
      </c>
      <c r="C8" s="490" t="s">
        <v>178</v>
      </c>
      <c r="D8" s="489" t="s">
        <v>184</v>
      </c>
      <c r="E8" s="491" t="s">
        <v>185</v>
      </c>
      <c r="F8" s="491" t="s">
        <v>186</v>
      </c>
      <c r="G8" s="491" t="s">
        <v>187</v>
      </c>
      <c r="H8" s="488"/>
      <c r="I8" s="488"/>
      <c r="J8" s="488"/>
      <c r="K8" s="488"/>
      <c r="L8" s="488"/>
      <c r="M8" s="488"/>
      <c r="N8" s="488"/>
    </row>
    <row r="9" spans="1:14" s="488" customFormat="1" ht="14.25" customHeight="1">
      <c r="A9" s="710" t="s">
        <v>324</v>
      </c>
      <c r="B9" s="711">
        <v>1</v>
      </c>
      <c r="C9" s="712">
        <v>44364</v>
      </c>
      <c r="D9" s="713" t="s">
        <v>314</v>
      </c>
      <c r="E9" s="714">
        <v>2.0273845333333331</v>
      </c>
      <c r="F9" s="715" t="s">
        <v>325</v>
      </c>
      <c r="G9" s="711">
        <v>3</v>
      </c>
    </row>
    <row r="10" spans="1:14" s="488" customFormat="1" ht="14.25" customHeight="1">
      <c r="A10" s="710" t="s">
        <v>92</v>
      </c>
      <c r="B10" s="711">
        <v>2</v>
      </c>
      <c r="C10" s="712">
        <v>44364</v>
      </c>
      <c r="D10" s="713" t="s">
        <v>326</v>
      </c>
      <c r="E10" s="714">
        <v>0.26278600531131435</v>
      </c>
      <c r="F10" s="715" t="s">
        <v>315</v>
      </c>
      <c r="G10" s="711">
        <v>2</v>
      </c>
    </row>
    <row r="11" spans="1:14" s="488" customFormat="1" ht="14.25" customHeight="1">
      <c r="A11" s="710" t="s">
        <v>317</v>
      </c>
      <c r="B11" s="711">
        <v>3</v>
      </c>
      <c r="C11" s="712">
        <v>44362</v>
      </c>
      <c r="D11" s="713" t="s">
        <v>318</v>
      </c>
      <c r="E11" s="714">
        <v>0.69502343333333327</v>
      </c>
      <c r="F11" s="715" t="s">
        <v>319</v>
      </c>
      <c r="G11" s="711">
        <v>3</v>
      </c>
    </row>
    <row r="12" spans="1:14" s="488" customFormat="1" ht="14.25" customHeight="1">
      <c r="A12" s="710" t="s">
        <v>320</v>
      </c>
      <c r="B12" s="711">
        <v>4</v>
      </c>
      <c r="C12" s="712">
        <v>44362</v>
      </c>
      <c r="D12" s="713" t="s">
        <v>318</v>
      </c>
      <c r="E12" s="714">
        <v>0.62630815000000006</v>
      </c>
      <c r="F12" s="715" t="s">
        <v>315</v>
      </c>
      <c r="G12" s="711">
        <v>2</v>
      </c>
    </row>
    <row r="13" spans="1:14" s="488" customFormat="1" ht="14.25" customHeight="1">
      <c r="A13" s="710" t="s">
        <v>321</v>
      </c>
      <c r="B13" s="711">
        <v>5</v>
      </c>
      <c r="C13" s="712">
        <v>44362</v>
      </c>
      <c r="D13" s="713" t="s">
        <v>322</v>
      </c>
      <c r="E13" s="714">
        <v>3.0679685000000001</v>
      </c>
      <c r="F13" s="715" t="s">
        <v>315</v>
      </c>
      <c r="G13" s="711">
        <v>2</v>
      </c>
    </row>
    <row r="14" spans="1:14" s="488" customFormat="1" ht="14.25" customHeight="1">
      <c r="A14" s="710" t="s">
        <v>317</v>
      </c>
      <c r="B14" s="711">
        <v>6</v>
      </c>
      <c r="C14" s="712">
        <v>44363</v>
      </c>
      <c r="D14" s="713" t="s">
        <v>318</v>
      </c>
      <c r="E14" s="714">
        <v>0.78972344999999999</v>
      </c>
      <c r="F14" s="715" t="s">
        <v>323</v>
      </c>
      <c r="G14" s="711">
        <v>5</v>
      </c>
    </row>
    <row r="15" spans="1:14" s="488" customFormat="1" ht="14.25" customHeight="1">
      <c r="A15" s="710" t="s">
        <v>320</v>
      </c>
      <c r="B15" s="711">
        <v>7</v>
      </c>
      <c r="C15" s="712">
        <v>44363</v>
      </c>
      <c r="D15" s="713" t="s">
        <v>318</v>
      </c>
      <c r="E15" s="714">
        <v>0.51411545000000003</v>
      </c>
      <c r="F15" s="715" t="s">
        <v>315</v>
      </c>
      <c r="G15" s="711">
        <v>4</v>
      </c>
    </row>
    <row r="16" spans="1:14" s="488" customFormat="1" ht="14.25" customHeight="1">
      <c r="A16" s="710" t="s">
        <v>321</v>
      </c>
      <c r="B16" s="711">
        <v>8</v>
      </c>
      <c r="C16" s="712">
        <v>44363</v>
      </c>
      <c r="D16" s="713" t="s">
        <v>322</v>
      </c>
      <c r="E16" s="714">
        <v>2.6918065000000002</v>
      </c>
      <c r="F16" s="715" t="s">
        <v>315</v>
      </c>
      <c r="G16" s="711">
        <v>4</v>
      </c>
    </row>
    <row r="17" spans="1:7" s="488" customFormat="1" ht="14.25" customHeight="1">
      <c r="A17" s="710" t="s">
        <v>317</v>
      </c>
      <c r="B17" s="711">
        <v>9</v>
      </c>
      <c r="C17" s="712">
        <v>44364</v>
      </c>
      <c r="D17" s="713" t="s">
        <v>318</v>
      </c>
      <c r="E17" s="714">
        <v>0.85352819999999996</v>
      </c>
      <c r="F17" s="715" t="s">
        <v>323</v>
      </c>
      <c r="G17" s="711">
        <v>7</v>
      </c>
    </row>
    <row r="18" spans="1:7" s="488" customFormat="1" ht="14.25" customHeight="1">
      <c r="A18" s="710" t="s">
        <v>320</v>
      </c>
      <c r="B18" s="711">
        <v>10</v>
      </c>
      <c r="C18" s="712">
        <v>44364</v>
      </c>
      <c r="D18" s="713" t="s">
        <v>318</v>
      </c>
      <c r="E18" s="714">
        <v>0.49246373333333332</v>
      </c>
      <c r="F18" s="715" t="s">
        <v>325</v>
      </c>
      <c r="G18" s="711">
        <v>7</v>
      </c>
    </row>
    <row r="19" spans="1:7" s="488" customFormat="1" ht="14.25" customHeight="1">
      <c r="A19" s="710" t="s">
        <v>321</v>
      </c>
      <c r="B19" s="711">
        <v>11</v>
      </c>
      <c r="C19" s="712">
        <v>44364</v>
      </c>
      <c r="D19" s="713" t="s">
        <v>322</v>
      </c>
      <c r="E19" s="714">
        <v>2.6815739999999999</v>
      </c>
      <c r="F19" s="715" t="s">
        <v>325</v>
      </c>
      <c r="G19" s="711">
        <v>7</v>
      </c>
    </row>
    <row r="20" spans="1:7" s="488" customFormat="1" ht="14.25" customHeight="1">
      <c r="A20" s="710" t="s">
        <v>313</v>
      </c>
      <c r="B20" s="711">
        <v>12</v>
      </c>
      <c r="C20" s="712">
        <v>44362</v>
      </c>
      <c r="D20" s="713" t="s">
        <v>314</v>
      </c>
      <c r="E20" s="714">
        <v>0.73429339999999999</v>
      </c>
      <c r="F20" s="715" t="s">
        <v>315</v>
      </c>
      <c r="G20" s="711">
        <v>2</v>
      </c>
    </row>
    <row r="21" spans="1:7" s="488" customFormat="1" ht="14.25" customHeight="1">
      <c r="A21" s="710" t="s">
        <v>316</v>
      </c>
      <c r="B21" s="711">
        <v>13</v>
      </c>
      <c r="C21" s="712">
        <v>44362</v>
      </c>
      <c r="D21" s="713" t="s">
        <v>314</v>
      </c>
      <c r="E21" s="714">
        <v>-0.32388844999999999</v>
      </c>
      <c r="F21" s="715" t="s">
        <v>315</v>
      </c>
      <c r="G21" s="711">
        <v>2</v>
      </c>
    </row>
    <row r="22" spans="1:7" s="488" customFormat="1" ht="14.25" customHeight="1">
      <c r="A22" s="710" t="s">
        <v>313</v>
      </c>
      <c r="B22" s="711">
        <v>14</v>
      </c>
      <c r="C22" s="712">
        <v>44363</v>
      </c>
      <c r="D22" s="713" t="s">
        <v>314</v>
      </c>
      <c r="E22" s="714">
        <v>0.34984634999999997</v>
      </c>
      <c r="F22" s="715" t="s">
        <v>315</v>
      </c>
      <c r="G22" s="711">
        <v>4</v>
      </c>
    </row>
    <row r="23" spans="1:7" s="488" customFormat="1" ht="14.25" customHeight="1">
      <c r="A23" s="710" t="s">
        <v>316</v>
      </c>
      <c r="B23" s="711">
        <v>15</v>
      </c>
      <c r="C23" s="712">
        <v>44363</v>
      </c>
      <c r="D23" s="713" t="s">
        <v>314</v>
      </c>
      <c r="E23" s="714">
        <v>0.85613500000000009</v>
      </c>
      <c r="F23" s="715" t="s">
        <v>315</v>
      </c>
      <c r="G23" s="711">
        <v>4</v>
      </c>
    </row>
    <row r="24" spans="1:7" s="488" customFormat="1" ht="14.25" customHeight="1">
      <c r="A24" s="710" t="s">
        <v>313</v>
      </c>
      <c r="B24" s="711">
        <v>16</v>
      </c>
      <c r="C24" s="712">
        <v>44364</v>
      </c>
      <c r="D24" s="713" t="s">
        <v>314</v>
      </c>
      <c r="E24" s="714">
        <v>1.1166212333333334</v>
      </c>
      <c r="F24" s="715" t="s">
        <v>325</v>
      </c>
      <c r="G24" s="711">
        <v>7</v>
      </c>
    </row>
    <row r="25" spans="1:7" s="488" customFormat="1" ht="14.25" customHeight="1">
      <c r="A25" s="710" t="s">
        <v>316</v>
      </c>
      <c r="B25" s="711">
        <v>17</v>
      </c>
      <c r="C25" s="712">
        <v>44364</v>
      </c>
      <c r="D25" s="713" t="s">
        <v>314</v>
      </c>
      <c r="E25" s="714">
        <v>1.0483366333333333</v>
      </c>
      <c r="F25" s="715" t="s">
        <v>325</v>
      </c>
      <c r="G25" s="711">
        <v>7</v>
      </c>
    </row>
    <row r="26" spans="1:7" s="488" customFormat="1" ht="14.25" customHeight="1">
      <c r="A26" s="710" t="s">
        <v>317</v>
      </c>
      <c r="B26" s="711">
        <v>18</v>
      </c>
      <c r="C26" s="712">
        <v>44375</v>
      </c>
      <c r="D26" s="713" t="s">
        <v>318</v>
      </c>
      <c r="E26" s="714">
        <v>0.79716555</v>
      </c>
      <c r="F26" s="715" t="s">
        <v>327</v>
      </c>
      <c r="G26" s="711">
        <v>11</v>
      </c>
    </row>
    <row r="27" spans="1:7" s="488" customFormat="1" ht="14.25" customHeight="1">
      <c r="A27" s="710" t="s">
        <v>320</v>
      </c>
      <c r="B27" s="711">
        <v>19</v>
      </c>
      <c r="C27" s="712">
        <v>44375</v>
      </c>
      <c r="D27" s="713" t="s">
        <v>318</v>
      </c>
      <c r="E27" s="714">
        <v>0.27668389999999998</v>
      </c>
      <c r="F27" s="715" t="s">
        <v>328</v>
      </c>
      <c r="G27" s="711">
        <v>11</v>
      </c>
    </row>
    <row r="28" spans="1:7" s="488" customFormat="1" ht="14.25" customHeight="1">
      <c r="A28" s="710" t="s">
        <v>321</v>
      </c>
      <c r="B28" s="711">
        <v>20</v>
      </c>
      <c r="C28" s="712">
        <v>44375</v>
      </c>
      <c r="D28" s="713" t="s">
        <v>322</v>
      </c>
      <c r="E28" s="714">
        <v>2.7157193333333329</v>
      </c>
      <c r="F28" s="715" t="s">
        <v>325</v>
      </c>
      <c r="G28" s="711">
        <v>10</v>
      </c>
    </row>
    <row r="29" spans="1:7" s="488" customFormat="1" ht="14.25" customHeight="1">
      <c r="A29" s="710" t="s">
        <v>317</v>
      </c>
      <c r="B29" s="711">
        <v>21</v>
      </c>
      <c r="C29" s="712">
        <v>44376</v>
      </c>
      <c r="D29" s="713" t="s">
        <v>318</v>
      </c>
      <c r="E29" s="714">
        <v>0.2094193</v>
      </c>
      <c r="F29" s="715" t="s">
        <v>327</v>
      </c>
      <c r="G29" s="711">
        <v>15</v>
      </c>
    </row>
    <row r="30" spans="1:7" s="488" customFormat="1" ht="14.25" customHeight="1">
      <c r="A30" s="710" t="s">
        <v>320</v>
      </c>
      <c r="B30" s="711">
        <v>22</v>
      </c>
      <c r="C30" s="712">
        <v>44376</v>
      </c>
      <c r="D30" s="713" t="s">
        <v>318</v>
      </c>
      <c r="E30" s="714">
        <v>0.36333464999999998</v>
      </c>
      <c r="F30" s="715" t="s">
        <v>328</v>
      </c>
      <c r="G30" s="711">
        <v>15</v>
      </c>
    </row>
    <row r="31" spans="1:7" s="488" customFormat="1" ht="14.25" customHeight="1">
      <c r="A31" s="710" t="s">
        <v>321</v>
      </c>
      <c r="B31" s="711">
        <v>23</v>
      </c>
      <c r="C31" s="712">
        <v>44376</v>
      </c>
      <c r="D31" s="713" t="s">
        <v>322</v>
      </c>
      <c r="E31" s="714">
        <v>2.6900766666666667</v>
      </c>
      <c r="F31" s="715" t="s">
        <v>325</v>
      </c>
      <c r="G31" s="711">
        <v>13</v>
      </c>
    </row>
    <row r="32" spans="1:7" s="488" customFormat="1" ht="14.25" customHeight="1">
      <c r="A32" s="710" t="s">
        <v>320</v>
      </c>
      <c r="B32" s="711">
        <v>24</v>
      </c>
      <c r="C32" s="712">
        <v>44377</v>
      </c>
      <c r="D32" s="713" t="s">
        <v>318</v>
      </c>
      <c r="E32" s="714">
        <v>0.42822079999999996</v>
      </c>
      <c r="F32" s="715" t="s">
        <v>329</v>
      </c>
      <c r="G32" s="711">
        <v>17</v>
      </c>
    </row>
    <row r="33" spans="1:7" s="488" customFormat="1" ht="14.25" customHeight="1">
      <c r="A33" s="710" t="s">
        <v>317</v>
      </c>
      <c r="B33" s="711">
        <v>24</v>
      </c>
      <c r="C33" s="712">
        <v>44386</v>
      </c>
      <c r="D33" s="713" t="s">
        <v>318</v>
      </c>
      <c r="E33" s="714">
        <v>0.68832539999999998</v>
      </c>
      <c r="F33" s="715" t="s">
        <v>323</v>
      </c>
      <c r="G33" s="711">
        <v>17</v>
      </c>
    </row>
    <row r="34" spans="1:7" s="488" customFormat="1" ht="14.25" customHeight="1">
      <c r="A34" s="710" t="s">
        <v>321</v>
      </c>
      <c r="B34" s="711">
        <v>24</v>
      </c>
      <c r="C34" s="712">
        <v>44386</v>
      </c>
      <c r="D34" s="713" t="s">
        <v>322</v>
      </c>
      <c r="E34" s="714">
        <v>2.5531534999999996</v>
      </c>
      <c r="F34" s="715" t="s">
        <v>315</v>
      </c>
      <c r="G34" s="711">
        <v>15</v>
      </c>
    </row>
    <row r="35" spans="1:7" s="488" customFormat="1" ht="14.25" customHeight="1">
      <c r="A35" s="710" t="s">
        <v>317</v>
      </c>
      <c r="B35" s="711">
        <v>24</v>
      </c>
      <c r="C35" s="712">
        <v>44389</v>
      </c>
      <c r="D35" s="713" t="s">
        <v>318</v>
      </c>
      <c r="E35" s="714">
        <v>0.72287075000000001</v>
      </c>
      <c r="F35" s="715" t="s">
        <v>323</v>
      </c>
      <c r="G35" s="711">
        <v>19</v>
      </c>
    </row>
    <row r="36" spans="1:7" s="488" customFormat="1" ht="14.25" customHeight="1">
      <c r="A36" s="710" t="s">
        <v>321</v>
      </c>
      <c r="B36" s="711">
        <v>24</v>
      </c>
      <c r="C36" s="712">
        <v>44389</v>
      </c>
      <c r="D36" s="713" t="s">
        <v>322</v>
      </c>
      <c r="E36" s="714">
        <v>2.5085666666666668</v>
      </c>
      <c r="F36" s="715" t="s">
        <v>325</v>
      </c>
      <c r="G36" s="711">
        <v>18</v>
      </c>
    </row>
    <row r="37" spans="1:7" s="488" customFormat="1" ht="14.25" customHeight="1">
      <c r="A37" s="710" t="s">
        <v>324</v>
      </c>
      <c r="B37" s="711">
        <v>24</v>
      </c>
      <c r="C37" s="712">
        <v>44389</v>
      </c>
      <c r="D37" s="713" t="s">
        <v>314</v>
      </c>
      <c r="E37" s="714">
        <v>2.3349113999999993</v>
      </c>
      <c r="F37" s="715" t="s">
        <v>315</v>
      </c>
      <c r="G37" s="711">
        <v>5</v>
      </c>
    </row>
    <row r="38" spans="1:7" s="488" customFormat="1" ht="14.25" customHeight="1">
      <c r="A38" s="710" t="s">
        <v>313</v>
      </c>
      <c r="B38" s="711">
        <v>24</v>
      </c>
      <c r="C38" s="712">
        <v>44389</v>
      </c>
      <c r="D38" s="713" t="s">
        <v>314</v>
      </c>
      <c r="E38" s="714">
        <v>0.65402595000000008</v>
      </c>
      <c r="F38" s="715" t="s">
        <v>315</v>
      </c>
      <c r="G38" s="711">
        <v>9</v>
      </c>
    </row>
    <row r="39" spans="1:7" s="488" customFormat="1" ht="14.25" customHeight="1">
      <c r="A39" s="710" t="s">
        <v>316</v>
      </c>
      <c r="B39" s="711">
        <v>24</v>
      </c>
      <c r="C39" s="712">
        <v>44389</v>
      </c>
      <c r="D39" s="713" t="s">
        <v>314</v>
      </c>
      <c r="E39" s="714">
        <v>0.70323639999999998</v>
      </c>
      <c r="F39" s="715" t="s">
        <v>315</v>
      </c>
      <c r="G39" s="711">
        <v>9</v>
      </c>
    </row>
    <row r="40" spans="1:7" s="488" customFormat="1" ht="14.25" customHeight="1">
      <c r="A40" s="710" t="s">
        <v>317</v>
      </c>
      <c r="B40" s="711">
        <v>24</v>
      </c>
      <c r="C40" s="712">
        <v>44396</v>
      </c>
      <c r="D40" s="713" t="s">
        <v>318</v>
      </c>
      <c r="E40" s="714">
        <v>0.73354839999999999</v>
      </c>
      <c r="F40" s="715" t="s">
        <v>323</v>
      </c>
      <c r="G40" s="711">
        <v>21</v>
      </c>
    </row>
    <row r="41" spans="1:7" s="488" customFormat="1" ht="14.25" customHeight="1">
      <c r="A41" s="710" t="s">
        <v>321</v>
      </c>
      <c r="B41" s="711">
        <v>24</v>
      </c>
      <c r="C41" s="712">
        <v>44396</v>
      </c>
      <c r="D41" s="713" t="s">
        <v>322</v>
      </c>
      <c r="E41" s="714">
        <v>3.2947680000000004</v>
      </c>
      <c r="F41" s="715" t="s">
        <v>315</v>
      </c>
      <c r="G41" s="711">
        <v>20</v>
      </c>
    </row>
    <row r="42" spans="1:7" s="488" customFormat="1" ht="14.25" customHeight="1">
      <c r="A42" s="710" t="s">
        <v>317</v>
      </c>
      <c r="B42" s="711">
        <v>24</v>
      </c>
      <c r="C42" s="712">
        <v>44405</v>
      </c>
      <c r="D42" s="713" t="s">
        <v>318</v>
      </c>
      <c r="E42" s="714">
        <v>0.84053200000000006</v>
      </c>
      <c r="F42" s="715" t="s">
        <v>323</v>
      </c>
      <c r="G42" s="711">
        <v>23</v>
      </c>
    </row>
    <row r="43" spans="1:7" s="488" customFormat="1" ht="14.25" customHeight="1">
      <c r="A43" s="710" t="s">
        <v>321</v>
      </c>
      <c r="B43" s="711">
        <v>24</v>
      </c>
      <c r="C43" s="712">
        <v>44405</v>
      </c>
      <c r="D43" s="713" t="s">
        <v>322</v>
      </c>
      <c r="E43" s="714">
        <v>2.5504420000000003</v>
      </c>
      <c r="F43" s="715" t="s">
        <v>315</v>
      </c>
      <c r="G43" s="711">
        <v>22</v>
      </c>
    </row>
    <row r="44" spans="1:7" ht="14.25" customHeight="1">
      <c r="A44" s="710" t="s">
        <v>317</v>
      </c>
      <c r="B44" s="711">
        <v>24</v>
      </c>
      <c r="C44" s="712">
        <v>44406</v>
      </c>
      <c r="D44" s="713" t="s">
        <v>318</v>
      </c>
      <c r="E44" s="714">
        <v>0.77588670000000004</v>
      </c>
      <c r="F44" s="715" t="s">
        <v>323</v>
      </c>
      <c r="G44" s="711">
        <v>25</v>
      </c>
    </row>
    <row r="45" spans="1:7" ht="14.25" customHeight="1">
      <c r="A45" s="710" t="s">
        <v>321</v>
      </c>
      <c r="B45" s="711">
        <v>24</v>
      </c>
      <c r="C45" s="712">
        <v>44406</v>
      </c>
      <c r="D45" s="713" t="s">
        <v>322</v>
      </c>
      <c r="E45" s="714">
        <v>2.6163205</v>
      </c>
      <c r="F45" s="715" t="s">
        <v>315</v>
      </c>
      <c r="G45" s="711">
        <v>24</v>
      </c>
    </row>
    <row r="46" spans="1:7" ht="14.25" customHeight="1">
      <c r="A46" s="710" t="s">
        <v>313</v>
      </c>
      <c r="B46" s="711">
        <v>24</v>
      </c>
      <c r="C46" s="712">
        <v>44406</v>
      </c>
      <c r="D46" s="713" t="s">
        <v>314</v>
      </c>
      <c r="E46" s="714">
        <v>-0.24348183333333331</v>
      </c>
      <c r="F46" s="715" t="s">
        <v>325</v>
      </c>
      <c r="G46" s="711">
        <v>12</v>
      </c>
    </row>
    <row r="47" spans="1:7" ht="14.25" customHeight="1">
      <c r="A47" s="710" t="s">
        <v>316</v>
      </c>
      <c r="B47" s="711">
        <v>24</v>
      </c>
      <c r="C47" s="712">
        <v>44406</v>
      </c>
      <c r="D47" s="713" t="s">
        <v>314</v>
      </c>
      <c r="E47" s="714">
        <v>0.29244086666666669</v>
      </c>
      <c r="F47" s="715" t="s">
        <v>325</v>
      </c>
      <c r="G47" s="711">
        <v>12</v>
      </c>
    </row>
    <row r="48" spans="1:7" ht="14.25" customHeight="1">
      <c r="A48" s="710" t="s">
        <v>317</v>
      </c>
      <c r="B48" s="711">
        <v>24</v>
      </c>
      <c r="C48" s="712">
        <v>44407</v>
      </c>
      <c r="D48" s="713" t="s">
        <v>318</v>
      </c>
      <c r="E48" s="714">
        <v>0.76378650000000003</v>
      </c>
      <c r="F48" s="715" t="s">
        <v>327</v>
      </c>
      <c r="G48" s="711">
        <v>29</v>
      </c>
    </row>
    <row r="49" spans="1:7" ht="14.25" customHeight="1">
      <c r="A49" s="710" t="s">
        <v>321</v>
      </c>
      <c r="B49" s="711">
        <v>24</v>
      </c>
      <c r="C49" s="712">
        <v>44407</v>
      </c>
      <c r="D49" s="713" t="s">
        <v>322</v>
      </c>
      <c r="E49" s="714">
        <v>3.6944135</v>
      </c>
      <c r="F49" s="715" t="s">
        <v>328</v>
      </c>
      <c r="G49" s="711">
        <v>28</v>
      </c>
    </row>
    <row r="50" spans="1:7" ht="14.25" customHeight="1">
      <c r="A50" s="710" t="s">
        <v>324</v>
      </c>
      <c r="B50" s="711">
        <v>24</v>
      </c>
      <c r="C50" s="712">
        <v>44406</v>
      </c>
      <c r="D50" s="713" t="s">
        <v>314</v>
      </c>
      <c r="E50" s="714">
        <v>2.3803409999999992</v>
      </c>
      <c r="F50" s="715" t="s">
        <v>325</v>
      </c>
      <c r="G50" s="711">
        <v>8</v>
      </c>
    </row>
    <row r="52" spans="1:7" ht="14.25" customHeight="1">
      <c r="A52" s="492" t="s">
        <v>63</v>
      </c>
    </row>
    <row r="53" spans="1:7" ht="14.25" customHeight="1">
      <c r="A53" s="632" t="s">
        <v>351</v>
      </c>
    </row>
    <row r="54" spans="1:7" ht="14.25" customHeight="1">
      <c r="A54" s="716" t="s">
        <v>352</v>
      </c>
    </row>
    <row r="55" spans="1:7" ht="14.25" customHeight="1">
      <c r="A55" s="717" t="s">
        <v>353</v>
      </c>
    </row>
    <row r="56" spans="1:7" ht="14.25" customHeight="1">
      <c r="A56" s="438" t="s">
        <v>64</v>
      </c>
    </row>
  </sheetData>
  <mergeCells count="1">
    <mergeCell ref="A7:G7"/>
  </mergeCells>
  <phoneticPr fontId="0" type="noConversion"/>
  <printOptions horizontalCentered="1"/>
  <pageMargins left="0" right="0" top="0.55000000000000004" bottom="0.17" header="0.3" footer="0.15"/>
  <pageSetup paperSize="5" scale="87" orientation="landscape" cellComments="atEnd" r:id="rId1"/>
  <headerFooter alignWithMargins="0">
    <oddHeader xml:space="preserve">&amp;C&amp;"Arial,Bold"
</oddHeader>
    <oddFooter>&amp;Rpage 8 of 11
&amp;A
&amp;D  &amp;T</oddFooter>
  </headerFooter>
  <customProperties>
    <customPr name="_pios_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0"/>
    <pageSetUpPr fitToPage="1"/>
  </sheetPr>
  <dimension ref="A2:N48"/>
  <sheetViews>
    <sheetView showRuler="0" showWhiteSpace="0" topLeftCell="A7" zoomScale="80" zoomScaleNormal="80" workbookViewId="0">
      <selection activeCell="G17" sqref="G17"/>
    </sheetView>
  </sheetViews>
  <sheetFormatPr defaultColWidth="9.26953125" defaultRowHeight="12.5"/>
  <cols>
    <col min="1" max="1" width="48" style="44" customWidth="1"/>
    <col min="2" max="3" width="13" style="44" customWidth="1"/>
    <col min="4" max="13" width="13.453125" style="44" customWidth="1"/>
    <col min="14" max="14" width="23.26953125" style="44" bestFit="1" customWidth="1"/>
    <col min="15" max="16384" width="9.26953125" style="44"/>
  </cols>
  <sheetData>
    <row r="2" spans="1:13" ht="20">
      <c r="B2" s="333" t="s">
        <v>39</v>
      </c>
      <c r="C2" s="43"/>
      <c r="D2" s="43"/>
      <c r="E2" s="334"/>
      <c r="F2" s="334"/>
      <c r="G2" s="334"/>
      <c r="H2" s="334"/>
      <c r="I2" s="334"/>
      <c r="J2" s="334"/>
      <c r="K2" s="334"/>
      <c r="L2" s="334"/>
      <c r="M2" s="334"/>
    </row>
    <row r="3" spans="1:13" ht="18">
      <c r="B3" s="745" t="s">
        <v>112</v>
      </c>
      <c r="C3" s="745"/>
      <c r="D3" s="745"/>
      <c r="E3" s="745"/>
      <c r="F3" s="745"/>
      <c r="G3" s="745"/>
      <c r="H3" s="745"/>
      <c r="I3" s="745"/>
      <c r="J3" s="745"/>
      <c r="K3" s="745"/>
      <c r="L3" s="745"/>
      <c r="M3" s="745"/>
    </row>
    <row r="4" spans="1:13" ht="18">
      <c r="A4" s="163"/>
      <c r="B4" s="43"/>
      <c r="C4" s="43"/>
      <c r="D4" s="43"/>
      <c r="E4" s="43"/>
      <c r="F4" s="335"/>
      <c r="G4" s="746" t="str">
        <f>'Program MW '!H3</f>
        <v>July 2021</v>
      </c>
      <c r="H4" s="746"/>
      <c r="I4" s="335"/>
      <c r="J4" s="43"/>
      <c r="K4" s="43"/>
      <c r="L4" s="43"/>
      <c r="M4" s="43"/>
    </row>
    <row r="5" spans="1:13">
      <c r="B5" s="199"/>
      <c r="C5" s="199"/>
      <c r="D5" s="199"/>
    </row>
    <row r="7" spans="1:13" ht="21.75" customHeight="1">
      <c r="A7" s="94"/>
      <c r="B7" s="164" t="s">
        <v>10</v>
      </c>
      <c r="C7" s="164" t="s">
        <v>28</v>
      </c>
      <c r="D7" s="164" t="s">
        <v>43</v>
      </c>
      <c r="E7" s="164" t="s">
        <v>44</v>
      </c>
      <c r="F7" s="164" t="s">
        <v>113</v>
      </c>
      <c r="G7" s="164" t="s">
        <v>45</v>
      </c>
      <c r="H7" s="164" t="s">
        <v>59</v>
      </c>
      <c r="I7" s="164" t="s">
        <v>66</v>
      </c>
      <c r="J7" s="164" t="s">
        <v>67</v>
      </c>
      <c r="K7" s="164" t="s">
        <v>61</v>
      </c>
      <c r="L7" s="164" t="s">
        <v>68</v>
      </c>
      <c r="M7" s="165" t="s">
        <v>62</v>
      </c>
    </row>
    <row r="8" spans="1:13" ht="26">
      <c r="A8" s="275" t="s">
        <v>114</v>
      </c>
      <c r="B8" s="294" t="s">
        <v>86</v>
      </c>
      <c r="C8" s="128" t="s">
        <v>86</v>
      </c>
      <c r="D8" s="128" t="s">
        <v>86</v>
      </c>
      <c r="E8" s="128" t="s">
        <v>86</v>
      </c>
      <c r="F8" s="128" t="s">
        <v>86</v>
      </c>
      <c r="G8" s="128" t="s">
        <v>86</v>
      </c>
      <c r="H8" s="128" t="s">
        <v>86</v>
      </c>
      <c r="I8" s="128" t="s">
        <v>86</v>
      </c>
      <c r="J8" s="128" t="s">
        <v>86</v>
      </c>
      <c r="K8" s="128" t="s">
        <v>86</v>
      </c>
      <c r="L8" s="128" t="s">
        <v>115</v>
      </c>
      <c r="M8" s="128" t="s">
        <v>115</v>
      </c>
    </row>
    <row r="9" spans="1:13">
      <c r="A9" s="293" t="s">
        <v>89</v>
      </c>
      <c r="B9" s="295">
        <v>1.23E-2</v>
      </c>
      <c r="C9" s="295">
        <v>1.23E-2</v>
      </c>
      <c r="D9" s="295">
        <v>9.0899999999999995E-2</v>
      </c>
      <c r="E9" s="295">
        <v>9.0899999999999995E-2</v>
      </c>
      <c r="F9" s="295">
        <v>9.0899999999999995E-2</v>
      </c>
      <c r="G9" s="295">
        <v>9.0899999999999995E-2</v>
      </c>
      <c r="H9" s="295">
        <v>0</v>
      </c>
      <c r="I9" s="295">
        <v>0</v>
      </c>
      <c r="J9" s="295">
        <v>0</v>
      </c>
      <c r="K9" s="295">
        <v>0</v>
      </c>
      <c r="L9" s="295">
        <v>0</v>
      </c>
      <c r="M9" s="295">
        <v>0</v>
      </c>
    </row>
    <row r="10" spans="1:13">
      <c r="A10" s="293" t="s">
        <v>90</v>
      </c>
      <c r="B10" s="295">
        <v>0</v>
      </c>
      <c r="C10" s="295">
        <v>0</v>
      </c>
      <c r="D10" s="295">
        <v>0</v>
      </c>
      <c r="E10" s="295">
        <v>0</v>
      </c>
      <c r="F10" s="295">
        <v>0</v>
      </c>
      <c r="G10" s="295">
        <v>0</v>
      </c>
      <c r="H10" s="295">
        <v>0</v>
      </c>
      <c r="I10" s="295">
        <v>0</v>
      </c>
      <c r="J10" s="295">
        <v>0</v>
      </c>
      <c r="K10" s="295">
        <v>0</v>
      </c>
      <c r="L10" s="295">
        <v>0</v>
      </c>
      <c r="M10" s="295">
        <v>0</v>
      </c>
    </row>
    <row r="11" spans="1:13">
      <c r="A11" s="167" t="s">
        <v>116</v>
      </c>
      <c r="B11" s="295">
        <v>0</v>
      </c>
      <c r="C11" s="295">
        <v>0</v>
      </c>
      <c r="D11" s="295">
        <v>0</v>
      </c>
      <c r="E11" s="295">
        <v>0</v>
      </c>
      <c r="F11" s="295">
        <v>0</v>
      </c>
      <c r="G11" s="295">
        <v>0</v>
      </c>
      <c r="H11" s="295">
        <v>0</v>
      </c>
      <c r="I11" s="295">
        <v>0</v>
      </c>
      <c r="J11" s="295">
        <v>0</v>
      </c>
      <c r="K11" s="295">
        <v>0</v>
      </c>
      <c r="L11" s="295">
        <v>0</v>
      </c>
      <c r="M11" s="295">
        <v>0</v>
      </c>
    </row>
    <row r="12" spans="1:13">
      <c r="A12" s="167" t="s">
        <v>117</v>
      </c>
      <c r="B12" s="295">
        <v>0</v>
      </c>
      <c r="C12" s="295">
        <v>0</v>
      </c>
      <c r="D12" s="295">
        <v>0</v>
      </c>
      <c r="E12" s="295">
        <v>0</v>
      </c>
      <c r="F12" s="295">
        <v>0</v>
      </c>
      <c r="G12" s="295">
        <v>0</v>
      </c>
      <c r="H12" s="295">
        <v>0</v>
      </c>
      <c r="I12" s="295">
        <v>0</v>
      </c>
      <c r="J12" s="295">
        <v>0</v>
      </c>
      <c r="K12" s="295">
        <v>0</v>
      </c>
      <c r="L12" s="295">
        <v>0</v>
      </c>
      <c r="M12" s="295">
        <v>0</v>
      </c>
    </row>
    <row r="13" spans="1:13" s="43" customFormat="1" ht="13">
      <c r="A13" s="166" t="s">
        <v>91</v>
      </c>
      <c r="B13" s="106">
        <f t="shared" ref="B13:G13" si="0">SUM(B9:B12)</f>
        <v>1.23E-2</v>
      </c>
      <c r="C13" s="106">
        <f t="shared" si="0"/>
        <v>1.23E-2</v>
      </c>
      <c r="D13" s="106">
        <f t="shared" si="0"/>
        <v>9.0899999999999995E-2</v>
      </c>
      <c r="E13" s="106">
        <f t="shared" si="0"/>
        <v>9.0899999999999995E-2</v>
      </c>
      <c r="F13" s="106">
        <f t="shared" ref="F13" si="1">SUM(F9:F12)</f>
        <v>9.0899999999999995E-2</v>
      </c>
      <c r="G13" s="106">
        <f t="shared" si="0"/>
        <v>9.0899999999999995E-2</v>
      </c>
      <c r="H13" s="60">
        <f t="shared" ref="H13" si="2">SUM(H9:H12)</f>
        <v>0</v>
      </c>
      <c r="I13" s="60">
        <f t="shared" ref="I13:M13" si="3">SUM(I9:I12)</f>
        <v>0</v>
      </c>
      <c r="J13" s="60">
        <f t="shared" si="3"/>
        <v>0</v>
      </c>
      <c r="K13" s="60">
        <f>SUM(K9:K12)</f>
        <v>0</v>
      </c>
      <c r="L13" s="60">
        <f>SUM(L9:L12)</f>
        <v>0</v>
      </c>
      <c r="M13" s="60">
        <f t="shared" si="3"/>
        <v>0</v>
      </c>
    </row>
    <row r="14" spans="1:13" s="51" customFormat="1" ht="13">
      <c r="A14" s="43"/>
      <c r="B14" s="47"/>
      <c r="C14" s="49"/>
      <c r="D14" s="49"/>
      <c r="E14" s="49"/>
      <c r="F14" s="49"/>
      <c r="G14" s="49"/>
    </row>
    <row r="15" spans="1:13" ht="14">
      <c r="A15" s="247" t="s">
        <v>63</v>
      </c>
      <c r="G15" s="45"/>
    </row>
    <row r="16" spans="1:13" ht="15.5">
      <c r="A16" s="368" t="s">
        <v>118</v>
      </c>
      <c r="B16" s="199"/>
      <c r="C16" s="199"/>
      <c r="D16" s="285"/>
      <c r="E16" s="285"/>
      <c r="F16" s="285"/>
      <c r="G16" s="199"/>
      <c r="H16" s="199"/>
      <c r="I16" s="199"/>
      <c r="J16" s="199"/>
      <c r="K16" s="199"/>
    </row>
    <row r="17" spans="1:14" ht="15.5">
      <c r="A17" s="367"/>
    </row>
    <row r="20" spans="1:14" ht="21.75" customHeight="1">
      <c r="A20" s="94"/>
      <c r="B20" s="164" t="s">
        <v>10</v>
      </c>
      <c r="C20" s="164" t="s">
        <v>28</v>
      </c>
      <c r="D20" s="164" t="s">
        <v>43</v>
      </c>
      <c r="E20" s="164" t="s">
        <v>44</v>
      </c>
      <c r="F20" s="164" t="s">
        <v>113</v>
      </c>
      <c r="G20" s="164" t="s">
        <v>45</v>
      </c>
      <c r="H20" s="164" t="s">
        <v>59</v>
      </c>
      <c r="I20" s="164" t="s">
        <v>66</v>
      </c>
      <c r="J20" s="164" t="s">
        <v>67</v>
      </c>
      <c r="K20" s="164" t="s">
        <v>61</v>
      </c>
      <c r="L20" s="164" t="s">
        <v>68</v>
      </c>
      <c r="M20" s="165" t="s">
        <v>62</v>
      </c>
      <c r="N20" s="337"/>
    </row>
    <row r="21" spans="1:14" ht="52">
      <c r="A21" s="274" t="s">
        <v>114</v>
      </c>
      <c r="B21" s="128" t="s">
        <v>119</v>
      </c>
      <c r="C21" s="128" t="str">
        <f>B21</f>
        <v>Technology Deployment- Residential MWs</v>
      </c>
      <c r="D21" s="128" t="str">
        <f>B21</f>
        <v>Technology Deployment- Residential MWs</v>
      </c>
      <c r="E21" s="128" t="str">
        <f t="shared" ref="E21:M21" si="4">C21</f>
        <v>Technology Deployment- Residential MWs</v>
      </c>
      <c r="F21" s="128" t="str">
        <f t="shared" si="4"/>
        <v>Technology Deployment- Residential MWs</v>
      </c>
      <c r="G21" s="128" t="str">
        <f t="shared" si="4"/>
        <v>Technology Deployment- Residential MWs</v>
      </c>
      <c r="H21" s="128" t="str">
        <f t="shared" si="4"/>
        <v>Technology Deployment- Residential MWs</v>
      </c>
      <c r="I21" s="128" t="str">
        <f t="shared" si="4"/>
        <v>Technology Deployment- Residential MWs</v>
      </c>
      <c r="J21" s="128" t="str">
        <f t="shared" si="4"/>
        <v>Technology Deployment- Residential MWs</v>
      </c>
      <c r="K21" s="128" t="str">
        <f t="shared" si="4"/>
        <v>Technology Deployment- Residential MWs</v>
      </c>
      <c r="L21" s="128" t="str">
        <f t="shared" si="4"/>
        <v>Technology Deployment- Residential MWs</v>
      </c>
      <c r="M21" s="128" t="str">
        <f t="shared" si="4"/>
        <v>Technology Deployment- Residential MWs</v>
      </c>
      <c r="N21" s="337"/>
    </row>
    <row r="22" spans="1:14">
      <c r="A22" s="167" t="s">
        <v>17</v>
      </c>
      <c r="B22" s="57">
        <f>'Program MW '!D14</f>
        <v>5.5603200000000008</v>
      </c>
      <c r="C22" s="57">
        <f>'Program MW '!G14</f>
        <v>5.5289600000000005</v>
      </c>
      <c r="D22" s="57">
        <f>'Program MW '!J14</f>
        <v>5.1198614791035659</v>
      </c>
      <c r="E22" s="57">
        <f>'Program MW '!M14</f>
        <v>5.1898279145658019</v>
      </c>
      <c r="F22" s="57">
        <f>'Program MW '!P14</f>
        <v>5.1438842895627026</v>
      </c>
      <c r="G22" s="57">
        <f>'Program MW '!S14</f>
        <v>4.3910694667994976</v>
      </c>
      <c r="H22" s="57">
        <f>'Program MW '!D36</f>
        <v>4.4907641302049166</v>
      </c>
      <c r="I22" s="57">
        <v>0</v>
      </c>
      <c r="J22" s="57">
        <v>0</v>
      </c>
      <c r="K22" s="57">
        <v>0</v>
      </c>
      <c r="L22" s="57">
        <v>0</v>
      </c>
      <c r="M22" s="57">
        <v>0</v>
      </c>
      <c r="N22" s="337"/>
    </row>
    <row r="23" spans="1:14">
      <c r="A23" s="167" t="s">
        <v>27</v>
      </c>
      <c r="B23" s="57">
        <f>'Ex post LI &amp; Eligibility Stats'!B11*1203/1000</f>
        <v>0.38496000000000002</v>
      </c>
      <c r="C23" s="57">
        <f>'Ex post LI &amp; Eligibility Stats'!C11*1269/1000</f>
        <v>0.40608</v>
      </c>
      <c r="D23" s="57">
        <f>'Ex post LI &amp; Eligibility Stats'!D11*1142/1000</f>
        <v>0.34292561930418014</v>
      </c>
      <c r="E23" s="57">
        <f>'Ex post LI &amp; Eligibility Stats'!E11*1150/1000</f>
        <v>0.34532790035009386</v>
      </c>
      <c r="F23" s="57">
        <f>'Ex post LI &amp; Eligibility Stats'!F11*1131/1000</f>
        <v>0.33962248286604879</v>
      </c>
      <c r="G23" s="57">
        <f>'Ex post LI &amp; Eligibility Stats'!G11*1000/1000</f>
        <v>0.30028513073921204</v>
      </c>
      <c r="H23" s="57">
        <f>'Ex post LI &amp; Eligibility Stats'!H11*1012/1000</f>
        <v>0.30388855230808259</v>
      </c>
      <c r="I23" s="57">
        <v>0</v>
      </c>
      <c r="J23" s="57">
        <v>0</v>
      </c>
      <c r="K23" s="57">
        <v>0</v>
      </c>
      <c r="L23" s="57">
        <v>0</v>
      </c>
      <c r="M23" s="57">
        <v>0</v>
      </c>
    </row>
    <row r="24" spans="1:14">
      <c r="A24" s="167" t="s">
        <v>117</v>
      </c>
      <c r="B24" s="57">
        <f>'Ex post LI &amp; Eligibility Stats'!B11*1929/1000</f>
        <v>0.61727999999999994</v>
      </c>
      <c r="C24" s="57">
        <f>'Ex post LI &amp; Eligibility Stats'!C11*1911/1000</f>
        <v>0.61151999999999995</v>
      </c>
      <c r="D24" s="57">
        <f>'Ex post LI &amp; Eligibility Stats'!D11*1490/1000</f>
        <v>0.44742484480142591</v>
      </c>
      <c r="E24" s="57">
        <f>'Ex post LI &amp; Eligibility Stats'!E11*1490/1000</f>
        <v>0.44742484480142591</v>
      </c>
      <c r="F24" s="57">
        <f>'Ex post LI &amp; Eligibility Stats'!F11*1490/1000</f>
        <v>0.44742484480142591</v>
      </c>
      <c r="G24" s="57">
        <f>'Ex post LI &amp; Eligibility Stats'!G11*1490/1000</f>
        <v>0.44742484480142591</v>
      </c>
      <c r="H24" s="57">
        <f>'Ex post LI &amp; Eligibility Stats'!H11*1490/1000</f>
        <v>0.44742484480142591</v>
      </c>
      <c r="I24" s="57">
        <v>0</v>
      </c>
      <c r="J24" s="57">
        <v>0</v>
      </c>
      <c r="K24" s="57">
        <v>0</v>
      </c>
      <c r="L24" s="57">
        <v>0</v>
      </c>
      <c r="M24" s="57">
        <v>0</v>
      </c>
    </row>
    <row r="25" spans="1:14" s="43" customFormat="1" ht="13">
      <c r="A25" s="166" t="s">
        <v>91</v>
      </c>
      <c r="B25" s="106">
        <f t="shared" ref="B25:H25" si="5">SUM(B22:B24)</f>
        <v>6.5625600000000013</v>
      </c>
      <c r="C25" s="60">
        <f t="shared" si="5"/>
        <v>6.5465600000000004</v>
      </c>
      <c r="D25" s="60">
        <f t="shared" si="5"/>
        <v>5.9102119432091724</v>
      </c>
      <c r="E25" s="60">
        <f t="shared" ref="E25" si="6">SUM(E22:E24)</f>
        <v>5.9825806597173221</v>
      </c>
      <c r="F25" s="60">
        <f t="shared" ref="F25" si="7">SUM(F22:F24)</f>
        <v>5.9309316172301774</v>
      </c>
      <c r="G25" s="60">
        <f t="shared" si="5"/>
        <v>5.1387794423401356</v>
      </c>
      <c r="H25" s="60">
        <f t="shared" si="5"/>
        <v>5.2420775273144251</v>
      </c>
      <c r="I25" s="60">
        <f t="shared" ref="I25:J25" si="8">SUM(I22:I24)</f>
        <v>0</v>
      </c>
      <c r="J25" s="60">
        <f t="shared" si="8"/>
        <v>0</v>
      </c>
      <c r="K25" s="60">
        <f>SUM(K22:K24)</f>
        <v>0</v>
      </c>
      <c r="L25" s="60">
        <f>SUM(L22:L24)</f>
        <v>0</v>
      </c>
      <c r="M25" s="60">
        <f t="shared" ref="M25" si="9">SUM(M22:M24)</f>
        <v>0</v>
      </c>
    </row>
    <row r="26" spans="1:14" s="51" customFormat="1" ht="13">
      <c r="A26" s="43"/>
      <c r="B26" s="47"/>
      <c r="C26" s="49"/>
      <c r="D26" s="49"/>
      <c r="E26" s="49"/>
      <c r="F26" s="49"/>
      <c r="G26" s="49"/>
    </row>
    <row r="27" spans="1:14" ht="14">
      <c r="A27" s="247" t="s">
        <v>63</v>
      </c>
      <c r="G27" s="45"/>
    </row>
    <row r="28" spans="1:14" ht="15.5">
      <c r="A28" s="366" t="s">
        <v>120</v>
      </c>
      <c r="G28" s="45"/>
    </row>
    <row r="29" spans="1:14" ht="15.5">
      <c r="A29" s="367"/>
      <c r="C29" s="45"/>
      <c r="D29" s="45"/>
      <c r="E29" s="45"/>
      <c r="F29" s="45"/>
      <c r="G29" s="45"/>
    </row>
    <row r="30" spans="1:14">
      <c r="C30" s="45"/>
      <c r="D30" s="45"/>
      <c r="E30" s="45"/>
      <c r="F30" s="45"/>
      <c r="G30" s="45"/>
    </row>
    <row r="31" spans="1:14" ht="21.75" customHeight="1">
      <c r="A31" s="94"/>
      <c r="B31" s="164" t="s">
        <v>10</v>
      </c>
      <c r="C31" s="164" t="s">
        <v>28</v>
      </c>
      <c r="D31" s="164" t="s">
        <v>43</v>
      </c>
      <c r="E31" s="164" t="s">
        <v>44</v>
      </c>
      <c r="F31" s="164" t="s">
        <v>113</v>
      </c>
      <c r="G31" s="164" t="s">
        <v>45</v>
      </c>
      <c r="H31" s="164" t="s">
        <v>59</v>
      </c>
      <c r="I31" s="164" t="s">
        <v>66</v>
      </c>
      <c r="J31" s="164" t="s">
        <v>67</v>
      </c>
      <c r="K31" s="164" t="s">
        <v>61</v>
      </c>
      <c r="L31" s="164" t="s">
        <v>68</v>
      </c>
      <c r="M31" s="165" t="s">
        <v>62</v>
      </c>
    </row>
    <row r="32" spans="1:14" ht="52">
      <c r="A32" s="274" t="s">
        <v>114</v>
      </c>
      <c r="B32" s="128" t="s">
        <v>121</v>
      </c>
      <c r="C32" s="128" t="str">
        <f>B32</f>
        <v>Technology Deployment- Commercial MWs</v>
      </c>
      <c r="D32" s="128" t="str">
        <f>B32</f>
        <v>Technology Deployment- Commercial MWs</v>
      </c>
      <c r="E32" s="128" t="str">
        <f t="shared" ref="E32" si="10">C32</f>
        <v>Technology Deployment- Commercial MWs</v>
      </c>
      <c r="F32" s="128" t="str">
        <f t="shared" ref="F32" si="11">D32</f>
        <v>Technology Deployment- Commercial MWs</v>
      </c>
      <c r="G32" s="128" t="str">
        <f t="shared" ref="G32" si="12">E32</f>
        <v>Technology Deployment- Commercial MWs</v>
      </c>
      <c r="H32" s="128" t="str">
        <f t="shared" ref="H32" si="13">F32</f>
        <v>Technology Deployment- Commercial MWs</v>
      </c>
      <c r="I32" s="128" t="s">
        <v>122</v>
      </c>
      <c r="J32" s="128" t="str">
        <f t="shared" ref="J32" si="14">H32</f>
        <v>Technology Deployment- Commercial MWs</v>
      </c>
      <c r="K32" s="128" t="str">
        <f>B32</f>
        <v>Technology Deployment- Commercial MWs</v>
      </c>
      <c r="L32" s="128" t="s">
        <v>122</v>
      </c>
      <c r="M32" s="128" t="str">
        <f t="shared" ref="M32" si="15">K32</f>
        <v>Technology Deployment- Commercial MWs</v>
      </c>
    </row>
    <row r="33" spans="1:13">
      <c r="A33" s="167" t="s">
        <v>20</v>
      </c>
      <c r="B33" s="57">
        <f>'Program MW '!D15</f>
        <v>0.32384000000000002</v>
      </c>
      <c r="C33" s="57">
        <f>'Program MW '!G15</f>
        <v>0.32384000000000002</v>
      </c>
      <c r="D33" s="57">
        <f>'Program MW '!J15</f>
        <v>0.12431036806106567</v>
      </c>
      <c r="E33" s="57">
        <f>'Program MW '!M15</f>
        <v>0.12431036806106567</v>
      </c>
      <c r="F33" s="57">
        <f>'Program MW '!P15</f>
        <v>0.11874423217773437</v>
      </c>
      <c r="G33" s="57">
        <f>'Program MW '!S15</f>
        <v>0.10946733903884888</v>
      </c>
      <c r="H33" s="57">
        <f>'Program MW '!D37</f>
        <v>0.11549731957912444</v>
      </c>
      <c r="I33" s="57">
        <v>0</v>
      </c>
      <c r="J33" s="57">
        <v>0</v>
      </c>
      <c r="K33" s="57">
        <v>0</v>
      </c>
      <c r="L33" s="57">
        <v>0</v>
      </c>
      <c r="M33" s="57">
        <v>0</v>
      </c>
    </row>
    <row r="34" spans="1:13">
      <c r="A34" s="167" t="s">
        <v>26</v>
      </c>
      <c r="B34" s="57">
        <f>'Ex post LI &amp; Eligibility Stats'!B12*741/1000</f>
        <v>0.34086</v>
      </c>
      <c r="C34" s="57">
        <f>'Ex post LI &amp; Eligibility Stats'!C12*738/1000</f>
        <v>0.33948</v>
      </c>
      <c r="D34" s="57">
        <f>'Ex post LI &amp; Eligibility Stats'!D12*483/1000</f>
        <v>0.22403696930408479</v>
      </c>
      <c r="E34" s="57">
        <f>'Ex post LI &amp; Eligibility Stats'!E12*483/1000</f>
        <v>0.22403696930408479</v>
      </c>
      <c r="F34" s="57">
        <f>'Ex post LI &amp; Eligibility Stats'!F12*472/1000</f>
        <v>0.21893467807769776</v>
      </c>
      <c r="G34" s="57">
        <f>'Ex post LI &amp; Eligibility Stats'!G12*396/1000</f>
        <v>0.18368248414993285</v>
      </c>
      <c r="H34" s="57">
        <f>'Ex post LI &amp; Eligibility Stats'!H12*398/1000</f>
        <v>0.18461017346382141</v>
      </c>
      <c r="I34" s="57">
        <v>0</v>
      </c>
      <c r="J34" s="57">
        <v>0</v>
      </c>
      <c r="K34" s="57">
        <v>0</v>
      </c>
      <c r="L34" s="57">
        <v>0</v>
      </c>
      <c r="M34" s="57">
        <v>0</v>
      </c>
    </row>
    <row r="35" spans="1:13">
      <c r="A35" s="434" t="s">
        <v>55</v>
      </c>
      <c r="B35" s="413">
        <v>0</v>
      </c>
      <c r="C35" s="413">
        <v>0</v>
      </c>
      <c r="D35" s="413">
        <v>0</v>
      </c>
      <c r="E35" s="413">
        <v>0</v>
      </c>
      <c r="F35" s="413">
        <v>0</v>
      </c>
      <c r="G35" s="413">
        <v>0</v>
      </c>
      <c r="H35" s="678">
        <v>0</v>
      </c>
      <c r="I35" s="57">
        <v>0</v>
      </c>
      <c r="J35" s="57">
        <v>0</v>
      </c>
      <c r="K35" s="57">
        <v>0</v>
      </c>
      <c r="L35" s="57">
        <v>0</v>
      </c>
      <c r="M35" s="57">
        <v>0</v>
      </c>
    </row>
    <row r="36" spans="1:13">
      <c r="A36" s="167" t="s">
        <v>89</v>
      </c>
      <c r="B36" s="57">
        <f>'Ex post LI &amp; Eligibility Stats'!B12*364/1000</f>
        <v>0.16744000000000001</v>
      </c>
      <c r="C36" s="57">
        <f>'Ex post LI &amp; Eligibility Stats'!C12*360/1000</f>
        <v>0.1656</v>
      </c>
      <c r="D36" s="57">
        <f>'Ex post LI &amp; Eligibility Stats'!D12*297/1000</f>
        <v>0.13776186311244965</v>
      </c>
      <c r="E36" s="57">
        <f>'Ex post LI &amp; Eligibility Stats'!E12*294/1000</f>
        <v>0.13637032914161681</v>
      </c>
      <c r="F36" s="57">
        <f>'Ex post LI &amp; Eligibility Stats'!F12*280/1000</f>
        <v>0.12987650394439698</v>
      </c>
      <c r="G36" s="57">
        <f>'Ex post LI &amp; Eligibility Stats'!G12*235/1000</f>
        <v>0.1090034943819046</v>
      </c>
      <c r="H36" s="57">
        <f>'Ex post LI &amp; Eligibility Stats'!H12*233/1000</f>
        <v>0.10807580506801605</v>
      </c>
      <c r="I36" s="57">
        <v>0</v>
      </c>
      <c r="J36" s="57">
        <v>0</v>
      </c>
      <c r="K36" s="57">
        <v>0</v>
      </c>
      <c r="L36" s="57">
        <v>0</v>
      </c>
      <c r="M36" s="57">
        <v>0</v>
      </c>
    </row>
    <row r="37" spans="1:13">
      <c r="A37" s="167" t="s">
        <v>90</v>
      </c>
      <c r="B37" s="57">
        <v>0</v>
      </c>
      <c r="C37" s="57">
        <v>0</v>
      </c>
      <c r="D37" s="57">
        <f>'Program MW '!F18</f>
        <v>0</v>
      </c>
      <c r="E37" s="57">
        <f>'Program MW '!G18</f>
        <v>0</v>
      </c>
      <c r="F37" s="57">
        <v>0</v>
      </c>
      <c r="G37" s="57">
        <v>0</v>
      </c>
      <c r="H37" s="57">
        <v>0</v>
      </c>
      <c r="I37" s="57">
        <v>0</v>
      </c>
      <c r="J37" s="57">
        <v>0</v>
      </c>
      <c r="K37" s="57">
        <v>0</v>
      </c>
      <c r="L37" s="57">
        <v>0</v>
      </c>
      <c r="M37" s="57">
        <v>0</v>
      </c>
    </row>
    <row r="38" spans="1:13">
      <c r="A38" s="167" t="s">
        <v>116</v>
      </c>
      <c r="B38" s="57">
        <f>'Ex post LI &amp; Eligibility Stats'!B14*570/1000</f>
        <v>2.8500000000000001E-2</v>
      </c>
      <c r="C38" s="57">
        <f>'Ex post LI &amp; Eligibility Stats'!C14*570/1000</f>
        <v>2.8500000000000001E-2</v>
      </c>
      <c r="D38" s="57">
        <f>'Program MW '!F19</f>
        <v>0</v>
      </c>
      <c r="E38" s="57">
        <f>'Program MW '!G19</f>
        <v>0</v>
      </c>
      <c r="F38" s="57">
        <v>0</v>
      </c>
      <c r="G38" s="57">
        <v>0</v>
      </c>
      <c r="H38" s="57">
        <v>0</v>
      </c>
      <c r="I38" s="57">
        <v>0</v>
      </c>
      <c r="J38" s="57">
        <v>0</v>
      </c>
      <c r="K38" s="57">
        <v>0</v>
      </c>
      <c r="L38" s="57">
        <v>0</v>
      </c>
      <c r="M38" s="57">
        <v>0</v>
      </c>
    </row>
    <row r="39" spans="1:13">
      <c r="A39" s="167" t="s">
        <v>117</v>
      </c>
      <c r="B39" s="57">
        <f>'Ex post LI &amp; Eligibility Stats'!B15*2/1000</f>
        <v>3.5999999999999997E-2</v>
      </c>
      <c r="C39" s="57">
        <f>'Ex post LI &amp; Eligibility Stats'!C15*2/1000</f>
        <v>3.5999999999999997E-2</v>
      </c>
      <c r="D39" s="57">
        <f>'Ex post LI &amp; Eligibility Stats'!D15*1/1000</f>
        <v>1.7953320000000002E-2</v>
      </c>
      <c r="E39" s="57">
        <f>'Ex post LI &amp; Eligibility Stats'!E15*1/1000</f>
        <v>1.7953320000000002E-2</v>
      </c>
      <c r="F39" s="57">
        <v>0</v>
      </c>
      <c r="G39" s="57">
        <v>0</v>
      </c>
      <c r="H39" s="57">
        <v>0</v>
      </c>
      <c r="I39" s="57">
        <v>0</v>
      </c>
      <c r="J39" s="57">
        <v>0</v>
      </c>
      <c r="K39" s="57">
        <v>0</v>
      </c>
      <c r="L39" s="57">
        <v>0</v>
      </c>
      <c r="M39" s="57">
        <v>0</v>
      </c>
    </row>
    <row r="40" spans="1:13" s="43" customFormat="1" ht="13">
      <c r="A40" s="166" t="s">
        <v>91</v>
      </c>
      <c r="B40" s="106">
        <f t="shared" ref="B40:C40" si="16">SUM(B33:B39)</f>
        <v>0.8966400000000001</v>
      </c>
      <c r="C40" s="106">
        <f t="shared" si="16"/>
        <v>0.89341999999999999</v>
      </c>
      <c r="D40" s="106">
        <f t="shared" ref="D40:M40" si="17">SUM(D33:D39)</f>
        <v>0.50406252047760014</v>
      </c>
      <c r="E40" s="106">
        <f t="shared" ref="E40" si="18">SUM(E33:E39)</f>
        <v>0.50267098650676734</v>
      </c>
      <c r="F40" s="106">
        <f t="shared" ref="F40" si="19">SUM(F33:F39)</f>
        <v>0.4675554141998291</v>
      </c>
      <c r="G40" s="106">
        <f t="shared" si="17"/>
        <v>0.40215331757068634</v>
      </c>
      <c r="H40" s="106">
        <f t="shared" si="17"/>
        <v>0.40818329811096193</v>
      </c>
      <c r="I40" s="106">
        <f t="shared" si="17"/>
        <v>0</v>
      </c>
      <c r="J40" s="106">
        <f t="shared" ref="J40" si="20">SUM(J33:J39)</f>
        <v>0</v>
      </c>
      <c r="K40" s="106">
        <f>SUM(K33:K39)</f>
        <v>0</v>
      </c>
      <c r="L40" s="106">
        <f>SUM(L33:L39)</f>
        <v>0</v>
      </c>
      <c r="M40" s="106">
        <f t="shared" si="17"/>
        <v>0</v>
      </c>
    </row>
    <row r="41" spans="1:13">
      <c r="C41" s="45"/>
      <c r="D41" s="45"/>
      <c r="E41" s="45"/>
      <c r="F41" s="45"/>
      <c r="G41" s="45"/>
    </row>
    <row r="42" spans="1:13" ht="14">
      <c r="A42" s="247" t="s">
        <v>63</v>
      </c>
      <c r="G42" s="45"/>
    </row>
    <row r="43" spans="1:13" ht="14">
      <c r="A43" s="440"/>
      <c r="B43" s="199"/>
      <c r="C43" s="199"/>
      <c r="D43" s="285"/>
      <c r="E43" s="285"/>
      <c r="F43" s="285"/>
      <c r="G43" s="199"/>
      <c r="H43" s="199"/>
      <c r="I43" s="199"/>
      <c r="J43" s="199"/>
      <c r="K43" s="199"/>
    </row>
    <row r="44" spans="1:13" ht="14">
      <c r="A44" s="248" t="s">
        <v>64</v>
      </c>
    </row>
    <row r="46" spans="1:13" ht="14.5">
      <c r="A46" s="147" t="s">
        <v>56</v>
      </c>
    </row>
    <row r="48" spans="1:13">
      <c r="A48" s="208"/>
    </row>
  </sheetData>
  <mergeCells count="2">
    <mergeCell ref="B3:M3"/>
    <mergeCell ref="G4:H4"/>
  </mergeCells>
  <printOptions horizontalCentered="1"/>
  <pageMargins left="0" right="0" top="0.55000000000000004" bottom="0.17" header="0.3" footer="0.15"/>
  <pageSetup paperSize="5" scale="69" orientation="landscape" cellComments="atEnd" r:id="rId1"/>
  <headerFooter alignWithMargins="0">
    <oddHeader xml:space="preserve">&amp;C&amp;"Arial,Bold"
</oddHeader>
    <oddFooter>&amp;Rpage 4 of 12
&amp;A
&amp;D &amp;T</oddFooter>
  </headerFooter>
  <customProperties>
    <customPr name="_pios_id" r:id="rId2"/>
  </customProperti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DR45"/>
  <sheetViews>
    <sheetView zoomScale="90" zoomScaleNormal="90" workbookViewId="0">
      <pane xSplit="1" ySplit="10" topLeftCell="B11" activePane="bottomRight" state="frozen"/>
      <selection activeCell="B55" sqref="B55"/>
      <selection pane="topRight" activeCell="B55" sqref="B55"/>
      <selection pane="bottomLeft" activeCell="B55" sqref="B55"/>
      <selection pane="bottomRight" activeCell="F27" sqref="F27"/>
    </sheetView>
  </sheetViews>
  <sheetFormatPr defaultRowHeight="12"/>
  <cols>
    <col min="1" max="1" width="84.26953125" style="263" customWidth="1"/>
    <col min="2" max="3" width="12.7265625" style="263" customWidth="1"/>
    <col min="4" max="4" width="9.453125" style="263" bestFit="1" customWidth="1"/>
    <col min="5" max="10" width="12.7265625" style="263" customWidth="1"/>
    <col min="11" max="11" width="10.7265625" style="263" customWidth="1"/>
    <col min="12" max="13" width="12.7265625" style="263" customWidth="1"/>
    <col min="14" max="15" width="16.54296875" style="263" customWidth="1"/>
    <col min="16" max="16" width="16.54296875" style="263" hidden="1" customWidth="1"/>
    <col min="17" max="17" width="16.54296875" style="263" customWidth="1"/>
    <col min="18" max="256" width="9.26953125" style="263"/>
    <col min="257" max="257" width="70" style="263" customWidth="1"/>
    <col min="258" max="269" width="12.7265625" style="263" customWidth="1"/>
    <col min="270" max="270" width="11" style="263" customWidth="1"/>
    <col min="271" max="271" width="0" style="263" hidden="1" customWidth="1"/>
    <col min="272" max="273" width="11.7265625" style="263" customWidth="1"/>
    <col min="274" max="512" width="9.26953125" style="263"/>
    <col min="513" max="513" width="70" style="263" customWidth="1"/>
    <col min="514" max="525" width="12.7265625" style="263" customWidth="1"/>
    <col min="526" max="526" width="11" style="263" customWidth="1"/>
    <col min="527" max="527" width="0" style="263" hidden="1" customWidth="1"/>
    <col min="528" max="529" width="11.7265625" style="263" customWidth="1"/>
    <col min="530" max="768" width="9.26953125" style="263"/>
    <col min="769" max="769" width="70" style="263" customWidth="1"/>
    <col min="770" max="781" width="12.7265625" style="263" customWidth="1"/>
    <col min="782" max="782" width="11" style="263" customWidth="1"/>
    <col min="783" max="783" width="0" style="263" hidden="1" customWidth="1"/>
    <col min="784" max="785" width="11.7265625" style="263" customWidth="1"/>
    <col min="786" max="1024" width="9.26953125" style="263"/>
    <col min="1025" max="1025" width="70" style="263" customWidth="1"/>
    <col min="1026" max="1037" width="12.7265625" style="263" customWidth="1"/>
    <col min="1038" max="1038" width="11" style="263" customWidth="1"/>
    <col min="1039" max="1039" width="0" style="263" hidden="1" customWidth="1"/>
    <col min="1040" max="1041" width="11.7265625" style="263" customWidth="1"/>
    <col min="1042" max="1280" width="9.26953125" style="263"/>
    <col min="1281" max="1281" width="70" style="263" customWidth="1"/>
    <col min="1282" max="1293" width="12.7265625" style="263" customWidth="1"/>
    <col min="1294" max="1294" width="11" style="263" customWidth="1"/>
    <col min="1295" max="1295" width="0" style="263" hidden="1" customWidth="1"/>
    <col min="1296" max="1297" width="11.7265625" style="263" customWidth="1"/>
    <col min="1298" max="1536" width="9.26953125" style="263"/>
    <col min="1537" max="1537" width="70" style="263" customWidth="1"/>
    <col min="1538" max="1549" width="12.7265625" style="263" customWidth="1"/>
    <col min="1550" max="1550" width="11" style="263" customWidth="1"/>
    <col min="1551" max="1551" width="0" style="263" hidden="1" customWidth="1"/>
    <col min="1552" max="1553" width="11.7265625" style="263" customWidth="1"/>
    <col min="1554" max="1792" width="9.26953125" style="263"/>
    <col min="1793" max="1793" width="70" style="263" customWidth="1"/>
    <col min="1794" max="1805" width="12.7265625" style="263" customWidth="1"/>
    <col min="1806" max="1806" width="11" style="263" customWidth="1"/>
    <col min="1807" max="1807" width="0" style="263" hidden="1" customWidth="1"/>
    <col min="1808" max="1809" width="11.7265625" style="263" customWidth="1"/>
    <col min="1810" max="2048" width="9.26953125" style="263"/>
    <col min="2049" max="2049" width="70" style="263" customWidth="1"/>
    <col min="2050" max="2061" width="12.7265625" style="263" customWidth="1"/>
    <col min="2062" max="2062" width="11" style="263" customWidth="1"/>
    <col min="2063" max="2063" width="0" style="263" hidden="1" customWidth="1"/>
    <col min="2064" max="2065" width="11.7265625" style="263" customWidth="1"/>
    <col min="2066" max="2304" width="9.26953125" style="263"/>
    <col min="2305" max="2305" width="70" style="263" customWidth="1"/>
    <col min="2306" max="2317" width="12.7265625" style="263" customWidth="1"/>
    <col min="2318" max="2318" width="11" style="263" customWidth="1"/>
    <col min="2319" max="2319" width="0" style="263" hidden="1" customWidth="1"/>
    <col min="2320" max="2321" width="11.7265625" style="263" customWidth="1"/>
    <col min="2322" max="2560" width="9.26953125" style="263"/>
    <col min="2561" max="2561" width="70" style="263" customWidth="1"/>
    <col min="2562" max="2573" width="12.7265625" style="263" customWidth="1"/>
    <col min="2574" max="2574" width="11" style="263" customWidth="1"/>
    <col min="2575" max="2575" width="0" style="263" hidden="1" customWidth="1"/>
    <col min="2576" max="2577" width="11.7265625" style="263" customWidth="1"/>
    <col min="2578" max="2816" width="9.26953125" style="263"/>
    <col min="2817" max="2817" width="70" style="263" customWidth="1"/>
    <col min="2818" max="2829" width="12.7265625" style="263" customWidth="1"/>
    <col min="2830" max="2830" width="11" style="263" customWidth="1"/>
    <col min="2831" max="2831" width="0" style="263" hidden="1" customWidth="1"/>
    <col min="2832" max="2833" width="11.7265625" style="263" customWidth="1"/>
    <col min="2834" max="3072" width="9.26953125" style="263"/>
    <col min="3073" max="3073" width="70" style="263" customWidth="1"/>
    <col min="3074" max="3085" width="12.7265625" style="263" customWidth="1"/>
    <col min="3086" max="3086" width="11" style="263" customWidth="1"/>
    <col min="3087" max="3087" width="0" style="263" hidden="1" customWidth="1"/>
    <col min="3088" max="3089" width="11.7265625" style="263" customWidth="1"/>
    <col min="3090" max="3328" width="9.26953125" style="263"/>
    <col min="3329" max="3329" width="70" style="263" customWidth="1"/>
    <col min="3330" max="3341" width="12.7265625" style="263" customWidth="1"/>
    <col min="3342" max="3342" width="11" style="263" customWidth="1"/>
    <col min="3343" max="3343" width="0" style="263" hidden="1" customWidth="1"/>
    <col min="3344" max="3345" width="11.7265625" style="263" customWidth="1"/>
    <col min="3346" max="3584" width="9.26953125" style="263"/>
    <col min="3585" max="3585" width="70" style="263" customWidth="1"/>
    <col min="3586" max="3597" width="12.7265625" style="263" customWidth="1"/>
    <col min="3598" max="3598" width="11" style="263" customWidth="1"/>
    <col min="3599" max="3599" width="0" style="263" hidden="1" customWidth="1"/>
    <col min="3600" max="3601" width="11.7265625" style="263" customWidth="1"/>
    <col min="3602" max="3840" width="9.26953125" style="263"/>
    <col min="3841" max="3841" width="70" style="263" customWidth="1"/>
    <col min="3842" max="3853" width="12.7265625" style="263" customWidth="1"/>
    <col min="3854" max="3854" width="11" style="263" customWidth="1"/>
    <col min="3855" max="3855" width="0" style="263" hidden="1" customWidth="1"/>
    <col min="3856" max="3857" width="11.7265625" style="263" customWidth="1"/>
    <col min="3858" max="4096" width="9.26953125" style="263"/>
    <col min="4097" max="4097" width="70" style="263" customWidth="1"/>
    <col min="4098" max="4109" width="12.7265625" style="263" customWidth="1"/>
    <col min="4110" max="4110" width="11" style="263" customWidth="1"/>
    <col min="4111" max="4111" width="0" style="263" hidden="1" customWidth="1"/>
    <col min="4112" max="4113" width="11.7265625" style="263" customWidth="1"/>
    <col min="4114" max="4352" width="9.26953125" style="263"/>
    <col min="4353" max="4353" width="70" style="263" customWidth="1"/>
    <col min="4354" max="4365" width="12.7265625" style="263" customWidth="1"/>
    <col min="4366" max="4366" width="11" style="263" customWidth="1"/>
    <col min="4367" max="4367" width="0" style="263" hidden="1" customWidth="1"/>
    <col min="4368" max="4369" width="11.7265625" style="263" customWidth="1"/>
    <col min="4370" max="4608" width="9.26953125" style="263"/>
    <col min="4609" max="4609" width="70" style="263" customWidth="1"/>
    <col min="4610" max="4621" width="12.7265625" style="263" customWidth="1"/>
    <col min="4622" max="4622" width="11" style="263" customWidth="1"/>
    <col min="4623" max="4623" width="0" style="263" hidden="1" customWidth="1"/>
    <col min="4624" max="4625" width="11.7265625" style="263" customWidth="1"/>
    <col min="4626" max="4864" width="9.26953125" style="263"/>
    <col min="4865" max="4865" width="70" style="263" customWidth="1"/>
    <col min="4866" max="4877" width="12.7265625" style="263" customWidth="1"/>
    <col min="4878" max="4878" width="11" style="263" customWidth="1"/>
    <col min="4879" max="4879" width="0" style="263" hidden="1" customWidth="1"/>
    <col min="4880" max="4881" width="11.7265625" style="263" customWidth="1"/>
    <col min="4882" max="5120" width="9.26953125" style="263"/>
    <col min="5121" max="5121" width="70" style="263" customWidth="1"/>
    <col min="5122" max="5133" width="12.7265625" style="263" customWidth="1"/>
    <col min="5134" max="5134" width="11" style="263" customWidth="1"/>
    <col min="5135" max="5135" width="0" style="263" hidden="1" customWidth="1"/>
    <col min="5136" max="5137" width="11.7265625" style="263" customWidth="1"/>
    <col min="5138" max="5376" width="9.26953125" style="263"/>
    <col min="5377" max="5377" width="70" style="263" customWidth="1"/>
    <col min="5378" max="5389" width="12.7265625" style="263" customWidth="1"/>
    <col min="5390" max="5390" width="11" style="263" customWidth="1"/>
    <col min="5391" max="5391" width="0" style="263" hidden="1" customWidth="1"/>
    <col min="5392" max="5393" width="11.7265625" style="263" customWidth="1"/>
    <col min="5394" max="5632" width="9.26953125" style="263"/>
    <col min="5633" max="5633" width="70" style="263" customWidth="1"/>
    <col min="5634" max="5645" width="12.7265625" style="263" customWidth="1"/>
    <col min="5646" max="5646" width="11" style="263" customWidth="1"/>
    <col min="5647" max="5647" width="0" style="263" hidden="1" customWidth="1"/>
    <col min="5648" max="5649" width="11.7265625" style="263" customWidth="1"/>
    <col min="5650" max="5888" width="9.26953125" style="263"/>
    <col min="5889" max="5889" width="70" style="263" customWidth="1"/>
    <col min="5890" max="5901" width="12.7265625" style="263" customWidth="1"/>
    <col min="5902" max="5902" width="11" style="263" customWidth="1"/>
    <col min="5903" max="5903" width="0" style="263" hidden="1" customWidth="1"/>
    <col min="5904" max="5905" width="11.7265625" style="263" customWidth="1"/>
    <col min="5906" max="6144" width="9.26953125" style="263"/>
    <col min="6145" max="6145" width="70" style="263" customWidth="1"/>
    <col min="6146" max="6157" width="12.7265625" style="263" customWidth="1"/>
    <col min="6158" max="6158" width="11" style="263" customWidth="1"/>
    <col min="6159" max="6159" width="0" style="263" hidden="1" customWidth="1"/>
    <col min="6160" max="6161" width="11.7265625" style="263" customWidth="1"/>
    <col min="6162" max="6400" width="9.26953125" style="263"/>
    <col min="6401" max="6401" width="70" style="263" customWidth="1"/>
    <col min="6402" max="6413" width="12.7265625" style="263" customWidth="1"/>
    <col min="6414" max="6414" width="11" style="263" customWidth="1"/>
    <col min="6415" max="6415" width="0" style="263" hidden="1" customWidth="1"/>
    <col min="6416" max="6417" width="11.7265625" style="263" customWidth="1"/>
    <col min="6418" max="6656" width="9.26953125" style="263"/>
    <col min="6657" max="6657" width="70" style="263" customWidth="1"/>
    <col min="6658" max="6669" width="12.7265625" style="263" customWidth="1"/>
    <col min="6670" max="6670" width="11" style="263" customWidth="1"/>
    <col min="6671" max="6671" width="0" style="263" hidden="1" customWidth="1"/>
    <col min="6672" max="6673" width="11.7265625" style="263" customWidth="1"/>
    <col min="6674" max="6912" width="9.26953125" style="263"/>
    <col min="6913" max="6913" width="70" style="263" customWidth="1"/>
    <col min="6914" max="6925" width="12.7265625" style="263" customWidth="1"/>
    <col min="6926" max="6926" width="11" style="263" customWidth="1"/>
    <col min="6927" max="6927" width="0" style="263" hidden="1" customWidth="1"/>
    <col min="6928" max="6929" width="11.7265625" style="263" customWidth="1"/>
    <col min="6930" max="7168" width="9.26953125" style="263"/>
    <col min="7169" max="7169" width="70" style="263" customWidth="1"/>
    <col min="7170" max="7181" width="12.7265625" style="263" customWidth="1"/>
    <col min="7182" max="7182" width="11" style="263" customWidth="1"/>
    <col min="7183" max="7183" width="0" style="263" hidden="1" customWidth="1"/>
    <col min="7184" max="7185" width="11.7265625" style="263" customWidth="1"/>
    <col min="7186" max="7424" width="9.26953125" style="263"/>
    <col min="7425" max="7425" width="70" style="263" customWidth="1"/>
    <col min="7426" max="7437" width="12.7265625" style="263" customWidth="1"/>
    <col min="7438" max="7438" width="11" style="263" customWidth="1"/>
    <col min="7439" max="7439" width="0" style="263" hidden="1" customWidth="1"/>
    <col min="7440" max="7441" width="11.7265625" style="263" customWidth="1"/>
    <col min="7442" max="7680" width="9.26953125" style="263"/>
    <col min="7681" max="7681" width="70" style="263" customWidth="1"/>
    <col min="7682" max="7693" width="12.7265625" style="263" customWidth="1"/>
    <col min="7694" max="7694" width="11" style="263" customWidth="1"/>
    <col min="7695" max="7695" width="0" style="263" hidden="1" customWidth="1"/>
    <col min="7696" max="7697" width="11.7265625" style="263" customWidth="1"/>
    <col min="7698" max="7936" width="9.26953125" style="263"/>
    <col min="7937" max="7937" width="70" style="263" customWidth="1"/>
    <col min="7938" max="7949" width="12.7265625" style="263" customWidth="1"/>
    <col min="7950" max="7950" width="11" style="263" customWidth="1"/>
    <col min="7951" max="7951" width="0" style="263" hidden="1" customWidth="1"/>
    <col min="7952" max="7953" width="11.7265625" style="263" customWidth="1"/>
    <col min="7954" max="8192" width="9.26953125" style="263"/>
    <col min="8193" max="8193" width="70" style="263" customWidth="1"/>
    <col min="8194" max="8205" width="12.7265625" style="263" customWidth="1"/>
    <col min="8206" max="8206" width="11" style="263" customWidth="1"/>
    <col min="8207" max="8207" width="0" style="263" hidden="1" customWidth="1"/>
    <col min="8208" max="8209" width="11.7265625" style="263" customWidth="1"/>
    <col min="8210" max="8448" width="9.26953125" style="263"/>
    <col min="8449" max="8449" width="70" style="263" customWidth="1"/>
    <col min="8450" max="8461" width="12.7265625" style="263" customWidth="1"/>
    <col min="8462" max="8462" width="11" style="263" customWidth="1"/>
    <col min="8463" max="8463" width="0" style="263" hidden="1" customWidth="1"/>
    <col min="8464" max="8465" width="11.7265625" style="263" customWidth="1"/>
    <col min="8466" max="8704" width="9.26953125" style="263"/>
    <col min="8705" max="8705" width="70" style="263" customWidth="1"/>
    <col min="8706" max="8717" width="12.7265625" style="263" customWidth="1"/>
    <col min="8718" max="8718" width="11" style="263" customWidth="1"/>
    <col min="8719" max="8719" width="0" style="263" hidden="1" customWidth="1"/>
    <col min="8720" max="8721" width="11.7265625" style="263" customWidth="1"/>
    <col min="8722" max="8960" width="9.26953125" style="263"/>
    <col min="8961" max="8961" width="70" style="263" customWidth="1"/>
    <col min="8962" max="8973" width="12.7265625" style="263" customWidth="1"/>
    <col min="8974" max="8974" width="11" style="263" customWidth="1"/>
    <col min="8975" max="8975" width="0" style="263" hidden="1" customWidth="1"/>
    <col min="8976" max="8977" width="11.7265625" style="263" customWidth="1"/>
    <col min="8978" max="9216" width="9.26953125" style="263"/>
    <col min="9217" max="9217" width="70" style="263" customWidth="1"/>
    <col min="9218" max="9229" width="12.7265625" style="263" customWidth="1"/>
    <col min="9230" max="9230" width="11" style="263" customWidth="1"/>
    <col min="9231" max="9231" width="0" style="263" hidden="1" customWidth="1"/>
    <col min="9232" max="9233" width="11.7265625" style="263" customWidth="1"/>
    <col min="9234" max="9472" width="9.26953125" style="263"/>
    <col min="9473" max="9473" width="70" style="263" customWidth="1"/>
    <col min="9474" max="9485" width="12.7265625" style="263" customWidth="1"/>
    <col min="9486" max="9486" width="11" style="263" customWidth="1"/>
    <col min="9487" max="9487" width="0" style="263" hidden="1" customWidth="1"/>
    <col min="9488" max="9489" width="11.7265625" style="263" customWidth="1"/>
    <col min="9490" max="9728" width="9.26953125" style="263"/>
    <col min="9729" max="9729" width="70" style="263" customWidth="1"/>
    <col min="9730" max="9741" width="12.7265625" style="263" customWidth="1"/>
    <col min="9742" max="9742" width="11" style="263" customWidth="1"/>
    <col min="9743" max="9743" width="0" style="263" hidden="1" customWidth="1"/>
    <col min="9744" max="9745" width="11.7265625" style="263" customWidth="1"/>
    <col min="9746" max="9984" width="9.26953125" style="263"/>
    <col min="9985" max="9985" width="70" style="263" customWidth="1"/>
    <col min="9986" max="9997" width="12.7265625" style="263" customWidth="1"/>
    <col min="9998" max="9998" width="11" style="263" customWidth="1"/>
    <col min="9999" max="9999" width="0" style="263" hidden="1" customWidth="1"/>
    <col min="10000" max="10001" width="11.7265625" style="263" customWidth="1"/>
    <col min="10002" max="10240" width="9.26953125" style="263"/>
    <col min="10241" max="10241" width="70" style="263" customWidth="1"/>
    <col min="10242" max="10253" width="12.7265625" style="263" customWidth="1"/>
    <col min="10254" max="10254" width="11" style="263" customWidth="1"/>
    <col min="10255" max="10255" width="0" style="263" hidden="1" customWidth="1"/>
    <col min="10256" max="10257" width="11.7265625" style="263" customWidth="1"/>
    <col min="10258" max="10496" width="9.26953125" style="263"/>
    <col min="10497" max="10497" width="70" style="263" customWidth="1"/>
    <col min="10498" max="10509" width="12.7265625" style="263" customWidth="1"/>
    <col min="10510" max="10510" width="11" style="263" customWidth="1"/>
    <col min="10511" max="10511" width="0" style="263" hidden="1" customWidth="1"/>
    <col min="10512" max="10513" width="11.7265625" style="263" customWidth="1"/>
    <col min="10514" max="10752" width="9.26953125" style="263"/>
    <col min="10753" max="10753" width="70" style="263" customWidth="1"/>
    <col min="10754" max="10765" width="12.7265625" style="263" customWidth="1"/>
    <col min="10766" max="10766" width="11" style="263" customWidth="1"/>
    <col min="10767" max="10767" width="0" style="263" hidden="1" customWidth="1"/>
    <col min="10768" max="10769" width="11.7265625" style="263" customWidth="1"/>
    <col min="10770" max="11008" width="9.26953125" style="263"/>
    <col min="11009" max="11009" width="70" style="263" customWidth="1"/>
    <col min="11010" max="11021" width="12.7265625" style="263" customWidth="1"/>
    <col min="11022" max="11022" width="11" style="263" customWidth="1"/>
    <col min="11023" max="11023" width="0" style="263" hidden="1" customWidth="1"/>
    <col min="11024" max="11025" width="11.7265625" style="263" customWidth="1"/>
    <col min="11026" max="11264" width="9.26953125" style="263"/>
    <col min="11265" max="11265" width="70" style="263" customWidth="1"/>
    <col min="11266" max="11277" width="12.7265625" style="263" customWidth="1"/>
    <col min="11278" max="11278" width="11" style="263" customWidth="1"/>
    <col min="11279" max="11279" width="0" style="263" hidden="1" customWidth="1"/>
    <col min="11280" max="11281" width="11.7265625" style="263" customWidth="1"/>
    <col min="11282" max="11520" width="9.26953125" style="263"/>
    <col min="11521" max="11521" width="70" style="263" customWidth="1"/>
    <col min="11522" max="11533" width="12.7265625" style="263" customWidth="1"/>
    <col min="11534" max="11534" width="11" style="263" customWidth="1"/>
    <col min="11535" max="11535" width="0" style="263" hidden="1" customWidth="1"/>
    <col min="11536" max="11537" width="11.7265625" style="263" customWidth="1"/>
    <col min="11538" max="11776" width="9.26953125" style="263"/>
    <col min="11777" max="11777" width="70" style="263" customWidth="1"/>
    <col min="11778" max="11789" width="12.7265625" style="263" customWidth="1"/>
    <col min="11790" max="11790" width="11" style="263" customWidth="1"/>
    <col min="11791" max="11791" width="0" style="263" hidden="1" customWidth="1"/>
    <col min="11792" max="11793" width="11.7265625" style="263" customWidth="1"/>
    <col min="11794" max="12032" width="9.26953125" style="263"/>
    <col min="12033" max="12033" width="70" style="263" customWidth="1"/>
    <col min="12034" max="12045" width="12.7265625" style="263" customWidth="1"/>
    <col min="12046" max="12046" width="11" style="263" customWidth="1"/>
    <col min="12047" max="12047" width="0" style="263" hidden="1" customWidth="1"/>
    <col min="12048" max="12049" width="11.7265625" style="263" customWidth="1"/>
    <col min="12050" max="12288" width="9.26953125" style="263"/>
    <col min="12289" max="12289" width="70" style="263" customWidth="1"/>
    <col min="12290" max="12301" width="12.7265625" style="263" customWidth="1"/>
    <col min="12302" max="12302" width="11" style="263" customWidth="1"/>
    <col min="12303" max="12303" width="0" style="263" hidden="1" customWidth="1"/>
    <col min="12304" max="12305" width="11.7265625" style="263" customWidth="1"/>
    <col min="12306" max="12544" width="9.26953125" style="263"/>
    <col min="12545" max="12545" width="70" style="263" customWidth="1"/>
    <col min="12546" max="12557" width="12.7265625" style="263" customWidth="1"/>
    <col min="12558" max="12558" width="11" style="263" customWidth="1"/>
    <col min="12559" max="12559" width="0" style="263" hidden="1" customWidth="1"/>
    <col min="12560" max="12561" width="11.7265625" style="263" customWidth="1"/>
    <col min="12562" max="12800" width="9.26953125" style="263"/>
    <col min="12801" max="12801" width="70" style="263" customWidth="1"/>
    <col min="12802" max="12813" width="12.7265625" style="263" customWidth="1"/>
    <col min="12814" max="12814" width="11" style="263" customWidth="1"/>
    <col min="12815" max="12815" width="0" style="263" hidden="1" customWidth="1"/>
    <col min="12816" max="12817" width="11.7265625" style="263" customWidth="1"/>
    <col min="12818" max="13056" width="9.26953125" style="263"/>
    <col min="13057" max="13057" width="70" style="263" customWidth="1"/>
    <col min="13058" max="13069" width="12.7265625" style="263" customWidth="1"/>
    <col min="13070" max="13070" width="11" style="263" customWidth="1"/>
    <col min="13071" max="13071" width="0" style="263" hidden="1" customWidth="1"/>
    <col min="13072" max="13073" width="11.7265625" style="263" customWidth="1"/>
    <col min="13074" max="13312" width="9.26953125" style="263"/>
    <col min="13313" max="13313" width="70" style="263" customWidth="1"/>
    <col min="13314" max="13325" width="12.7265625" style="263" customWidth="1"/>
    <col min="13326" max="13326" width="11" style="263" customWidth="1"/>
    <col min="13327" max="13327" width="0" style="263" hidden="1" customWidth="1"/>
    <col min="13328" max="13329" width="11.7265625" style="263" customWidth="1"/>
    <col min="13330" max="13568" width="9.26953125" style="263"/>
    <col min="13569" max="13569" width="70" style="263" customWidth="1"/>
    <col min="13570" max="13581" width="12.7265625" style="263" customWidth="1"/>
    <col min="13582" max="13582" width="11" style="263" customWidth="1"/>
    <col min="13583" max="13583" width="0" style="263" hidden="1" customWidth="1"/>
    <col min="13584" max="13585" width="11.7265625" style="263" customWidth="1"/>
    <col min="13586" max="13824" width="9.26953125" style="263"/>
    <col min="13825" max="13825" width="70" style="263" customWidth="1"/>
    <col min="13826" max="13837" width="12.7265625" style="263" customWidth="1"/>
    <col min="13838" max="13838" width="11" style="263" customWidth="1"/>
    <col min="13839" max="13839" width="0" style="263" hidden="1" customWidth="1"/>
    <col min="13840" max="13841" width="11.7265625" style="263" customWidth="1"/>
    <col min="13842" max="14080" width="9.26953125" style="263"/>
    <col min="14081" max="14081" width="70" style="263" customWidth="1"/>
    <col min="14082" max="14093" width="12.7265625" style="263" customWidth="1"/>
    <col min="14094" max="14094" width="11" style="263" customWidth="1"/>
    <col min="14095" max="14095" width="0" style="263" hidden="1" customWidth="1"/>
    <col min="14096" max="14097" width="11.7265625" style="263" customWidth="1"/>
    <col min="14098" max="14336" width="9.26953125" style="263"/>
    <col min="14337" max="14337" width="70" style="263" customWidth="1"/>
    <col min="14338" max="14349" width="12.7265625" style="263" customWidth="1"/>
    <col min="14350" max="14350" width="11" style="263" customWidth="1"/>
    <col min="14351" max="14351" width="0" style="263" hidden="1" customWidth="1"/>
    <col min="14352" max="14353" width="11.7265625" style="263" customWidth="1"/>
    <col min="14354" max="14592" width="9.26953125" style="263"/>
    <col min="14593" max="14593" width="70" style="263" customWidth="1"/>
    <col min="14594" max="14605" width="12.7265625" style="263" customWidth="1"/>
    <col min="14606" max="14606" width="11" style="263" customWidth="1"/>
    <col min="14607" max="14607" width="0" style="263" hidden="1" customWidth="1"/>
    <col min="14608" max="14609" width="11.7265625" style="263" customWidth="1"/>
    <col min="14610" max="14848" width="9.26953125" style="263"/>
    <col min="14849" max="14849" width="70" style="263" customWidth="1"/>
    <col min="14850" max="14861" width="12.7265625" style="263" customWidth="1"/>
    <col min="14862" max="14862" width="11" style="263" customWidth="1"/>
    <col min="14863" max="14863" width="0" style="263" hidden="1" customWidth="1"/>
    <col min="14864" max="14865" width="11.7265625" style="263" customWidth="1"/>
    <col min="14866" max="15104" width="9.26953125" style="263"/>
    <col min="15105" max="15105" width="70" style="263" customWidth="1"/>
    <col min="15106" max="15117" width="12.7265625" style="263" customWidth="1"/>
    <col min="15118" max="15118" width="11" style="263" customWidth="1"/>
    <col min="15119" max="15119" width="0" style="263" hidden="1" customWidth="1"/>
    <col min="15120" max="15121" width="11.7265625" style="263" customWidth="1"/>
    <col min="15122" max="15360" width="9.26953125" style="263"/>
    <col min="15361" max="15361" width="70" style="263" customWidth="1"/>
    <col min="15362" max="15373" width="12.7265625" style="263" customWidth="1"/>
    <col min="15374" max="15374" width="11" style="263" customWidth="1"/>
    <col min="15375" max="15375" width="0" style="263" hidden="1" customWidth="1"/>
    <col min="15376" max="15377" width="11.7265625" style="263" customWidth="1"/>
    <col min="15378" max="15616" width="9.26953125" style="263"/>
    <col min="15617" max="15617" width="70" style="263" customWidth="1"/>
    <col min="15618" max="15629" width="12.7265625" style="263" customWidth="1"/>
    <col min="15630" max="15630" width="11" style="263" customWidth="1"/>
    <col min="15631" max="15631" width="0" style="263" hidden="1" customWidth="1"/>
    <col min="15632" max="15633" width="11.7265625" style="263" customWidth="1"/>
    <col min="15634" max="15872" width="9.26953125" style="263"/>
    <col min="15873" max="15873" width="70" style="263" customWidth="1"/>
    <col min="15874" max="15885" width="12.7265625" style="263" customWidth="1"/>
    <col min="15886" max="15886" width="11" style="263" customWidth="1"/>
    <col min="15887" max="15887" width="0" style="263" hidden="1" customWidth="1"/>
    <col min="15888" max="15889" width="11.7265625" style="263" customWidth="1"/>
    <col min="15890" max="16128" width="9.26953125" style="263"/>
    <col min="16129" max="16129" width="70" style="263" customWidth="1"/>
    <col min="16130" max="16141" width="12.7265625" style="263" customWidth="1"/>
    <col min="16142" max="16142" width="11" style="263" customWidth="1"/>
    <col min="16143" max="16143" width="0" style="263" hidden="1" customWidth="1"/>
    <col min="16144" max="16145" width="11.7265625" style="263" customWidth="1"/>
    <col min="16146" max="16384" width="9.26953125" style="263"/>
  </cols>
  <sheetData>
    <row r="1" spans="1:17" ht="13.5" customHeight="1">
      <c r="L1" s="264"/>
      <c r="O1" s="264"/>
      <c r="P1" s="264"/>
      <c r="Q1" s="264"/>
    </row>
    <row r="2" spans="1:17" ht="13.5" customHeight="1">
      <c r="C2" s="371" t="s">
        <v>39</v>
      </c>
      <c r="L2" s="264"/>
      <c r="O2" s="264"/>
      <c r="P2" s="264"/>
      <c r="Q2" s="264"/>
    </row>
    <row r="3" spans="1:17" ht="13.5" customHeight="1">
      <c r="C3" s="371" t="s">
        <v>123</v>
      </c>
      <c r="F3" s="265"/>
      <c r="G3" s="265"/>
      <c r="H3" s="265"/>
      <c r="I3" s="265"/>
      <c r="L3" s="264"/>
      <c r="O3" s="264"/>
      <c r="P3" s="264"/>
      <c r="Q3" s="264"/>
    </row>
    <row r="4" spans="1:17" ht="13.5" customHeight="1">
      <c r="B4" s="265"/>
      <c r="C4" s="372" t="str">
        <f>'Program MW '!H3</f>
        <v>July 2021</v>
      </c>
      <c r="D4" s="265"/>
      <c r="L4" s="264"/>
      <c r="O4" s="264"/>
      <c r="P4" s="264"/>
      <c r="Q4" s="264"/>
    </row>
    <row r="5" spans="1:17" ht="13.5" customHeight="1">
      <c r="L5" s="264"/>
      <c r="O5" s="264"/>
      <c r="P5" s="264"/>
      <c r="Q5" s="264"/>
    </row>
    <row r="6" spans="1:17" s="277" customFormat="1" ht="13.5" customHeight="1"/>
    <row r="7" spans="1:17" s="277" customFormat="1" ht="18" customHeight="1">
      <c r="A7" s="306"/>
      <c r="B7" s="373" t="s">
        <v>250</v>
      </c>
      <c r="C7" s="306"/>
      <c r="D7" s="306"/>
      <c r="E7" s="306"/>
      <c r="F7" s="306"/>
      <c r="G7" s="306"/>
      <c r="H7" s="306"/>
      <c r="I7" s="306"/>
      <c r="J7" s="306"/>
      <c r="K7" s="306"/>
      <c r="L7" s="306"/>
      <c r="M7" s="306"/>
      <c r="N7" s="749" t="s">
        <v>241</v>
      </c>
      <c r="O7" s="747" t="s">
        <v>243</v>
      </c>
      <c r="P7" s="278"/>
      <c r="Q7" s="749" t="s">
        <v>124</v>
      </c>
    </row>
    <row r="8" spans="1:17" s="277" customFormat="1" ht="39" customHeight="1">
      <c r="A8" s="364"/>
      <c r="B8" s="374" t="s">
        <v>41</v>
      </c>
      <c r="C8" s="375" t="s">
        <v>42</v>
      </c>
      <c r="D8" s="375" t="s">
        <v>43</v>
      </c>
      <c r="E8" s="375" t="s">
        <v>44</v>
      </c>
      <c r="F8" s="375" t="s">
        <v>31</v>
      </c>
      <c r="G8" s="375" t="s">
        <v>45</v>
      </c>
      <c r="H8" s="375" t="s">
        <v>59</v>
      </c>
      <c r="I8" s="375" t="s">
        <v>66</v>
      </c>
      <c r="J8" s="375" t="s">
        <v>67</v>
      </c>
      <c r="K8" s="405" t="s">
        <v>125</v>
      </c>
      <c r="L8" s="375" t="s">
        <v>68</v>
      </c>
      <c r="M8" s="375" t="s">
        <v>62</v>
      </c>
      <c r="N8" s="750"/>
      <c r="O8" s="748"/>
      <c r="P8" s="279" t="s">
        <v>126</v>
      </c>
      <c r="Q8" s="750"/>
    </row>
    <row r="9" spans="1:17" s="277" customFormat="1" ht="15.5">
      <c r="A9" s="380" t="s">
        <v>127</v>
      </c>
      <c r="B9" s="363"/>
      <c r="N9" s="311"/>
      <c r="Q9" s="286"/>
    </row>
    <row r="10" spans="1:17" s="277" customFormat="1" ht="13">
      <c r="A10" s="376" t="s">
        <v>128</v>
      </c>
      <c r="B10" s="363"/>
      <c r="C10" s="363"/>
      <c r="D10" s="363"/>
      <c r="E10" s="363"/>
      <c r="F10" s="363"/>
      <c r="G10" s="363"/>
      <c r="H10" s="363"/>
      <c r="I10" s="363"/>
      <c r="J10" s="363"/>
      <c r="K10" s="363"/>
      <c r="L10" s="363"/>
      <c r="M10" s="363"/>
      <c r="N10" s="311"/>
      <c r="O10" s="362"/>
      <c r="P10" s="281"/>
      <c r="Q10" s="287"/>
    </row>
    <row r="11" spans="1:17" s="277" customFormat="1" ht="13">
      <c r="A11" s="377" t="s">
        <v>129</v>
      </c>
      <c r="B11" s="458">
        <v>11850</v>
      </c>
      <c r="C11" s="458">
        <v>31485.81</v>
      </c>
      <c r="D11" s="458">
        <v>36584.06</v>
      </c>
      <c r="E11" s="458">
        <v>25762.2</v>
      </c>
      <c r="F11" s="458">
        <v>10906.94</v>
      </c>
      <c r="G11" s="647">
        <v>9892.69</v>
      </c>
      <c r="H11" s="458">
        <v>8822.6</v>
      </c>
      <c r="I11" s="458">
        <v>0</v>
      </c>
      <c r="J11" s="458">
        <v>0</v>
      </c>
      <c r="K11" s="458">
        <v>0</v>
      </c>
      <c r="L11" s="458">
        <v>0</v>
      </c>
      <c r="M11" s="458">
        <v>0</v>
      </c>
      <c r="N11" s="549">
        <f t="shared" ref="N11:N22" si="0">SUM(B11:M11)</f>
        <v>135304.29999999999</v>
      </c>
      <c r="O11" s="550">
        <f>707141+443068+428874+N11</f>
        <v>1714387.3</v>
      </c>
      <c r="P11" s="551"/>
      <c r="Q11" s="548">
        <f>848010+857842+857842+250000</f>
        <v>2813694</v>
      </c>
    </row>
    <row r="12" spans="1:17" s="277" customFormat="1" ht="15">
      <c r="A12" s="377" t="s">
        <v>251</v>
      </c>
      <c r="B12" s="458">
        <v>0</v>
      </c>
      <c r="C12" s="458">
        <v>0</v>
      </c>
      <c r="D12" s="458">
        <v>315.39999999999998</v>
      </c>
      <c r="E12" s="458">
        <v>67.830000000000041</v>
      </c>
      <c r="F12" s="458">
        <v>335.75</v>
      </c>
      <c r="G12" s="647">
        <v>1234.9299999999998</v>
      </c>
      <c r="H12" s="458">
        <v>256.71999999999991</v>
      </c>
      <c r="I12" s="458">
        <v>0</v>
      </c>
      <c r="J12" s="458">
        <v>0</v>
      </c>
      <c r="K12" s="458">
        <v>0</v>
      </c>
      <c r="L12" s="458">
        <v>0</v>
      </c>
      <c r="M12" s="458">
        <v>0</v>
      </c>
      <c r="N12" s="545">
        <f t="shared" si="0"/>
        <v>2210.6299999999997</v>
      </c>
      <c r="O12" s="546">
        <f>7808+9482+6823+N12</f>
        <v>26323.63</v>
      </c>
      <c r="P12" s="547"/>
      <c r="Q12" s="548">
        <v>35302</v>
      </c>
    </row>
    <row r="13" spans="1:17" s="277" customFormat="1" ht="13">
      <c r="A13" s="377" t="s">
        <v>130</v>
      </c>
      <c r="B13" s="458">
        <v>0</v>
      </c>
      <c r="C13" s="458">
        <v>0</v>
      </c>
      <c r="D13" s="458">
        <v>0</v>
      </c>
      <c r="E13" s="458">
        <v>0</v>
      </c>
      <c r="F13" s="458">
        <v>0</v>
      </c>
      <c r="G13" s="647">
        <v>0</v>
      </c>
      <c r="H13" s="458">
        <v>0</v>
      </c>
      <c r="I13" s="458">
        <v>0</v>
      </c>
      <c r="J13" s="458">
        <v>0</v>
      </c>
      <c r="K13" s="458">
        <v>0</v>
      </c>
      <c r="L13" s="458">
        <v>0</v>
      </c>
      <c r="M13" s="458">
        <v>0</v>
      </c>
      <c r="N13" s="483">
        <f t="shared" si="0"/>
        <v>0</v>
      </c>
      <c r="O13" s="459">
        <f>0+N13</f>
        <v>0</v>
      </c>
      <c r="P13" s="460"/>
      <c r="Q13" s="461">
        <v>1000</v>
      </c>
    </row>
    <row r="14" spans="1:17" s="277" customFormat="1" ht="13">
      <c r="A14" s="377" t="s">
        <v>252</v>
      </c>
      <c r="B14" s="458">
        <v>0</v>
      </c>
      <c r="C14" s="458">
        <v>0</v>
      </c>
      <c r="D14" s="458">
        <v>627</v>
      </c>
      <c r="E14" s="458">
        <v>139.45000000000005</v>
      </c>
      <c r="F14" s="458">
        <v>671.5</v>
      </c>
      <c r="G14" s="647">
        <v>2469.87</v>
      </c>
      <c r="H14" s="458">
        <v>513.43999999999983</v>
      </c>
      <c r="I14" s="458">
        <v>0</v>
      </c>
      <c r="J14" s="458">
        <v>0</v>
      </c>
      <c r="K14" s="458">
        <v>0</v>
      </c>
      <c r="L14" s="458">
        <v>0</v>
      </c>
      <c r="M14" s="458">
        <v>0</v>
      </c>
      <c r="N14" s="483">
        <f t="shared" si="0"/>
        <v>4421.2599999999993</v>
      </c>
      <c r="O14" s="459">
        <f>4889+16666+13948+N14</f>
        <v>39924.26</v>
      </c>
      <c r="P14" s="460"/>
      <c r="Q14" s="461">
        <v>78149</v>
      </c>
    </row>
    <row r="15" spans="1:17" s="277" customFormat="1" ht="15">
      <c r="A15" s="377" t="s">
        <v>253</v>
      </c>
      <c r="B15" s="458">
        <v>0</v>
      </c>
      <c r="C15" s="458">
        <v>0</v>
      </c>
      <c r="D15" s="458">
        <v>1620.44</v>
      </c>
      <c r="E15" s="458">
        <v>1297.3</v>
      </c>
      <c r="F15" s="458">
        <v>1343</v>
      </c>
      <c r="G15" s="647">
        <v>4939.74</v>
      </c>
      <c r="H15" s="458">
        <v>1026.9199999999996</v>
      </c>
      <c r="I15" s="458">
        <v>0</v>
      </c>
      <c r="J15" s="458">
        <v>0</v>
      </c>
      <c r="K15" s="458">
        <v>0</v>
      </c>
      <c r="L15" s="458">
        <v>0</v>
      </c>
      <c r="M15" s="458">
        <v>0</v>
      </c>
      <c r="N15" s="483">
        <f t="shared" si="0"/>
        <v>10227.4</v>
      </c>
      <c r="O15" s="459">
        <f>49396+43751+41371+N15</f>
        <v>144745.4</v>
      </c>
      <c r="P15" s="460"/>
      <c r="Q15" s="461">
        <f>606299/2</f>
        <v>303149.5</v>
      </c>
    </row>
    <row r="16" spans="1:17" s="277" customFormat="1" ht="13">
      <c r="A16" s="377" t="s">
        <v>254</v>
      </c>
      <c r="B16" s="458">
        <v>0</v>
      </c>
      <c r="C16" s="458">
        <v>0</v>
      </c>
      <c r="D16" s="458">
        <v>3629</v>
      </c>
      <c r="E16" s="458">
        <v>203.19999999999982</v>
      </c>
      <c r="F16" s="458">
        <v>11464.3</v>
      </c>
      <c r="G16" s="647">
        <v>12349.299999999997</v>
      </c>
      <c r="H16" s="458">
        <v>2567.2100000000009</v>
      </c>
      <c r="I16" s="458">
        <v>0</v>
      </c>
      <c r="J16" s="458">
        <v>0</v>
      </c>
      <c r="K16" s="458">
        <v>0</v>
      </c>
      <c r="L16" s="458">
        <v>0</v>
      </c>
      <c r="M16" s="458">
        <v>0</v>
      </c>
      <c r="N16" s="483">
        <f t="shared" si="0"/>
        <v>30213.009999999995</v>
      </c>
      <c r="O16" s="459">
        <f>30843+118853+87496+N16</f>
        <v>267405.01</v>
      </c>
      <c r="P16" s="460"/>
      <c r="Q16" s="461">
        <v>303150</v>
      </c>
    </row>
    <row r="17" spans="1:122" s="277" customFormat="1" ht="13">
      <c r="A17" s="377" t="s">
        <v>255</v>
      </c>
      <c r="B17" s="458">
        <v>0</v>
      </c>
      <c r="C17" s="458">
        <v>0</v>
      </c>
      <c r="D17" s="458">
        <v>5494.8</v>
      </c>
      <c r="E17" s="458">
        <v>253.57999999999993</v>
      </c>
      <c r="F17" s="458">
        <v>6036.25</v>
      </c>
      <c r="G17" s="647">
        <v>18523.940000000002</v>
      </c>
      <c r="H17" s="458">
        <v>3850.8099999999977</v>
      </c>
      <c r="I17" s="458">
        <v>0</v>
      </c>
      <c r="J17" s="458">
        <v>0</v>
      </c>
      <c r="K17" s="458">
        <v>0</v>
      </c>
      <c r="L17" s="458">
        <v>0</v>
      </c>
      <c r="M17" s="458">
        <v>0</v>
      </c>
      <c r="N17" s="483">
        <f t="shared" si="0"/>
        <v>34159.380000000005</v>
      </c>
      <c r="O17" s="459">
        <f>73278+155232+113200+N17</f>
        <v>375869.38</v>
      </c>
      <c r="P17" s="460"/>
      <c r="Q17" s="461">
        <v>643043</v>
      </c>
    </row>
    <row r="18" spans="1:122" s="277" customFormat="1" ht="15">
      <c r="A18" s="378" t="s">
        <v>299</v>
      </c>
      <c r="B18" s="458">
        <v>0</v>
      </c>
      <c r="C18" s="458">
        <v>0</v>
      </c>
      <c r="D18" s="458">
        <v>2827.2</v>
      </c>
      <c r="E18" s="458">
        <v>-144.61999999999989</v>
      </c>
      <c r="F18" s="458">
        <v>2350.25</v>
      </c>
      <c r="G18" s="647">
        <v>8644.51</v>
      </c>
      <c r="H18" s="458">
        <v>2797.0399999999991</v>
      </c>
      <c r="I18" s="458">
        <v>0</v>
      </c>
      <c r="J18" s="458">
        <v>0</v>
      </c>
      <c r="K18" s="458">
        <v>0</v>
      </c>
      <c r="L18" s="458">
        <v>0</v>
      </c>
      <c r="M18" s="458">
        <v>0</v>
      </c>
      <c r="N18" s="483">
        <f t="shared" si="0"/>
        <v>16474.379999999997</v>
      </c>
      <c r="O18" s="459">
        <f>21091+92048+63087+N18</f>
        <v>192700.38</v>
      </c>
      <c r="P18" s="460"/>
      <c r="Q18" s="461">
        <v>383701</v>
      </c>
    </row>
    <row r="19" spans="1:122" s="277" customFormat="1" ht="13">
      <c r="A19" s="378" t="s">
        <v>101</v>
      </c>
      <c r="B19" s="458">
        <v>1375</v>
      </c>
      <c r="C19" s="458">
        <v>0</v>
      </c>
      <c r="D19" s="458">
        <v>9270.880000000001</v>
      </c>
      <c r="E19" s="458">
        <v>543.64999999999964</v>
      </c>
      <c r="F19" s="458">
        <v>8729.5</v>
      </c>
      <c r="G19" s="647">
        <v>32108.180000000004</v>
      </c>
      <c r="H19" s="458">
        <v>7154.8099999999986</v>
      </c>
      <c r="I19" s="458">
        <v>0</v>
      </c>
      <c r="J19" s="458">
        <v>0</v>
      </c>
      <c r="K19" s="458">
        <v>0</v>
      </c>
      <c r="L19" s="458">
        <v>0</v>
      </c>
      <c r="M19" s="458">
        <v>0</v>
      </c>
      <c r="N19" s="483">
        <f t="shared" si="0"/>
        <v>59182.020000000004</v>
      </c>
      <c r="O19" s="459">
        <f>107379+332446+264713+N19</f>
        <v>763720.02</v>
      </c>
      <c r="P19" s="460"/>
      <c r="Q19" s="461">
        <v>1102357</v>
      </c>
    </row>
    <row r="20" spans="1:122" s="277" customFormat="1" ht="15">
      <c r="A20" s="378" t="s">
        <v>300</v>
      </c>
      <c r="B20" s="458">
        <v>1375</v>
      </c>
      <c r="C20" s="458">
        <v>0</v>
      </c>
      <c r="D20" s="458">
        <v>16627.38</v>
      </c>
      <c r="E20" s="458">
        <v>-719.32000000000153</v>
      </c>
      <c r="F20" s="458">
        <v>12519</v>
      </c>
      <c r="G20" s="647">
        <v>50522.579999999994</v>
      </c>
      <c r="H20" s="458">
        <v>9465.32</v>
      </c>
      <c r="I20" s="458">
        <v>0</v>
      </c>
      <c r="J20" s="458">
        <v>0</v>
      </c>
      <c r="K20" s="458">
        <v>0</v>
      </c>
      <c r="L20" s="458">
        <v>0</v>
      </c>
      <c r="M20" s="458">
        <v>0</v>
      </c>
      <c r="N20" s="483">
        <f t="shared" si="0"/>
        <v>89789.959999999992</v>
      </c>
      <c r="O20" s="459">
        <f>210842+454257+423019+N20</f>
        <v>1177907.96</v>
      </c>
      <c r="P20" s="460"/>
      <c r="Q20" s="461">
        <v>1653537</v>
      </c>
    </row>
    <row r="21" spans="1:122" s="277" customFormat="1" ht="13">
      <c r="A21" s="378" t="s">
        <v>131</v>
      </c>
      <c r="B21" s="458">
        <v>0</v>
      </c>
      <c r="C21" s="458">
        <v>0</v>
      </c>
      <c r="D21" s="458">
        <v>0</v>
      </c>
      <c r="E21" s="458">
        <v>0</v>
      </c>
      <c r="F21" s="458">
        <v>0</v>
      </c>
      <c r="G21" s="458">
        <v>0</v>
      </c>
      <c r="H21" s="458">
        <v>0</v>
      </c>
      <c r="I21" s="458">
        <v>0</v>
      </c>
      <c r="J21" s="458">
        <v>0</v>
      </c>
      <c r="K21" s="458">
        <v>0</v>
      </c>
      <c r="L21" s="458">
        <v>0</v>
      </c>
      <c r="M21" s="458">
        <v>0</v>
      </c>
      <c r="N21" s="483">
        <f t="shared" si="0"/>
        <v>0</v>
      </c>
      <c r="O21" s="459">
        <f>2328+N21</f>
        <v>2328</v>
      </c>
      <c r="P21" s="460"/>
      <c r="Q21" s="461">
        <v>0</v>
      </c>
    </row>
    <row r="22" spans="1:122" s="277" customFormat="1" ht="13">
      <c r="A22" s="379" t="s">
        <v>132</v>
      </c>
      <c r="B22" s="458">
        <v>0</v>
      </c>
      <c r="C22" s="458">
        <v>0</v>
      </c>
      <c r="D22" s="458">
        <v>0</v>
      </c>
      <c r="E22" s="458">
        <v>0</v>
      </c>
      <c r="F22" s="458">
        <v>0</v>
      </c>
      <c r="G22" s="458">
        <v>0</v>
      </c>
      <c r="H22" s="458">
        <v>0</v>
      </c>
      <c r="I22" s="458">
        <v>0</v>
      </c>
      <c r="J22" s="458">
        <v>0</v>
      </c>
      <c r="K22" s="458">
        <v>0</v>
      </c>
      <c r="L22" s="458">
        <v>0</v>
      </c>
      <c r="M22" s="458">
        <v>0</v>
      </c>
      <c r="N22" s="483">
        <f t="shared" si="0"/>
        <v>0</v>
      </c>
      <c r="O22" s="459">
        <f>530+N22</f>
        <v>530</v>
      </c>
      <c r="P22" s="460"/>
      <c r="Q22" s="461">
        <v>50000</v>
      </c>
    </row>
    <row r="23" spans="1:122" s="282" customFormat="1" ht="15.5">
      <c r="A23" s="381" t="s">
        <v>133</v>
      </c>
      <c r="B23" s="462">
        <f t="shared" ref="B23:M23" si="1">SUM(B11:B22)</f>
        <v>14600</v>
      </c>
      <c r="C23" s="462">
        <f t="shared" si="1"/>
        <v>31485.81</v>
      </c>
      <c r="D23" s="462">
        <f t="shared" si="1"/>
        <v>76996.160000000003</v>
      </c>
      <c r="E23" s="462">
        <f t="shared" si="1"/>
        <v>27403.270000000004</v>
      </c>
      <c r="F23" s="462">
        <f t="shared" si="1"/>
        <v>54356.49</v>
      </c>
      <c r="G23" s="462">
        <f t="shared" si="1"/>
        <v>140685.74</v>
      </c>
      <c r="H23" s="462">
        <f>SUM(H11:H22)</f>
        <v>36454.869999999995</v>
      </c>
      <c r="I23" s="462">
        <f t="shared" si="1"/>
        <v>0</v>
      </c>
      <c r="J23" s="462">
        <f t="shared" si="1"/>
        <v>0</v>
      </c>
      <c r="K23" s="462">
        <f t="shared" si="1"/>
        <v>0</v>
      </c>
      <c r="L23" s="462">
        <f t="shared" si="1"/>
        <v>0</v>
      </c>
      <c r="M23" s="462">
        <f t="shared" si="1"/>
        <v>0</v>
      </c>
      <c r="N23" s="542">
        <f>SUM(N11:N22)</f>
        <v>381982.33999999997</v>
      </c>
      <c r="O23" s="463">
        <f>SUM(O11:O22)</f>
        <v>4705841.34</v>
      </c>
      <c r="P23" s="464"/>
      <c r="Q23" s="463">
        <f>SUM(Q11:Q22)</f>
        <v>7367082.5</v>
      </c>
      <c r="R23" s="277"/>
      <c r="S23" s="277"/>
      <c r="T23" s="277"/>
      <c r="U23" s="277"/>
      <c r="V23" s="277"/>
      <c r="W23" s="277"/>
      <c r="X23" s="277"/>
      <c r="Y23" s="277"/>
      <c r="Z23" s="277"/>
      <c r="AA23" s="277"/>
      <c r="AB23" s="277"/>
      <c r="AC23" s="277"/>
      <c r="AD23" s="277"/>
      <c r="AE23" s="277"/>
      <c r="AF23" s="277"/>
      <c r="AG23" s="277"/>
      <c r="AH23" s="277"/>
      <c r="AI23" s="277"/>
      <c r="AJ23" s="277"/>
      <c r="AK23" s="277"/>
      <c r="AL23" s="277"/>
      <c r="AM23" s="277"/>
      <c r="AN23" s="277"/>
      <c r="AO23" s="277"/>
      <c r="AP23" s="277"/>
      <c r="AQ23" s="277"/>
      <c r="AR23" s="277"/>
      <c r="AS23" s="277"/>
      <c r="AT23" s="277"/>
      <c r="AU23" s="277"/>
      <c r="AV23" s="277"/>
      <c r="AW23" s="277"/>
      <c r="AX23" s="277"/>
      <c r="AY23" s="277"/>
      <c r="AZ23" s="277"/>
      <c r="BA23" s="277"/>
      <c r="BB23" s="277"/>
      <c r="BC23" s="277"/>
      <c r="BD23" s="277"/>
      <c r="BE23" s="277"/>
      <c r="BF23" s="277"/>
      <c r="BG23" s="277"/>
      <c r="BH23" s="277"/>
      <c r="BI23" s="277"/>
      <c r="BJ23" s="277"/>
      <c r="BK23" s="277"/>
      <c r="BL23" s="277"/>
      <c r="BM23" s="277"/>
      <c r="BN23" s="277"/>
      <c r="BO23" s="277"/>
      <c r="BP23" s="277"/>
      <c r="BQ23" s="277"/>
      <c r="BR23" s="277"/>
      <c r="BS23" s="277"/>
      <c r="BT23" s="277"/>
      <c r="BU23" s="277"/>
      <c r="BV23" s="277"/>
      <c r="BW23" s="277"/>
      <c r="BX23" s="277"/>
      <c r="BY23" s="277"/>
      <c r="BZ23" s="277"/>
      <c r="CA23" s="277"/>
      <c r="CB23" s="277"/>
      <c r="CC23" s="277"/>
      <c r="CD23" s="277"/>
      <c r="CE23" s="277"/>
      <c r="CF23" s="277"/>
      <c r="CG23" s="277"/>
      <c r="CH23" s="277"/>
      <c r="CI23" s="277"/>
      <c r="CJ23" s="277"/>
      <c r="CK23" s="277"/>
      <c r="CL23" s="277"/>
      <c r="CM23" s="277"/>
      <c r="CN23" s="277"/>
      <c r="CO23" s="277"/>
      <c r="CP23" s="277"/>
      <c r="CQ23" s="277"/>
      <c r="CR23" s="277"/>
      <c r="CS23" s="277"/>
      <c r="CT23" s="277"/>
      <c r="CU23" s="277"/>
      <c r="CV23" s="277"/>
      <c r="CW23" s="277"/>
      <c r="CX23" s="277"/>
      <c r="CY23" s="277"/>
      <c r="CZ23" s="277"/>
      <c r="DA23" s="277"/>
      <c r="DB23" s="277"/>
      <c r="DC23" s="277"/>
      <c r="DD23" s="277"/>
      <c r="DE23" s="277"/>
      <c r="DF23" s="277"/>
      <c r="DG23" s="277"/>
      <c r="DH23" s="277"/>
      <c r="DI23" s="277"/>
      <c r="DJ23" s="277"/>
      <c r="DK23" s="277"/>
      <c r="DL23" s="277"/>
      <c r="DM23" s="277"/>
      <c r="DN23" s="277"/>
      <c r="DO23" s="277"/>
      <c r="DP23" s="277"/>
      <c r="DQ23" s="277"/>
      <c r="DR23" s="277"/>
    </row>
    <row r="24" spans="1:122" s="277" customFormat="1" ht="13">
      <c r="A24" s="288"/>
      <c r="B24" s="465"/>
      <c r="C24" s="466"/>
      <c r="D24" s="466"/>
      <c r="E24" s="466"/>
      <c r="F24" s="466"/>
      <c r="G24" s="466"/>
      <c r="H24" s="466"/>
      <c r="I24" s="466"/>
      <c r="J24" s="466"/>
      <c r="K24" s="466"/>
      <c r="L24" s="466"/>
      <c r="M24" s="466"/>
      <c r="N24" s="466"/>
      <c r="O24" s="466"/>
      <c r="P24" s="466"/>
      <c r="Q24" s="467"/>
    </row>
    <row r="25" spans="1:122" s="277" customFormat="1" ht="15.5">
      <c r="A25" s="382" t="s">
        <v>134</v>
      </c>
      <c r="B25" s="465"/>
      <c r="C25" s="468"/>
      <c r="D25" s="468"/>
      <c r="E25" s="468"/>
      <c r="F25" s="468"/>
      <c r="G25" s="468"/>
      <c r="H25" s="468"/>
      <c r="I25" s="468"/>
      <c r="J25" s="468"/>
      <c r="K25" s="468"/>
      <c r="L25" s="468"/>
      <c r="M25" s="468"/>
      <c r="N25" s="469"/>
      <c r="O25" s="468"/>
      <c r="P25" s="466"/>
      <c r="Q25" s="470"/>
    </row>
    <row r="26" spans="1:122" s="277" customFormat="1" ht="13">
      <c r="A26" s="378" t="s">
        <v>135</v>
      </c>
      <c r="B26" s="471">
        <v>0</v>
      </c>
      <c r="C26" s="471">
        <v>0</v>
      </c>
      <c r="D26" s="471">
        <v>0</v>
      </c>
      <c r="E26" s="471">
        <v>0</v>
      </c>
      <c r="F26" s="471">
        <v>0</v>
      </c>
      <c r="G26" s="471">
        <v>0</v>
      </c>
      <c r="H26" s="471">
        <v>0</v>
      </c>
      <c r="I26" s="471">
        <v>0</v>
      </c>
      <c r="J26" s="471">
        <v>0</v>
      </c>
      <c r="K26" s="471">
        <v>0</v>
      </c>
      <c r="L26" s="471">
        <v>0</v>
      </c>
      <c r="M26" s="471">
        <v>0</v>
      </c>
      <c r="N26" s="543">
        <f t="shared" ref="N26:N30" si="2">SUM(B26:M26)</f>
        <v>0</v>
      </c>
      <c r="O26" s="472">
        <f>0+N26</f>
        <v>0</v>
      </c>
      <c r="P26" s="466"/>
      <c r="Q26" s="467"/>
    </row>
    <row r="27" spans="1:122" s="277" customFormat="1" ht="13">
      <c r="A27" s="377" t="s">
        <v>256</v>
      </c>
      <c r="B27" s="473">
        <v>0.49</v>
      </c>
      <c r="C27" s="473">
        <v>0</v>
      </c>
      <c r="D27" s="473">
        <v>66.239999999999995</v>
      </c>
      <c r="E27" s="473">
        <v>0</v>
      </c>
      <c r="F27" s="473">
        <v>2957</v>
      </c>
      <c r="G27" s="473">
        <v>0</v>
      </c>
      <c r="H27" s="473">
        <v>0</v>
      </c>
      <c r="I27" s="473">
        <v>0</v>
      </c>
      <c r="J27" s="473">
        <v>0</v>
      </c>
      <c r="K27" s="473">
        <v>0</v>
      </c>
      <c r="L27" s="473">
        <v>0</v>
      </c>
      <c r="M27" s="473">
        <v>0</v>
      </c>
      <c r="N27" s="544">
        <f t="shared" si="2"/>
        <v>3023.73</v>
      </c>
      <c r="O27" s="459">
        <f>79348+33670+134507+N27</f>
        <v>250548.73</v>
      </c>
      <c r="P27" s="466"/>
      <c r="Q27" s="467"/>
    </row>
    <row r="28" spans="1:122" s="277" customFormat="1" ht="15">
      <c r="A28" s="377" t="s">
        <v>302</v>
      </c>
      <c r="B28" s="473">
        <v>18233.669999999998</v>
      </c>
      <c r="C28" s="473">
        <v>17764.310000000005</v>
      </c>
      <c r="D28" s="473">
        <v>17228.580000000005</v>
      </c>
      <c r="E28" s="473">
        <v>11049.689999999997</v>
      </c>
      <c r="F28" s="473">
        <v>-154.67000000000371</v>
      </c>
      <c r="G28" s="473">
        <v>7055.180000000003</v>
      </c>
      <c r="H28" s="473">
        <v>6822.5999999999976</v>
      </c>
      <c r="I28" s="473">
        <v>0</v>
      </c>
      <c r="J28" s="473">
        <v>0</v>
      </c>
      <c r="K28" s="473">
        <v>0</v>
      </c>
      <c r="L28" s="473">
        <v>0</v>
      </c>
      <c r="M28" s="473">
        <v>0</v>
      </c>
      <c r="N28" s="544">
        <f t="shared" si="2"/>
        <v>77999.360000000001</v>
      </c>
      <c r="O28" s="459">
        <f>426330+346126+260890+N28</f>
        <v>1111345.3600000001</v>
      </c>
      <c r="P28" s="466"/>
      <c r="Q28" s="467"/>
    </row>
    <row r="29" spans="1:122" s="277" customFormat="1" ht="15">
      <c r="A29" s="377" t="s">
        <v>257</v>
      </c>
      <c r="B29" s="473">
        <v>2750</v>
      </c>
      <c r="C29" s="473">
        <v>0</v>
      </c>
      <c r="D29" s="473">
        <v>40201.350000000006</v>
      </c>
      <c r="E29" s="473">
        <v>1641.0499999999979</v>
      </c>
      <c r="F29" s="473">
        <v>40492.300000000003</v>
      </c>
      <c r="G29" s="473">
        <v>130793</v>
      </c>
      <c r="H29" s="473">
        <v>26672.05</v>
      </c>
      <c r="I29" s="473">
        <v>0</v>
      </c>
      <c r="J29" s="473">
        <v>0</v>
      </c>
      <c r="K29" s="473">
        <v>0</v>
      </c>
      <c r="L29" s="473">
        <v>0</v>
      </c>
      <c r="M29" s="473">
        <v>0</v>
      </c>
      <c r="N29" s="544">
        <f t="shared" si="2"/>
        <v>242549.75</v>
      </c>
      <c r="O29" s="459">
        <f>377868+1193884+886571+N29</f>
        <v>2700872.75</v>
      </c>
      <c r="P29" s="466"/>
      <c r="Q29" s="467"/>
    </row>
    <row r="30" spans="1:122" s="277" customFormat="1" ht="15">
      <c r="A30" s="377" t="s">
        <v>258</v>
      </c>
      <c r="B30" s="630">
        <v>-6384</v>
      </c>
      <c r="C30" s="474">
        <v>13721.5</v>
      </c>
      <c r="D30" s="474">
        <v>19500</v>
      </c>
      <c r="E30" s="474">
        <v>14712.5</v>
      </c>
      <c r="F30" s="474">
        <v>11061.6</v>
      </c>
      <c r="G30" s="474">
        <v>2837.5</v>
      </c>
      <c r="H30" s="474">
        <v>2960.14</v>
      </c>
      <c r="I30" s="474">
        <v>0</v>
      </c>
      <c r="J30" s="474">
        <v>0</v>
      </c>
      <c r="K30" s="474">
        <v>0</v>
      </c>
      <c r="L30" s="474">
        <v>0</v>
      </c>
      <c r="M30" s="474">
        <v>0</v>
      </c>
      <c r="N30" s="544">
        <f t="shared" si="2"/>
        <v>58409.24</v>
      </c>
      <c r="O30" s="475">
        <f>331980+92124+160561+N30</f>
        <v>643074.24</v>
      </c>
      <c r="P30" s="466"/>
      <c r="Q30" s="467"/>
    </row>
    <row r="31" spans="1:122" s="277" customFormat="1" ht="15.5">
      <c r="A31" s="381" t="s">
        <v>136</v>
      </c>
      <c r="B31" s="476">
        <f>SUM(B26:B30)</f>
        <v>14600.16</v>
      </c>
      <c r="C31" s="477">
        <f t="shared" ref="C31:M31" si="3">SUM(C26:C30)</f>
        <v>31485.810000000005</v>
      </c>
      <c r="D31" s="477">
        <f t="shared" si="3"/>
        <v>76996.170000000013</v>
      </c>
      <c r="E31" s="477">
        <f t="shared" si="3"/>
        <v>27403.239999999994</v>
      </c>
      <c r="F31" s="477">
        <f t="shared" si="3"/>
        <v>54356.229999999996</v>
      </c>
      <c r="G31" s="477">
        <f t="shared" si="3"/>
        <v>140685.68</v>
      </c>
      <c r="H31" s="477">
        <f t="shared" si="3"/>
        <v>36454.789999999994</v>
      </c>
      <c r="I31" s="477">
        <f t="shared" si="3"/>
        <v>0</v>
      </c>
      <c r="J31" s="477">
        <f t="shared" si="3"/>
        <v>0</v>
      </c>
      <c r="K31" s="477">
        <f t="shared" si="3"/>
        <v>0</v>
      </c>
      <c r="L31" s="477">
        <f t="shared" si="3"/>
        <v>0</v>
      </c>
      <c r="M31" s="477">
        <f t="shared" si="3"/>
        <v>0</v>
      </c>
      <c r="N31" s="542">
        <f>SUM(N26:N30)</f>
        <v>381982.07999999996</v>
      </c>
      <c r="O31" s="477">
        <f>SUM(O26:O30)</f>
        <v>4705841.08</v>
      </c>
      <c r="P31" s="464"/>
      <c r="Q31" s="478"/>
    </row>
    <row r="32" spans="1:122" s="277" customFormat="1" ht="13">
      <c r="A32" s="289"/>
      <c r="B32" s="479"/>
      <c r="C32" s="480"/>
      <c r="D32" s="480"/>
      <c r="E32" s="480"/>
      <c r="F32" s="480"/>
      <c r="G32" s="480"/>
      <c r="H32" s="480"/>
      <c r="I32" s="480"/>
      <c r="J32" s="480"/>
      <c r="K32" s="480"/>
      <c r="L32" s="480"/>
      <c r="M32" s="480"/>
      <c r="N32" s="480"/>
      <c r="O32" s="480"/>
      <c r="P32" s="481"/>
      <c r="Q32" s="482"/>
    </row>
    <row r="33" spans="1:17" s="277" customFormat="1" ht="15.5">
      <c r="A33" s="382" t="s">
        <v>137</v>
      </c>
      <c r="B33" s="465"/>
      <c r="C33" s="468"/>
      <c r="D33" s="468"/>
      <c r="E33" s="468"/>
      <c r="F33" s="468"/>
      <c r="G33" s="468"/>
      <c r="H33" s="468"/>
      <c r="I33" s="468"/>
      <c r="J33" s="468"/>
      <c r="K33" s="468"/>
      <c r="L33" s="468"/>
      <c r="M33" s="468"/>
      <c r="N33" s="469"/>
      <c r="O33" s="469"/>
      <c r="P33" s="466"/>
      <c r="Q33" s="470"/>
    </row>
    <row r="34" spans="1:17" s="277" customFormat="1" ht="15">
      <c r="A34" s="377" t="s">
        <v>138</v>
      </c>
      <c r="B34" s="471">
        <v>0</v>
      </c>
      <c r="C34" s="471">
        <v>0</v>
      </c>
      <c r="D34" s="471">
        <v>0</v>
      </c>
      <c r="E34" s="471">
        <v>0</v>
      </c>
      <c r="F34" s="471">
        <v>0</v>
      </c>
      <c r="G34" s="471">
        <v>0</v>
      </c>
      <c r="H34" s="471">
        <v>0</v>
      </c>
      <c r="I34" s="471">
        <v>0</v>
      </c>
      <c r="J34" s="471">
        <v>0</v>
      </c>
      <c r="K34" s="471">
        <v>0</v>
      </c>
      <c r="L34" s="471">
        <v>0</v>
      </c>
      <c r="M34" s="471">
        <v>0</v>
      </c>
      <c r="N34" s="543">
        <f t="shared" ref="N34:N37" si="4">SUM(B34:M34)</f>
        <v>0</v>
      </c>
      <c r="O34" s="472">
        <f>0+N34</f>
        <v>0</v>
      </c>
      <c r="P34" s="466"/>
      <c r="Q34" s="467"/>
    </row>
    <row r="35" spans="1:17" s="277" customFormat="1" ht="13">
      <c r="A35" s="378" t="s">
        <v>139</v>
      </c>
      <c r="B35" s="473">
        <v>1375</v>
      </c>
      <c r="C35" s="473">
        <v>0</v>
      </c>
      <c r="D35" s="473">
        <v>13223.7</v>
      </c>
      <c r="E35" s="473">
        <v>1115.5099999999998</v>
      </c>
      <c r="F35" s="473">
        <v>12087</v>
      </c>
      <c r="G35" s="473">
        <v>44457.490000000005</v>
      </c>
      <c r="H35" s="473">
        <v>10722.029999999997</v>
      </c>
      <c r="I35" s="473">
        <v>0</v>
      </c>
      <c r="J35" s="473">
        <v>0</v>
      </c>
      <c r="K35" s="473">
        <v>0</v>
      </c>
      <c r="L35" s="473">
        <v>0</v>
      </c>
      <c r="M35" s="473">
        <v>0</v>
      </c>
      <c r="N35" s="544">
        <f t="shared" si="4"/>
        <v>82980.73000000001</v>
      </c>
      <c r="O35" s="459">
        <f>344661+585375+472450+N35</f>
        <v>1485466.73</v>
      </c>
      <c r="P35" s="466"/>
      <c r="Q35" s="467"/>
    </row>
    <row r="36" spans="1:17" s="277" customFormat="1" ht="14.25" customHeight="1">
      <c r="A36" s="377" t="s">
        <v>140</v>
      </c>
      <c r="B36" s="473">
        <v>3942.05</v>
      </c>
      <c r="C36" s="473">
        <v>9833.75</v>
      </c>
      <c r="D36" s="473">
        <v>23203.510000000002</v>
      </c>
      <c r="E36" s="473">
        <v>12722.3</v>
      </c>
      <c r="F36" s="473">
        <v>21936.25</v>
      </c>
      <c r="G36" s="473">
        <v>32695.199999999997</v>
      </c>
      <c r="H36" s="473">
        <v>10561.84</v>
      </c>
      <c r="I36" s="473">
        <v>0</v>
      </c>
      <c r="J36" s="473">
        <v>0</v>
      </c>
      <c r="K36" s="473">
        <v>0</v>
      </c>
      <c r="L36" s="473">
        <v>0</v>
      </c>
      <c r="M36" s="473">
        <v>0</v>
      </c>
      <c r="N36" s="544">
        <f t="shared" si="4"/>
        <v>114894.9</v>
      </c>
      <c r="O36" s="459">
        <f>314336+384698+349337+N36</f>
        <v>1163265.8999999999</v>
      </c>
      <c r="P36" s="466"/>
      <c r="Q36" s="467"/>
    </row>
    <row r="37" spans="1:17" s="277" customFormat="1" ht="13">
      <c r="A37" s="377" t="s">
        <v>141</v>
      </c>
      <c r="B37" s="474">
        <v>9283.14</v>
      </c>
      <c r="C37" s="474">
        <v>21652.060000000005</v>
      </c>
      <c r="D37" s="474">
        <v>40568.949999999997</v>
      </c>
      <c r="E37" s="474">
        <v>13565.46</v>
      </c>
      <c r="F37" s="474">
        <v>20333</v>
      </c>
      <c r="G37" s="474">
        <v>63533.05</v>
      </c>
      <c r="H37" s="474">
        <v>15170.999999999998</v>
      </c>
      <c r="I37" s="474">
        <v>0</v>
      </c>
      <c r="J37" s="474">
        <v>0</v>
      </c>
      <c r="K37" s="474">
        <v>0</v>
      </c>
      <c r="L37" s="474">
        <v>0</v>
      </c>
      <c r="M37" s="474">
        <v>0</v>
      </c>
      <c r="N37" s="544">
        <f t="shared" si="4"/>
        <v>184106.65999999997</v>
      </c>
      <c r="O37" s="475">
        <f>556529+695730+620743+N37</f>
        <v>2057108.66</v>
      </c>
      <c r="P37" s="466"/>
      <c r="Q37" s="467"/>
    </row>
    <row r="38" spans="1:17" s="277" customFormat="1" ht="15.5">
      <c r="A38" s="381" t="s">
        <v>142</v>
      </c>
      <c r="B38" s="476">
        <f t="shared" ref="B38:M38" si="5">SUM(B34:B37)</f>
        <v>14600.189999999999</v>
      </c>
      <c r="C38" s="477">
        <f t="shared" si="5"/>
        <v>31485.810000000005</v>
      </c>
      <c r="D38" s="477">
        <f>SUM(D34:D37)</f>
        <v>76996.160000000003</v>
      </c>
      <c r="E38" s="477">
        <f t="shared" si="5"/>
        <v>27403.269999999997</v>
      </c>
      <c r="F38" s="477">
        <f t="shared" si="5"/>
        <v>54356.25</v>
      </c>
      <c r="G38" s="477">
        <f>SUM(G34:G37)</f>
        <v>140685.74</v>
      </c>
      <c r="H38" s="477">
        <f t="shared" si="5"/>
        <v>36454.869999999995</v>
      </c>
      <c r="I38" s="477">
        <f t="shared" si="5"/>
        <v>0</v>
      </c>
      <c r="J38" s="477">
        <f t="shared" si="5"/>
        <v>0</v>
      </c>
      <c r="K38" s="477">
        <f t="shared" si="5"/>
        <v>0</v>
      </c>
      <c r="L38" s="477">
        <f t="shared" si="5"/>
        <v>0</v>
      </c>
      <c r="M38" s="477">
        <f t="shared" si="5"/>
        <v>0</v>
      </c>
      <c r="N38" s="542">
        <f>SUM(N34:N37)</f>
        <v>381982.29</v>
      </c>
      <c r="O38" s="462">
        <f>SUM(O34:O37)</f>
        <v>4705841.29</v>
      </c>
      <c r="P38" s="464">
        <f>SUM(P34:P37)</f>
        <v>0</v>
      </c>
      <c r="Q38" s="478"/>
    </row>
    <row r="39" spans="1:17" s="277" customFormat="1" ht="13">
      <c r="B39" s="280"/>
      <c r="C39" s="280"/>
      <c r="D39" s="280"/>
      <c r="E39" s="280"/>
      <c r="F39" s="280"/>
      <c r="G39" s="280"/>
      <c r="H39" s="280"/>
      <c r="I39" s="280"/>
      <c r="J39" s="280"/>
      <c r="K39" s="280"/>
      <c r="L39" s="280"/>
      <c r="M39" s="280"/>
      <c r="O39" s="280"/>
      <c r="P39" s="280"/>
      <c r="Q39" s="280"/>
    </row>
    <row r="40" spans="1:17" s="277" customFormat="1" ht="14">
      <c r="A40" s="441" t="s">
        <v>63</v>
      </c>
      <c r="B40" s="284"/>
      <c r="C40" s="284"/>
      <c r="D40" s="284"/>
      <c r="E40" s="284"/>
      <c r="F40" s="284"/>
      <c r="G40" s="284"/>
      <c r="H40" s="284"/>
      <c r="I40" s="284"/>
      <c r="J40" s="284"/>
      <c r="K40" s="284"/>
      <c r="L40" s="284"/>
      <c r="M40" s="284"/>
      <c r="N40" s="283"/>
      <c r="O40" s="552"/>
      <c r="P40" s="284"/>
      <c r="Q40" s="284"/>
    </row>
    <row r="41" spans="1:17" s="514" customFormat="1" ht="16.5">
      <c r="A41" s="312" t="s">
        <v>275</v>
      </c>
      <c r="D41" s="515"/>
      <c r="E41" s="516"/>
      <c r="F41" s="515"/>
      <c r="N41" s="513"/>
    </row>
    <row r="42" spans="1:17" ht="16.5">
      <c r="A42" s="312" t="s">
        <v>278</v>
      </c>
      <c r="D42" s="261"/>
      <c r="E42" s="210"/>
      <c r="F42" s="261"/>
      <c r="N42" s="312"/>
    </row>
    <row r="43" spans="1:17" ht="16">
      <c r="A43" s="312" t="s">
        <v>307</v>
      </c>
      <c r="D43" s="261"/>
      <c r="E43" s="210"/>
      <c r="F43" s="261"/>
      <c r="N43" s="312"/>
    </row>
    <row r="44" spans="1:17" ht="16.5">
      <c r="A44" s="312" t="s">
        <v>308</v>
      </c>
      <c r="D44" s="261"/>
      <c r="E44" s="210"/>
      <c r="F44" s="261"/>
      <c r="N44" s="323"/>
    </row>
    <row r="45" spans="1:17" ht="14">
      <c r="A45" s="235" t="s">
        <v>64</v>
      </c>
      <c r="E45" s="266"/>
      <c r="F45" s="261"/>
    </row>
  </sheetData>
  <mergeCells count="3">
    <mergeCell ref="O7:O8"/>
    <mergeCell ref="Q7:Q8"/>
    <mergeCell ref="N7:N8"/>
  </mergeCells>
  <printOptions horizontalCentered="1"/>
  <pageMargins left="0" right="0" top="0.55000000000000004" bottom="0.17" header="0.3" footer="0.15"/>
  <pageSetup paperSize="5" scale="65" orientation="landscape" cellComments="atEnd" r:id="rId1"/>
  <headerFooter alignWithMargins="0">
    <oddHeader xml:space="preserve">&amp;C&amp;"Arial,Bold"
</oddHeader>
    <oddFooter xml:space="preserve">&amp;Rpage 5 of 11
&amp;A
&amp;D  &amp;T
</oddFooter>
  </headerFooter>
  <customProperties>
    <customPr name="_pios_id" r:id="rId2"/>
  </customPropertie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2:V60"/>
  <sheetViews>
    <sheetView showGridLines="0" zoomScale="120" zoomScaleNormal="120" zoomScaleSheetLayoutView="80" workbookViewId="0">
      <pane xSplit="1" ySplit="9" topLeftCell="G25" activePane="bottomRight" state="frozen"/>
      <selection activeCell="B55" sqref="B55"/>
      <selection pane="topRight" activeCell="B55" sqref="B55"/>
      <selection pane="bottomLeft" activeCell="B55" sqref="B55"/>
      <selection pane="bottomRight" activeCell="J40" sqref="J40"/>
    </sheetView>
  </sheetViews>
  <sheetFormatPr defaultColWidth="9.26953125" defaultRowHeight="12.5"/>
  <cols>
    <col min="1" max="1" width="95.26953125" style="130" customWidth="1"/>
    <col min="2" max="2" width="13" style="130" customWidth="1"/>
    <col min="3" max="3" width="11.453125" style="130" customWidth="1"/>
    <col min="4" max="4" width="15.54296875" style="130" customWidth="1"/>
    <col min="5" max="5" width="12" style="130" customWidth="1"/>
    <col min="6" max="6" width="11.26953125" style="130" bestFit="1" customWidth="1"/>
    <col min="7" max="7" width="12.7265625" style="130" customWidth="1"/>
    <col min="8" max="8" width="11.7265625" style="130" bestFit="1" customWidth="1"/>
    <col min="9" max="9" width="11.7265625" style="130" customWidth="1"/>
    <col min="10" max="10" width="12" style="130" customWidth="1"/>
    <col min="11" max="11" width="10.7265625" style="130" customWidth="1"/>
    <col min="12" max="13" width="11.7265625" style="130" customWidth="1"/>
    <col min="14" max="14" width="24.1796875" style="130" bestFit="1" customWidth="1"/>
    <col min="15" max="15" width="16" style="517" customWidth="1"/>
    <col min="16" max="16" width="17.26953125" style="130" customWidth="1"/>
    <col min="17" max="17" width="14.7265625" style="130" customWidth="1"/>
    <col min="18" max="18" width="13.453125" style="130" bestFit="1" customWidth="1"/>
    <col min="19" max="19" width="19.54296875" style="130" bestFit="1" customWidth="1"/>
    <col min="20" max="20" width="9.26953125" style="130"/>
    <col min="21" max="21" width="8.54296875" style="130" bestFit="1" customWidth="1"/>
    <col min="22" max="22" width="12.54296875" style="130" customWidth="1"/>
    <col min="23" max="16384" width="9.26953125" style="130"/>
  </cols>
  <sheetData>
    <row r="2" spans="1:22" ht="13">
      <c r="A2" s="129"/>
      <c r="G2" s="148" t="s">
        <v>143</v>
      </c>
    </row>
    <row r="3" spans="1:22" ht="13">
      <c r="A3" s="129"/>
      <c r="G3" s="148" t="s">
        <v>144</v>
      </c>
    </row>
    <row r="4" spans="1:22" ht="13">
      <c r="A4" s="129"/>
      <c r="F4" s="197"/>
      <c r="G4" s="198" t="str">
        <f>'Program MW '!H3</f>
        <v>July 2021</v>
      </c>
      <c r="H4" s="197"/>
      <c r="I4" s="197"/>
      <c r="N4" s="677"/>
    </row>
    <row r="5" spans="1:22" ht="13">
      <c r="A5" s="129"/>
      <c r="B5" s="650"/>
      <c r="C5" s="650"/>
      <c r="D5" s="650"/>
      <c r="E5" s="650"/>
      <c r="F5" s="650"/>
      <c r="G5" s="650"/>
      <c r="H5" s="650"/>
      <c r="I5" s="650"/>
      <c r="J5" s="650"/>
      <c r="K5" s="650"/>
      <c r="L5" s="650"/>
      <c r="M5" s="650"/>
      <c r="N5" s="650"/>
    </row>
    <row r="6" spans="1:22" ht="13" thickBot="1">
      <c r="B6" s="650"/>
      <c r="C6" s="650"/>
      <c r="D6" s="650"/>
      <c r="E6" s="652"/>
      <c r="F6" s="652"/>
      <c r="G6" s="650"/>
      <c r="H6" s="650"/>
      <c r="I6" s="650"/>
      <c r="J6" s="650"/>
      <c r="K6" s="650"/>
      <c r="L6" s="650"/>
      <c r="M6" s="650"/>
      <c r="N6" s="650"/>
    </row>
    <row r="7" spans="1:22" ht="13">
      <c r="A7" s="296"/>
      <c r="B7" s="131"/>
      <c r="C7" s="131"/>
      <c r="D7" s="131"/>
      <c r="E7" s="653"/>
      <c r="F7" s="653"/>
      <c r="G7" s="131"/>
      <c r="H7" s="131"/>
      <c r="I7" s="131"/>
      <c r="J7" s="131"/>
      <c r="K7" s="131"/>
      <c r="L7" s="131"/>
      <c r="M7" s="132"/>
      <c r="N7" s="132"/>
      <c r="O7" s="518"/>
      <c r="P7" s="133"/>
      <c r="Q7" s="133"/>
      <c r="R7" s="290"/>
    </row>
    <row r="8" spans="1:22" ht="9" customHeight="1">
      <c r="A8" s="297"/>
      <c r="B8" s="134"/>
      <c r="C8" s="134"/>
      <c r="D8" s="134"/>
      <c r="E8" s="654"/>
      <c r="F8" s="654"/>
      <c r="G8" s="134"/>
      <c r="H8" s="134"/>
      <c r="I8" s="134"/>
      <c r="J8" s="134"/>
      <c r="K8" s="134"/>
      <c r="L8" s="134"/>
      <c r="M8" s="135"/>
      <c r="N8" s="135"/>
      <c r="O8" s="519"/>
      <c r="P8" s="136"/>
      <c r="Q8" s="136"/>
      <c r="R8" s="291"/>
    </row>
    <row r="9" spans="1:22" ht="57.75" customHeight="1">
      <c r="A9" s="361" t="s">
        <v>145</v>
      </c>
      <c r="B9" s="369" t="s">
        <v>41</v>
      </c>
      <c r="C9" s="259" t="s">
        <v>42</v>
      </c>
      <c r="D9" s="259" t="s">
        <v>43</v>
      </c>
      <c r="E9" s="655" t="s">
        <v>44</v>
      </c>
      <c r="F9" s="655" t="s">
        <v>31</v>
      </c>
      <c r="G9" s="259" t="s">
        <v>45</v>
      </c>
      <c r="H9" s="259" t="s">
        <v>59</v>
      </c>
      <c r="I9" s="260" t="s">
        <v>60</v>
      </c>
      <c r="J9" s="260" t="s">
        <v>67</v>
      </c>
      <c r="K9" s="259" t="s">
        <v>61</v>
      </c>
      <c r="L9" s="259" t="s">
        <v>68</v>
      </c>
      <c r="M9" s="259" t="s">
        <v>62</v>
      </c>
      <c r="N9" s="137" t="s">
        <v>241</v>
      </c>
      <c r="O9" s="520" t="s">
        <v>242</v>
      </c>
      <c r="P9" s="137" t="s">
        <v>146</v>
      </c>
      <c r="Q9" s="137" t="s">
        <v>147</v>
      </c>
      <c r="R9" s="137" t="s">
        <v>148</v>
      </c>
    </row>
    <row r="10" spans="1:22" ht="13">
      <c r="A10" s="298" t="s">
        <v>149</v>
      </c>
      <c r="B10" s="370"/>
      <c r="C10" s="15"/>
      <c r="D10" s="15"/>
      <c r="E10" s="656"/>
      <c r="F10" s="657"/>
      <c r="G10" s="256"/>
      <c r="H10" s="138"/>
      <c r="I10" s="138"/>
      <c r="J10" s="138"/>
      <c r="K10" s="138"/>
      <c r="L10" s="138"/>
      <c r="M10" s="534"/>
      <c r="N10" s="536"/>
      <c r="O10" s="521" t="s">
        <v>56</v>
      </c>
      <c r="P10" s="310"/>
      <c r="Q10" s="139"/>
      <c r="R10" s="139"/>
    </row>
    <row r="11" spans="1:22">
      <c r="A11" s="299" t="s">
        <v>150</v>
      </c>
      <c r="B11" s="601">
        <v>130414</v>
      </c>
      <c r="C11" s="601">
        <v>8364</v>
      </c>
      <c r="D11" s="601">
        <v>10848</v>
      </c>
      <c r="E11" s="619">
        <f>160254-SUM(B11:D11)</f>
        <v>10628</v>
      </c>
      <c r="F11" s="619">
        <v>12351</v>
      </c>
      <c r="G11" s="601">
        <v>13271.69</v>
      </c>
      <c r="H11" s="601">
        <v>11670.65</v>
      </c>
      <c r="I11" s="601">
        <v>0</v>
      </c>
      <c r="J11" s="601">
        <v>0</v>
      </c>
      <c r="K11" s="601">
        <v>0</v>
      </c>
      <c r="L11" s="601">
        <v>0</v>
      </c>
      <c r="M11" s="601">
        <v>0</v>
      </c>
      <c r="N11" s="613">
        <f>SUM(B11:M11)</f>
        <v>197547.34</v>
      </c>
      <c r="O11" s="603">
        <f>911161+N11</f>
        <v>1108708.3400000001</v>
      </c>
      <c r="P11" s="604">
        <v>2869200</v>
      </c>
      <c r="Q11" s="602">
        <v>0</v>
      </c>
      <c r="R11" s="537">
        <f>+O11/P11</f>
        <v>0.38641723825456575</v>
      </c>
      <c r="S11" s="563"/>
      <c r="T11" s="564"/>
      <c r="U11" s="564"/>
      <c r="V11" s="565"/>
    </row>
    <row r="12" spans="1:22">
      <c r="A12" s="299" t="s">
        <v>151</v>
      </c>
      <c r="B12" s="601">
        <v>44397</v>
      </c>
      <c r="C12" s="601">
        <v>11855</v>
      </c>
      <c r="D12" s="601">
        <f>132690-C12-B12</f>
        <v>76438</v>
      </c>
      <c r="E12" s="619">
        <f>178067-SUM(B12:D12)</f>
        <v>45377</v>
      </c>
      <c r="F12" s="619">
        <v>42134</v>
      </c>
      <c r="G12" s="601">
        <v>48670.899999999994</v>
      </c>
      <c r="H12" s="601">
        <v>50157.36</v>
      </c>
      <c r="I12" s="601">
        <v>0</v>
      </c>
      <c r="J12" s="601">
        <v>0</v>
      </c>
      <c r="K12" s="601">
        <v>0</v>
      </c>
      <c r="L12" s="601">
        <v>0</v>
      </c>
      <c r="M12" s="601">
        <v>0</v>
      </c>
      <c r="N12" s="613">
        <f t="shared" ref="N12:N15" si="0">SUM(B12:M12)</f>
        <v>319029.26</v>
      </c>
      <c r="O12" s="603">
        <f>4136392+N12</f>
        <v>4455421.26</v>
      </c>
      <c r="P12" s="604">
        <v>9020700</v>
      </c>
      <c r="Q12" s="602">
        <v>0</v>
      </c>
      <c r="R12" s="537">
        <f t="shared" ref="R12:R15" si="1">+O12/P12</f>
        <v>0.49391081179952773</v>
      </c>
      <c r="S12" s="563"/>
      <c r="T12" s="564"/>
      <c r="U12" s="564"/>
      <c r="V12" s="565"/>
    </row>
    <row r="13" spans="1:22" ht="15">
      <c r="A13" s="299" t="s">
        <v>337</v>
      </c>
      <c r="B13" s="601">
        <v>23503</v>
      </c>
      <c r="C13" s="601">
        <v>5443</v>
      </c>
      <c r="D13" s="601">
        <f>54213-C13-B13</f>
        <v>25267</v>
      </c>
      <c r="E13" s="619">
        <v>6695</v>
      </c>
      <c r="F13" s="619">
        <v>7589</v>
      </c>
      <c r="G13" s="601">
        <v>8120.4399999999987</v>
      </c>
      <c r="H13" s="601">
        <v>7570.5499999999993</v>
      </c>
      <c r="I13" s="601">
        <v>0</v>
      </c>
      <c r="J13" s="601">
        <v>0</v>
      </c>
      <c r="K13" s="601">
        <v>0</v>
      </c>
      <c r="L13" s="601">
        <v>0</v>
      </c>
      <c r="M13" s="601">
        <v>0</v>
      </c>
      <c r="N13" s="613">
        <f t="shared" si="0"/>
        <v>84187.99</v>
      </c>
      <c r="O13" s="603">
        <f>534815+N13</f>
        <v>619002.99</v>
      </c>
      <c r="P13" s="604">
        <v>4664400</v>
      </c>
      <c r="Q13" s="602">
        <v>0</v>
      </c>
      <c r="R13" s="537">
        <f t="shared" si="1"/>
        <v>0.1327079560072035</v>
      </c>
      <c r="S13" s="563"/>
      <c r="T13" s="564"/>
      <c r="U13" s="564"/>
      <c r="V13" s="565"/>
    </row>
    <row r="14" spans="1:22">
      <c r="A14" s="299" t="s">
        <v>196</v>
      </c>
      <c r="B14" s="601">
        <v>6528</v>
      </c>
      <c r="C14" s="601">
        <v>9156</v>
      </c>
      <c r="D14" s="601">
        <f>25223-C14-B14</f>
        <v>9539</v>
      </c>
      <c r="E14" s="619">
        <f>46134-SUM(B14:D14)</f>
        <v>20911</v>
      </c>
      <c r="F14" s="619">
        <v>16437</v>
      </c>
      <c r="G14" s="601">
        <v>18691.11</v>
      </c>
      <c r="H14" s="601">
        <v>31062.91</v>
      </c>
      <c r="I14" s="601">
        <v>0</v>
      </c>
      <c r="J14" s="601">
        <v>0</v>
      </c>
      <c r="K14" s="601">
        <v>0</v>
      </c>
      <c r="L14" s="601">
        <v>0</v>
      </c>
      <c r="M14" s="601">
        <v>0</v>
      </c>
      <c r="N14" s="613">
        <f t="shared" si="0"/>
        <v>112325.02</v>
      </c>
      <c r="O14" s="603">
        <f>928210+N14</f>
        <v>1040535.02</v>
      </c>
      <c r="P14" s="602">
        <v>10301202</v>
      </c>
      <c r="Q14" s="602">
        <v>0</v>
      </c>
      <c r="R14" s="537">
        <f t="shared" si="1"/>
        <v>0.10101102958664436</v>
      </c>
      <c r="S14" s="563"/>
      <c r="T14" s="564"/>
      <c r="U14" s="564"/>
      <c r="V14" s="565"/>
    </row>
    <row r="15" spans="1:22" ht="14.5">
      <c r="A15" s="300" t="s">
        <v>152</v>
      </c>
      <c r="B15" s="605">
        <v>0</v>
      </c>
      <c r="C15" s="605">
        <v>0</v>
      </c>
      <c r="D15" s="605">
        <v>0</v>
      </c>
      <c r="E15" s="658">
        <v>0</v>
      </c>
      <c r="F15" s="658">
        <v>0</v>
      </c>
      <c r="G15" s="605">
        <v>0</v>
      </c>
      <c r="H15" s="605">
        <v>0</v>
      </c>
      <c r="I15" s="605">
        <v>0</v>
      </c>
      <c r="J15" s="605">
        <v>0</v>
      </c>
      <c r="K15" s="605">
        <v>0</v>
      </c>
      <c r="L15" s="605">
        <v>0</v>
      </c>
      <c r="M15" s="605">
        <v>0</v>
      </c>
      <c r="N15" s="602">
        <f t="shared" si="0"/>
        <v>0</v>
      </c>
      <c r="O15" s="603">
        <f>15326+N15</f>
        <v>15326</v>
      </c>
      <c r="P15" s="604">
        <v>20000</v>
      </c>
      <c r="Q15" s="602">
        <v>0</v>
      </c>
      <c r="R15" s="537">
        <f t="shared" si="1"/>
        <v>0.76629999999999998</v>
      </c>
      <c r="S15" s="563"/>
      <c r="T15" s="564"/>
      <c r="U15" s="564"/>
      <c r="V15" s="565"/>
    </row>
    <row r="16" spans="1:22" ht="13">
      <c r="A16" s="301" t="s">
        <v>153</v>
      </c>
      <c r="B16" s="605">
        <f>SUM(B11:B15)</f>
        <v>204842</v>
      </c>
      <c r="C16" s="606">
        <f t="shared" ref="C16:M16" si="2">SUM(C11:C15)</f>
        <v>34818</v>
      </c>
      <c r="D16" s="606">
        <f t="shared" si="2"/>
        <v>122092</v>
      </c>
      <c r="E16" s="606">
        <f t="shared" si="2"/>
        <v>83611</v>
      </c>
      <c r="F16" s="606">
        <f t="shared" si="2"/>
        <v>78511</v>
      </c>
      <c r="G16" s="606">
        <f t="shared" si="2"/>
        <v>88754.14</v>
      </c>
      <c r="H16" s="606">
        <f t="shared" si="2"/>
        <v>100461.47</v>
      </c>
      <c r="I16" s="606">
        <f t="shared" si="2"/>
        <v>0</v>
      </c>
      <c r="J16" s="606">
        <f t="shared" si="2"/>
        <v>0</v>
      </c>
      <c r="K16" s="606">
        <f>SUM(K11:K15)</f>
        <v>0</v>
      </c>
      <c r="L16" s="606">
        <f t="shared" si="2"/>
        <v>0</v>
      </c>
      <c r="M16" s="606">
        <f t="shared" si="2"/>
        <v>0</v>
      </c>
      <c r="N16" s="607">
        <f>SUM(N11:N15)</f>
        <v>713089.61</v>
      </c>
      <c r="O16" s="608">
        <f>SUM(O11:O15)</f>
        <v>7238993.6099999994</v>
      </c>
      <c r="P16" s="609">
        <f>SUM(P11:P15)</f>
        <v>26875502</v>
      </c>
      <c r="Q16" s="610">
        <f>SUM(Q11:Q15)</f>
        <v>0</v>
      </c>
      <c r="R16" s="538">
        <f>O16/P16</f>
        <v>0.26935287050638157</v>
      </c>
      <c r="S16" s="563"/>
      <c r="T16" s="564"/>
      <c r="U16" s="564"/>
      <c r="V16" s="565"/>
    </row>
    <row r="17" spans="1:22">
      <c r="A17" s="300"/>
      <c r="B17" s="601"/>
      <c r="C17" s="611"/>
      <c r="D17" s="611"/>
      <c r="E17" s="611"/>
      <c r="F17" s="612"/>
      <c r="G17" s="611"/>
      <c r="H17" s="612"/>
      <c r="I17" s="612"/>
      <c r="J17" s="612"/>
      <c r="K17" s="612"/>
      <c r="L17" s="612"/>
      <c r="M17" s="612"/>
      <c r="N17" s="602"/>
      <c r="O17" s="613"/>
      <c r="P17" s="604"/>
      <c r="Q17" s="602"/>
      <c r="R17" s="537"/>
      <c r="S17" s="563"/>
      <c r="T17" s="564"/>
      <c r="U17" s="564"/>
      <c r="V17" s="565"/>
    </row>
    <row r="18" spans="1:22" ht="13">
      <c r="A18" s="298" t="s">
        <v>154</v>
      </c>
      <c r="B18" s="601"/>
      <c r="C18" s="611"/>
      <c r="D18" s="611"/>
      <c r="E18" s="611"/>
      <c r="F18" s="612"/>
      <c r="G18" s="611"/>
      <c r="H18" s="612"/>
      <c r="I18" s="612"/>
      <c r="J18" s="612"/>
      <c r="K18" s="612"/>
      <c r="L18" s="612"/>
      <c r="M18" s="612"/>
      <c r="N18" s="602"/>
      <c r="O18" s="613"/>
      <c r="P18" s="604"/>
      <c r="Q18" s="602"/>
      <c r="R18" s="537"/>
      <c r="S18" s="563"/>
      <c r="T18" s="564"/>
      <c r="U18" s="564"/>
      <c r="V18" s="565"/>
    </row>
    <row r="19" spans="1:22">
      <c r="A19" s="299"/>
      <c r="B19" s="601">
        <v>0</v>
      </c>
      <c r="C19" s="611">
        <v>0</v>
      </c>
      <c r="D19" s="611">
        <v>0</v>
      </c>
      <c r="E19" s="611">
        <v>0</v>
      </c>
      <c r="F19" s="611">
        <v>0</v>
      </c>
      <c r="G19" s="611">
        <v>0</v>
      </c>
      <c r="H19" s="611">
        <v>0</v>
      </c>
      <c r="I19" s="611">
        <v>0</v>
      </c>
      <c r="J19" s="611">
        <v>0</v>
      </c>
      <c r="K19" s="611">
        <v>0</v>
      </c>
      <c r="L19" s="611">
        <v>0</v>
      </c>
      <c r="M19" s="611">
        <v>0</v>
      </c>
      <c r="N19" s="602">
        <f>SUM(B19:M19)</f>
        <v>0</v>
      </c>
      <c r="O19" s="603">
        <f>0+N19</f>
        <v>0</v>
      </c>
      <c r="P19" s="604">
        <v>0</v>
      </c>
      <c r="Q19" s="602">
        <v>0</v>
      </c>
      <c r="R19" s="537">
        <v>0</v>
      </c>
      <c r="S19" s="563"/>
      <c r="T19" s="564"/>
      <c r="U19" s="564"/>
      <c r="V19" s="565"/>
    </row>
    <row r="20" spans="1:22" ht="13">
      <c r="A20" s="301" t="s">
        <v>155</v>
      </c>
      <c r="B20" s="607">
        <f t="shared" ref="B20:M20" si="3">SUM(B19:B19)</f>
        <v>0</v>
      </c>
      <c r="C20" s="614">
        <f t="shared" si="3"/>
        <v>0</v>
      </c>
      <c r="D20" s="614">
        <f t="shared" si="3"/>
        <v>0</v>
      </c>
      <c r="E20" s="614">
        <f t="shared" si="3"/>
        <v>0</v>
      </c>
      <c r="F20" s="614">
        <f t="shared" si="3"/>
        <v>0</v>
      </c>
      <c r="G20" s="614">
        <f t="shared" si="3"/>
        <v>0</v>
      </c>
      <c r="H20" s="614">
        <f t="shared" si="3"/>
        <v>0</v>
      </c>
      <c r="I20" s="614">
        <f t="shared" si="3"/>
        <v>0</v>
      </c>
      <c r="J20" s="614">
        <f t="shared" si="3"/>
        <v>0</v>
      </c>
      <c r="K20" s="614">
        <f t="shared" si="3"/>
        <v>0</v>
      </c>
      <c r="L20" s="614">
        <f t="shared" si="3"/>
        <v>0</v>
      </c>
      <c r="M20" s="614">
        <f t="shared" si="3"/>
        <v>0</v>
      </c>
      <c r="N20" s="610">
        <f>SUM(N19:N19)</f>
        <v>0</v>
      </c>
      <c r="O20" s="615">
        <f>SUM(O19:O19)</f>
        <v>0</v>
      </c>
      <c r="P20" s="609">
        <f>SUM(P19:P19)</f>
        <v>0</v>
      </c>
      <c r="Q20" s="610">
        <f>SUM(Q19:Q19)</f>
        <v>0</v>
      </c>
      <c r="R20" s="539">
        <v>0</v>
      </c>
      <c r="S20" s="563"/>
      <c r="T20" s="564"/>
      <c r="U20" s="564"/>
      <c r="V20" s="565"/>
    </row>
    <row r="21" spans="1:22" ht="13">
      <c r="A21" s="302"/>
      <c r="B21" s="601"/>
      <c r="C21" s="611"/>
      <c r="D21" s="611"/>
      <c r="E21" s="611"/>
      <c r="F21" s="611"/>
      <c r="G21" s="611"/>
      <c r="H21" s="611"/>
      <c r="I21" s="611"/>
      <c r="J21" s="611"/>
      <c r="K21" s="611"/>
      <c r="L21" s="611"/>
      <c r="M21" s="611"/>
      <c r="N21" s="602"/>
      <c r="O21" s="613"/>
      <c r="P21" s="604"/>
      <c r="Q21" s="602"/>
      <c r="R21" s="540"/>
      <c r="S21" s="563"/>
      <c r="T21" s="564"/>
      <c r="U21" s="564"/>
      <c r="V21" s="565"/>
    </row>
    <row r="22" spans="1:22" ht="13">
      <c r="A22" s="298" t="s">
        <v>156</v>
      </c>
      <c r="B22" s="601"/>
      <c r="C22" s="611"/>
      <c r="D22" s="611"/>
      <c r="E22" s="611"/>
      <c r="F22" s="612"/>
      <c r="G22" s="611"/>
      <c r="H22" s="612"/>
      <c r="I22" s="612"/>
      <c r="J22" s="612"/>
      <c r="K22" s="612"/>
      <c r="L22" s="612"/>
      <c r="M22" s="612"/>
      <c r="N22" s="602"/>
      <c r="O22" s="613"/>
      <c r="P22" s="604"/>
      <c r="Q22" s="602"/>
      <c r="R22" s="537"/>
      <c r="S22" s="563"/>
      <c r="T22" s="564"/>
      <c r="U22" s="564"/>
      <c r="V22" s="565"/>
    </row>
    <row r="23" spans="1:22" ht="14.5">
      <c r="A23" s="299" t="s">
        <v>303</v>
      </c>
      <c r="B23" s="605">
        <v>96846</v>
      </c>
      <c r="C23" s="605">
        <v>105482</v>
      </c>
      <c r="D23" s="605">
        <f>469825-C23-B23</f>
        <v>267497</v>
      </c>
      <c r="E23" s="605">
        <f>493182-SUM(B23:D23)</f>
        <v>23357</v>
      </c>
      <c r="F23" s="605">
        <v>-19352</v>
      </c>
      <c r="G23" s="605">
        <v>320557.86999999994</v>
      </c>
      <c r="H23" s="605">
        <v>14894.960000000021</v>
      </c>
      <c r="I23" s="605">
        <v>0</v>
      </c>
      <c r="J23" s="605">
        <v>0</v>
      </c>
      <c r="K23" s="605">
        <v>0</v>
      </c>
      <c r="L23" s="605">
        <v>0</v>
      </c>
      <c r="M23" s="605">
        <v>0</v>
      </c>
      <c r="N23" s="602">
        <f>SUM(B23:M23)</f>
        <v>809282.82999999984</v>
      </c>
      <c r="O23" s="603">
        <f>3846745+N23</f>
        <v>4656027.83</v>
      </c>
      <c r="P23" s="604">
        <v>8320000</v>
      </c>
      <c r="Q23" s="602">
        <v>0</v>
      </c>
      <c r="R23" s="537">
        <f t="shared" ref="R23" si="4">+O23/P23</f>
        <v>0.55961872956730774</v>
      </c>
      <c r="S23" s="563"/>
      <c r="T23" s="564"/>
      <c r="U23" s="564"/>
      <c r="V23" s="565"/>
    </row>
    <row r="24" spans="1:22" ht="13">
      <c r="A24" s="301" t="s">
        <v>157</v>
      </c>
      <c r="B24" s="605">
        <f t="shared" ref="B24:M24" si="5">SUM(B23:B23)</f>
        <v>96846</v>
      </c>
      <c r="C24" s="606">
        <f t="shared" si="5"/>
        <v>105482</v>
      </c>
      <c r="D24" s="606">
        <f t="shared" si="5"/>
        <v>267497</v>
      </c>
      <c r="E24" s="606">
        <f t="shared" si="5"/>
        <v>23357</v>
      </c>
      <c r="F24" s="606">
        <f t="shared" si="5"/>
        <v>-19352</v>
      </c>
      <c r="G24" s="606">
        <f t="shared" si="5"/>
        <v>320557.86999999994</v>
      </c>
      <c r="H24" s="606">
        <f t="shared" si="5"/>
        <v>14894.960000000021</v>
      </c>
      <c r="I24" s="606">
        <f t="shared" si="5"/>
        <v>0</v>
      </c>
      <c r="J24" s="606">
        <f t="shared" si="5"/>
        <v>0</v>
      </c>
      <c r="K24" s="606">
        <f t="shared" si="5"/>
        <v>0</v>
      </c>
      <c r="L24" s="606">
        <f t="shared" si="5"/>
        <v>0</v>
      </c>
      <c r="M24" s="606">
        <f t="shared" si="5"/>
        <v>0</v>
      </c>
      <c r="N24" s="610">
        <f>SUM(N23:N23)</f>
        <v>809282.82999999984</v>
      </c>
      <c r="O24" s="615">
        <f>O23</f>
        <v>4656027.83</v>
      </c>
      <c r="P24" s="609">
        <f>SUM(P23:P23)</f>
        <v>8320000</v>
      </c>
      <c r="Q24" s="610">
        <f>SUM(Q23:Q23)</f>
        <v>0</v>
      </c>
      <c r="R24" s="539">
        <f>O24/P24</f>
        <v>0.55961872956730774</v>
      </c>
      <c r="S24" s="563"/>
      <c r="T24" s="564"/>
      <c r="U24" s="564"/>
      <c r="V24" s="565"/>
    </row>
    <row r="25" spans="1:22" ht="13">
      <c r="A25" s="298"/>
      <c r="B25" s="601"/>
      <c r="C25" s="611"/>
      <c r="D25" s="611"/>
      <c r="E25" s="611"/>
      <c r="F25" s="612"/>
      <c r="G25" s="611"/>
      <c r="H25" s="612"/>
      <c r="I25" s="612"/>
      <c r="J25" s="612"/>
      <c r="K25" s="612"/>
      <c r="L25" s="612"/>
      <c r="M25" s="612"/>
      <c r="N25" s="602"/>
      <c r="O25" s="613"/>
      <c r="P25" s="604"/>
      <c r="Q25" s="602"/>
      <c r="R25" s="537"/>
      <c r="S25" s="563"/>
      <c r="T25" s="564"/>
      <c r="U25" s="564"/>
      <c r="V25" s="565"/>
    </row>
    <row r="26" spans="1:22" ht="13">
      <c r="A26" s="298" t="s">
        <v>158</v>
      </c>
      <c r="B26" s="601"/>
      <c r="C26" s="611"/>
      <c r="D26" s="611"/>
      <c r="E26" s="611"/>
      <c r="F26" s="612"/>
      <c r="G26" s="611"/>
      <c r="H26" s="612"/>
      <c r="I26" s="612"/>
      <c r="J26" s="612"/>
      <c r="K26" s="612"/>
      <c r="L26" s="612"/>
      <c r="M26" s="612"/>
      <c r="N26" s="602"/>
      <c r="O26" s="613"/>
      <c r="P26" s="604"/>
      <c r="Q26" s="602"/>
      <c r="R26" s="537"/>
      <c r="S26" s="563"/>
      <c r="T26" s="564"/>
      <c r="U26" s="564"/>
      <c r="V26" s="565"/>
    </row>
    <row r="27" spans="1:22">
      <c r="A27" s="299" t="s">
        <v>159</v>
      </c>
      <c r="B27" s="616">
        <v>22999</v>
      </c>
      <c r="C27" s="616">
        <v>17650</v>
      </c>
      <c r="D27" s="616">
        <v>50081</v>
      </c>
      <c r="E27" s="616">
        <v>21035</v>
      </c>
      <c r="F27" s="616">
        <v>41123</v>
      </c>
      <c r="G27" s="616">
        <v>14076.98</v>
      </c>
      <c r="H27" s="616">
        <v>15605.669999999998</v>
      </c>
      <c r="I27" s="616">
        <v>0</v>
      </c>
      <c r="J27" s="616">
        <v>0</v>
      </c>
      <c r="K27" s="616">
        <v>0</v>
      </c>
      <c r="L27" s="616">
        <v>0</v>
      </c>
      <c r="M27" s="616">
        <v>0</v>
      </c>
      <c r="N27" s="602">
        <f>SUM(B27:M27)</f>
        <v>182570.65000000002</v>
      </c>
      <c r="O27" s="603">
        <f>1326267+N27</f>
        <v>1508837.65</v>
      </c>
      <c r="P27" s="604">
        <v>3483000</v>
      </c>
      <c r="Q27" s="602">
        <v>0</v>
      </c>
      <c r="R27" s="537">
        <f t="shared" ref="R27:R29" si="6">+O27/P27</f>
        <v>0.43320058857306915</v>
      </c>
      <c r="S27" s="563"/>
      <c r="T27" s="564"/>
      <c r="U27" s="564"/>
      <c r="V27" s="565"/>
    </row>
    <row r="28" spans="1:22">
      <c r="A28" s="299" t="s">
        <v>160</v>
      </c>
      <c r="B28" s="601">
        <v>29511</v>
      </c>
      <c r="C28" s="601">
        <v>26533</v>
      </c>
      <c r="D28" s="601">
        <v>28341</v>
      </c>
      <c r="E28" s="601">
        <f>124759-SUM(B28:D28)</f>
        <v>40374</v>
      </c>
      <c r="F28" s="601">
        <v>18416</v>
      </c>
      <c r="G28" s="601">
        <v>28532.93</v>
      </c>
      <c r="H28" s="601">
        <v>28883.03</v>
      </c>
      <c r="I28" s="601">
        <v>0</v>
      </c>
      <c r="J28" s="601">
        <v>0</v>
      </c>
      <c r="K28" s="601">
        <v>0</v>
      </c>
      <c r="L28" s="601">
        <v>0</v>
      </c>
      <c r="M28" s="601">
        <v>0</v>
      </c>
      <c r="N28" s="602">
        <f>SUM(B28:M28)</f>
        <v>200590.96</v>
      </c>
      <c r="O28" s="603">
        <f>1608647+N28</f>
        <v>1809237.96</v>
      </c>
      <c r="P28" s="604">
        <v>3794000</v>
      </c>
      <c r="Q28" s="602">
        <v>0</v>
      </c>
      <c r="R28" s="537">
        <f t="shared" si="6"/>
        <v>0.47686820242488137</v>
      </c>
      <c r="S28" s="563"/>
      <c r="T28" s="564"/>
      <c r="U28" s="564"/>
      <c r="V28" s="565"/>
    </row>
    <row r="29" spans="1:22">
      <c r="A29" s="303" t="s">
        <v>161</v>
      </c>
      <c r="B29" s="605">
        <v>7417</v>
      </c>
      <c r="C29" s="605">
        <v>9018</v>
      </c>
      <c r="D29" s="605">
        <v>10206</v>
      </c>
      <c r="E29" s="605">
        <f>51904-SUM(B29:D29)</f>
        <v>25263</v>
      </c>
      <c r="F29" s="605">
        <v>7642</v>
      </c>
      <c r="G29" s="605">
        <v>10083.32</v>
      </c>
      <c r="H29" s="605">
        <v>8791.14</v>
      </c>
      <c r="I29" s="605">
        <v>0</v>
      </c>
      <c r="J29" s="605">
        <v>0</v>
      </c>
      <c r="K29" s="605">
        <v>0</v>
      </c>
      <c r="L29" s="605">
        <v>0</v>
      </c>
      <c r="M29" s="605">
        <v>0</v>
      </c>
      <c r="N29" s="602">
        <f>SUM(B29:M29)</f>
        <v>78420.460000000006</v>
      </c>
      <c r="O29" s="603">
        <f>968425+N29</f>
        <v>1046845.46</v>
      </c>
      <c r="P29" s="602">
        <v>11267000</v>
      </c>
      <c r="Q29" s="602">
        <v>0</v>
      </c>
      <c r="R29" s="537">
        <f t="shared" si="6"/>
        <v>9.2912528623413509E-2</v>
      </c>
      <c r="S29" s="563"/>
      <c r="T29" s="564"/>
      <c r="U29" s="564"/>
      <c r="V29" s="565"/>
    </row>
    <row r="30" spans="1:22" ht="13">
      <c r="A30" s="301" t="s">
        <v>162</v>
      </c>
      <c r="B30" s="605">
        <f t="shared" ref="B30:I30" si="7">SUM(B27:B29)</f>
        <v>59927</v>
      </c>
      <c r="C30" s="606">
        <f t="shared" si="7"/>
        <v>53201</v>
      </c>
      <c r="D30" s="606">
        <f t="shared" si="7"/>
        <v>88628</v>
      </c>
      <c r="E30" s="606">
        <f>SUM(E27:E29)</f>
        <v>86672</v>
      </c>
      <c r="F30" s="617">
        <f t="shared" si="7"/>
        <v>67181</v>
      </c>
      <c r="G30" s="606">
        <f t="shared" si="7"/>
        <v>52693.23</v>
      </c>
      <c r="H30" s="617">
        <f t="shared" si="7"/>
        <v>53279.839999999997</v>
      </c>
      <c r="I30" s="617">
        <f t="shared" si="7"/>
        <v>0</v>
      </c>
      <c r="J30" s="617">
        <f>SUM(J27:J29)</f>
        <v>0</v>
      </c>
      <c r="K30" s="617">
        <f>SUM(K27:K29)</f>
        <v>0</v>
      </c>
      <c r="L30" s="617">
        <f>SUM(L27:L29)</f>
        <v>0</v>
      </c>
      <c r="M30" s="617">
        <f t="shared" ref="M30:Q30" si="8">SUM(M27:M29)</f>
        <v>0</v>
      </c>
      <c r="N30" s="610">
        <f t="shared" si="8"/>
        <v>461582.07</v>
      </c>
      <c r="O30" s="615">
        <f t="shared" si="8"/>
        <v>4364921.07</v>
      </c>
      <c r="P30" s="609">
        <f>SUM(P27:P29)</f>
        <v>18544000</v>
      </c>
      <c r="Q30" s="610">
        <f t="shared" si="8"/>
        <v>0</v>
      </c>
      <c r="R30" s="539">
        <f>O30/P30</f>
        <v>0.23538185235116482</v>
      </c>
      <c r="S30" s="563"/>
      <c r="T30" s="564"/>
      <c r="U30" s="564"/>
      <c r="V30" s="565"/>
    </row>
    <row r="31" spans="1:22">
      <c r="A31" s="299"/>
      <c r="B31" s="601"/>
      <c r="C31" s="611"/>
      <c r="D31" s="611"/>
      <c r="E31" s="611"/>
      <c r="F31" s="612"/>
      <c r="G31" s="611"/>
      <c r="H31" s="612"/>
      <c r="I31" s="612"/>
      <c r="J31" s="612"/>
      <c r="K31" s="612"/>
      <c r="L31" s="612"/>
      <c r="M31" s="612"/>
      <c r="N31" s="602"/>
      <c r="O31" s="613"/>
      <c r="P31" s="604"/>
      <c r="Q31" s="602"/>
      <c r="R31" s="537"/>
      <c r="S31" s="563"/>
      <c r="T31" s="564"/>
      <c r="U31" s="564"/>
      <c r="V31" s="565"/>
    </row>
    <row r="32" spans="1:22" ht="13">
      <c r="A32" s="298" t="s">
        <v>163</v>
      </c>
      <c r="B32" s="601"/>
      <c r="C32" s="611"/>
      <c r="D32" s="611"/>
      <c r="E32" s="611"/>
      <c r="F32" s="612"/>
      <c r="G32" s="611"/>
      <c r="H32" s="612"/>
      <c r="I32" s="612"/>
      <c r="J32" s="612"/>
      <c r="K32" s="612"/>
      <c r="L32" s="612"/>
      <c r="M32" s="612"/>
      <c r="N32" s="602"/>
      <c r="O32" s="613"/>
      <c r="P32" s="604"/>
      <c r="Q32" s="602"/>
      <c r="R32" s="537"/>
      <c r="S32" s="563"/>
      <c r="T32" s="564"/>
      <c r="U32" s="564"/>
      <c r="V32" s="565"/>
    </row>
    <row r="33" spans="1:22">
      <c r="A33" s="299" t="s">
        <v>164</v>
      </c>
      <c r="B33" s="616">
        <v>0</v>
      </c>
      <c r="C33" s="616">
        <v>0</v>
      </c>
      <c r="D33" s="616">
        <v>0</v>
      </c>
      <c r="E33" s="616">
        <v>0</v>
      </c>
      <c r="F33" s="616">
        <v>0</v>
      </c>
      <c r="G33" s="616">
        <v>0</v>
      </c>
      <c r="H33" s="616">
        <v>0</v>
      </c>
      <c r="I33" s="616">
        <v>0</v>
      </c>
      <c r="J33" s="616">
        <v>0</v>
      </c>
      <c r="K33" s="616">
        <v>0</v>
      </c>
      <c r="L33" s="616">
        <v>0</v>
      </c>
      <c r="M33" s="616">
        <v>0</v>
      </c>
      <c r="N33" s="602">
        <f>SUM(B33:M33)</f>
        <v>0</v>
      </c>
      <c r="O33" s="603">
        <f>8111.66+N33</f>
        <v>8111.66</v>
      </c>
      <c r="P33" s="604">
        <v>2507000</v>
      </c>
      <c r="Q33" s="602">
        <v>0</v>
      </c>
      <c r="R33" s="537">
        <f t="shared" ref="R33:R36" si="9">+O33/P33</f>
        <v>3.2356043079377742E-3</v>
      </c>
      <c r="S33" s="563"/>
      <c r="T33" s="564"/>
      <c r="U33" s="564"/>
      <c r="V33" s="565"/>
    </row>
    <row r="34" spans="1:22">
      <c r="A34" s="299" t="s">
        <v>165</v>
      </c>
      <c r="B34" s="601">
        <v>111344</v>
      </c>
      <c r="C34" s="601">
        <v>1498</v>
      </c>
      <c r="D34" s="601">
        <f>114985-B34-C34</f>
        <v>2143</v>
      </c>
      <c r="E34" s="601">
        <f>116939-SUM(B34:D34)</f>
        <v>1954</v>
      </c>
      <c r="F34" s="601">
        <v>1678</v>
      </c>
      <c r="G34" s="601">
        <v>621.53</v>
      </c>
      <c r="H34" s="601">
        <v>3349.6</v>
      </c>
      <c r="I34" s="601">
        <v>0</v>
      </c>
      <c r="J34" s="601">
        <v>0</v>
      </c>
      <c r="K34" s="601">
        <v>0</v>
      </c>
      <c r="L34" s="601">
        <v>0</v>
      </c>
      <c r="M34" s="601">
        <v>0</v>
      </c>
      <c r="N34" s="602">
        <f>SUM(B34:M34)</f>
        <v>122588.13</v>
      </c>
      <c r="O34" s="603">
        <f>63741+N34</f>
        <v>186329.13</v>
      </c>
      <c r="P34" s="602">
        <v>500000</v>
      </c>
      <c r="Q34" s="602">
        <v>0</v>
      </c>
      <c r="R34" s="537">
        <f t="shared" si="9"/>
        <v>0.37265826000000002</v>
      </c>
      <c r="S34" s="563"/>
      <c r="T34" s="564"/>
      <c r="U34" s="564"/>
      <c r="V34" s="565"/>
    </row>
    <row r="35" spans="1:22" ht="14.5">
      <c r="A35" s="313" t="s">
        <v>345</v>
      </c>
      <c r="B35" s="601">
        <v>1681</v>
      </c>
      <c r="C35" s="601">
        <v>1873</v>
      </c>
      <c r="D35" s="601">
        <f>6233-C35-B35</f>
        <v>2679</v>
      </c>
      <c r="E35" s="601">
        <v>2442</v>
      </c>
      <c r="F35" s="601">
        <v>2098</v>
      </c>
      <c r="G35" s="601">
        <f>776.91-1</f>
        <v>775.91</v>
      </c>
      <c r="H35" s="601">
        <v>-1986.6699999999996</v>
      </c>
      <c r="I35" s="601">
        <v>0</v>
      </c>
      <c r="J35" s="601">
        <v>0</v>
      </c>
      <c r="K35" s="601">
        <v>0</v>
      </c>
      <c r="L35" s="601">
        <v>0</v>
      </c>
      <c r="M35" s="601">
        <v>0</v>
      </c>
      <c r="N35" s="602">
        <f>SUM(B35:M35)</f>
        <v>9562.24</v>
      </c>
      <c r="O35" s="603">
        <f>615021+N35</f>
        <v>624583.24</v>
      </c>
      <c r="P35" s="604">
        <v>2148000</v>
      </c>
      <c r="Q35" s="602">
        <v>0</v>
      </c>
      <c r="R35" s="537">
        <f t="shared" si="9"/>
        <v>0.29077432029795158</v>
      </c>
      <c r="S35" s="563"/>
      <c r="T35" s="564"/>
      <c r="U35" s="564"/>
      <c r="V35" s="565"/>
    </row>
    <row r="36" spans="1:22">
      <c r="A36" s="314" t="s">
        <v>166</v>
      </c>
      <c r="B36" s="605">
        <v>0</v>
      </c>
      <c r="C36" s="605">
        <v>0</v>
      </c>
      <c r="D36" s="605">
        <v>0</v>
      </c>
      <c r="E36" s="605">
        <v>0</v>
      </c>
      <c r="F36" s="605">
        <v>0</v>
      </c>
      <c r="G36" s="605">
        <v>0</v>
      </c>
      <c r="H36" s="605">
        <v>0</v>
      </c>
      <c r="I36" s="605">
        <v>0</v>
      </c>
      <c r="J36" s="605">
        <v>0</v>
      </c>
      <c r="K36" s="605">
        <v>0</v>
      </c>
      <c r="L36" s="605">
        <v>0</v>
      </c>
      <c r="M36" s="605">
        <v>0</v>
      </c>
      <c r="N36" s="602">
        <f>SUM(B36:M36)</f>
        <v>0</v>
      </c>
      <c r="O36" s="603">
        <f>36789+N36</f>
        <v>36789</v>
      </c>
      <c r="P36" s="602">
        <v>340000</v>
      </c>
      <c r="Q36" s="602">
        <v>0</v>
      </c>
      <c r="R36" s="537">
        <f t="shared" si="9"/>
        <v>0.10820294117647059</v>
      </c>
      <c r="S36" s="563"/>
      <c r="T36" s="564"/>
      <c r="U36" s="564"/>
      <c r="V36" s="565"/>
    </row>
    <row r="37" spans="1:22" ht="13">
      <c r="A37" s="301" t="s">
        <v>262</v>
      </c>
      <c r="B37" s="605">
        <f t="shared" ref="B37:Q37" si="10">SUM(B33:B36)</f>
        <v>113025</v>
      </c>
      <c r="C37" s="606">
        <f t="shared" si="10"/>
        <v>3371</v>
      </c>
      <c r="D37" s="606">
        <f t="shared" si="10"/>
        <v>4822</v>
      </c>
      <c r="E37" s="606">
        <f t="shared" si="10"/>
        <v>4396</v>
      </c>
      <c r="F37" s="606">
        <f t="shared" si="10"/>
        <v>3776</v>
      </c>
      <c r="G37" s="606">
        <f t="shared" si="10"/>
        <v>1397.44</v>
      </c>
      <c r="H37" s="606">
        <f t="shared" si="10"/>
        <v>1362.9300000000003</v>
      </c>
      <c r="I37" s="606">
        <f t="shared" si="10"/>
        <v>0</v>
      </c>
      <c r="J37" s="606">
        <f t="shared" si="10"/>
        <v>0</v>
      </c>
      <c r="K37" s="606">
        <f t="shared" si="10"/>
        <v>0</v>
      </c>
      <c r="L37" s="606">
        <f t="shared" si="10"/>
        <v>0</v>
      </c>
      <c r="M37" s="606">
        <f t="shared" si="10"/>
        <v>0</v>
      </c>
      <c r="N37" s="610">
        <f>SUM(N33:N36)</f>
        <v>132150.37</v>
      </c>
      <c r="O37" s="615">
        <f>SUM(O33:O36)</f>
        <v>855813.03</v>
      </c>
      <c r="P37" s="609">
        <f t="shared" si="10"/>
        <v>5495000</v>
      </c>
      <c r="Q37" s="610">
        <f t="shared" si="10"/>
        <v>0</v>
      </c>
      <c r="R37" s="539">
        <f>O37/P37</f>
        <v>0.15574395450409464</v>
      </c>
      <c r="S37" s="563"/>
      <c r="T37" s="564"/>
      <c r="U37" s="564"/>
      <c r="V37" s="565"/>
    </row>
    <row r="38" spans="1:22">
      <c r="A38" s="299"/>
      <c r="B38" s="601"/>
      <c r="C38" s="611"/>
      <c r="D38" s="611"/>
      <c r="E38" s="611"/>
      <c r="F38" s="612"/>
      <c r="G38" s="611"/>
      <c r="H38" s="612"/>
      <c r="I38" s="612"/>
      <c r="J38" s="612"/>
      <c r="K38" s="612"/>
      <c r="L38" s="612"/>
      <c r="M38" s="612"/>
      <c r="N38" s="602"/>
      <c r="O38" s="613"/>
      <c r="P38" s="604"/>
      <c r="Q38" s="602"/>
      <c r="R38" s="537"/>
      <c r="S38" s="563"/>
      <c r="T38" s="564"/>
      <c r="U38" s="564"/>
      <c r="V38" s="565"/>
    </row>
    <row r="39" spans="1:22" ht="13">
      <c r="A39" s="298" t="s">
        <v>167</v>
      </c>
      <c r="B39" s="601"/>
      <c r="C39" s="611"/>
      <c r="D39" s="611"/>
      <c r="E39" s="611"/>
      <c r="F39" s="612"/>
      <c r="G39" s="611"/>
      <c r="H39" s="612"/>
      <c r="I39" s="612"/>
      <c r="J39" s="612"/>
      <c r="K39" s="612"/>
      <c r="L39" s="612"/>
      <c r="M39" s="612"/>
      <c r="N39" s="602"/>
      <c r="O39" s="613"/>
      <c r="P39" s="604"/>
      <c r="Q39" s="602"/>
      <c r="R39" s="537"/>
      <c r="S39" s="563"/>
      <c r="T39" s="564"/>
      <c r="U39" s="564"/>
      <c r="V39" s="565"/>
    </row>
    <row r="40" spans="1:22">
      <c r="A40" s="299" t="s">
        <v>261</v>
      </c>
      <c r="B40" s="618">
        <v>2750</v>
      </c>
      <c r="C40" s="618">
        <v>0</v>
      </c>
      <c r="D40" s="618">
        <v>40412</v>
      </c>
      <c r="E40" s="618">
        <v>1641</v>
      </c>
      <c r="F40" s="618">
        <v>43449</v>
      </c>
      <c r="G40" s="618">
        <v>130793</v>
      </c>
      <c r="H40" s="618">
        <v>27632.190000000002</v>
      </c>
      <c r="I40" s="618">
        <v>0</v>
      </c>
      <c r="J40" s="618">
        <v>0</v>
      </c>
      <c r="K40" s="618">
        <v>0</v>
      </c>
      <c r="L40" s="618">
        <v>0</v>
      </c>
      <c r="M40" s="618">
        <v>0</v>
      </c>
      <c r="N40" s="602">
        <f>SUM(B40:M40)</f>
        <v>246677.19</v>
      </c>
      <c r="O40" s="603">
        <f>2744778+N40</f>
        <v>2991455.19</v>
      </c>
      <c r="P40" s="604">
        <v>4502000</v>
      </c>
      <c r="Q40" s="602">
        <v>0</v>
      </c>
      <c r="R40" s="537">
        <f t="shared" ref="R40" si="11">+O40/P40</f>
        <v>0.66447249888938253</v>
      </c>
      <c r="S40" s="563"/>
      <c r="T40" s="564"/>
      <c r="U40" s="564"/>
      <c r="V40" s="565"/>
    </row>
    <row r="41" spans="1:22" ht="13">
      <c r="A41" s="301" t="s">
        <v>168</v>
      </c>
      <c r="B41" s="605">
        <f t="shared" ref="B41:N41" si="12">SUM(B40:B40)</f>
        <v>2750</v>
      </c>
      <c r="C41" s="606">
        <f t="shared" si="12"/>
        <v>0</v>
      </c>
      <c r="D41" s="606">
        <f t="shared" si="12"/>
        <v>40412</v>
      </c>
      <c r="E41" s="606">
        <f t="shared" si="12"/>
        <v>1641</v>
      </c>
      <c r="F41" s="617">
        <f t="shared" si="12"/>
        <v>43449</v>
      </c>
      <c r="G41" s="606">
        <f t="shared" si="12"/>
        <v>130793</v>
      </c>
      <c r="H41" s="617">
        <f t="shared" si="12"/>
        <v>27632.190000000002</v>
      </c>
      <c r="I41" s="617">
        <f t="shared" si="12"/>
        <v>0</v>
      </c>
      <c r="J41" s="617">
        <f t="shared" si="12"/>
        <v>0</v>
      </c>
      <c r="K41" s="617">
        <f t="shared" si="12"/>
        <v>0</v>
      </c>
      <c r="L41" s="617">
        <f t="shared" si="12"/>
        <v>0</v>
      </c>
      <c r="M41" s="617">
        <f t="shared" si="12"/>
        <v>0</v>
      </c>
      <c r="N41" s="610">
        <f t="shared" si="12"/>
        <v>246677.19</v>
      </c>
      <c r="O41" s="615">
        <f>O40</f>
        <v>2991455.19</v>
      </c>
      <c r="P41" s="609">
        <f>SUM(P40)</f>
        <v>4502000</v>
      </c>
      <c r="Q41" s="610">
        <f>SUM(Q40:Q40)</f>
        <v>0</v>
      </c>
      <c r="R41" s="539">
        <f>O41/P41</f>
        <v>0.66447249888938253</v>
      </c>
      <c r="S41" s="563"/>
      <c r="T41" s="564"/>
      <c r="U41" s="564"/>
      <c r="V41" s="565"/>
    </row>
    <row r="42" spans="1:22" ht="13">
      <c r="A42" s="298"/>
      <c r="B42" s="601"/>
      <c r="C42" s="611"/>
      <c r="D42" s="611"/>
      <c r="E42" s="611"/>
      <c r="F42" s="612"/>
      <c r="G42" s="611"/>
      <c r="H42" s="612"/>
      <c r="I42" s="612"/>
      <c r="J42" s="612"/>
      <c r="K42" s="612"/>
      <c r="L42" s="612"/>
      <c r="M42" s="612"/>
      <c r="N42" s="602"/>
      <c r="O42" s="619"/>
      <c r="P42" s="620"/>
      <c r="Q42" s="602"/>
      <c r="R42" s="537"/>
      <c r="S42" s="563"/>
      <c r="T42" s="564"/>
      <c r="U42" s="564"/>
      <c r="V42" s="565"/>
    </row>
    <row r="43" spans="1:22" ht="13">
      <c r="A43" s="298" t="s">
        <v>169</v>
      </c>
      <c r="B43" s="601"/>
      <c r="C43" s="611"/>
      <c r="D43" s="611"/>
      <c r="E43" s="611"/>
      <c r="F43" s="612"/>
      <c r="G43" s="611"/>
      <c r="H43" s="612"/>
      <c r="I43" s="612"/>
      <c r="J43" s="612"/>
      <c r="K43" s="612"/>
      <c r="L43" s="612"/>
      <c r="M43" s="612"/>
      <c r="N43" s="602"/>
      <c r="O43" s="619"/>
      <c r="P43" s="604"/>
      <c r="Q43" s="602"/>
      <c r="R43" s="537"/>
      <c r="S43" s="563"/>
      <c r="T43" s="564"/>
      <c r="U43" s="564"/>
      <c r="V43" s="565"/>
    </row>
    <row r="44" spans="1:22" ht="14.5">
      <c r="A44" s="299" t="s">
        <v>260</v>
      </c>
      <c r="B44" s="601">
        <v>37208</v>
      </c>
      <c r="C44" s="601">
        <v>42548</v>
      </c>
      <c r="D44" s="601">
        <f>137335-C44-B44</f>
        <v>57579</v>
      </c>
      <c r="E44" s="601">
        <f>188884-SUM(B44:D44)</f>
        <v>51549</v>
      </c>
      <c r="F44" s="601">
        <v>49262</v>
      </c>
      <c r="G44" s="601">
        <v>42520.360000000015</v>
      </c>
      <c r="H44" s="601">
        <v>37597.159999999996</v>
      </c>
      <c r="I44" s="601">
        <v>0</v>
      </c>
      <c r="J44" s="601">
        <v>0</v>
      </c>
      <c r="K44" s="601">
        <v>0</v>
      </c>
      <c r="L44" s="601">
        <v>0</v>
      </c>
      <c r="M44" s="601">
        <v>0</v>
      </c>
      <c r="N44" s="602">
        <f>SUM(B44:M44)</f>
        <v>318263.51999999996</v>
      </c>
      <c r="O44" s="603">
        <f>1537662+N44</f>
        <v>1855925.52</v>
      </c>
      <c r="P44" s="621">
        <f>4095000-166000</f>
        <v>3929000</v>
      </c>
      <c r="Q44" s="602">
        <v>-166000</v>
      </c>
      <c r="R44" s="537">
        <f t="shared" ref="R44:R47" si="13">+O44/P44</f>
        <v>0.47236587426826165</v>
      </c>
      <c r="S44" s="563"/>
      <c r="T44" s="564"/>
      <c r="U44" s="564"/>
      <c r="V44" s="565"/>
    </row>
    <row r="45" spans="1:22" s="197" customFormat="1" ht="14.5">
      <c r="A45" s="300" t="s">
        <v>259</v>
      </c>
      <c r="B45" s="601">
        <v>120524</v>
      </c>
      <c r="C45" s="601">
        <v>107796</v>
      </c>
      <c r="D45" s="601">
        <f>380534-C45-B45</f>
        <v>152214</v>
      </c>
      <c r="E45" s="601">
        <f>530558-SUM(B45:D45)</f>
        <v>150024</v>
      </c>
      <c r="F45" s="601">
        <v>74804</v>
      </c>
      <c r="G45" s="601">
        <v>506283.61000000004</v>
      </c>
      <c r="H45" s="601">
        <v>38850.829999999994</v>
      </c>
      <c r="I45" s="601">
        <v>0</v>
      </c>
      <c r="J45" s="601">
        <v>0</v>
      </c>
      <c r="K45" s="601">
        <v>0</v>
      </c>
      <c r="L45" s="601">
        <v>0</v>
      </c>
      <c r="M45" s="601">
        <v>0</v>
      </c>
      <c r="N45" s="604">
        <f>SUM(B45:M45)</f>
        <v>1150496.4400000002</v>
      </c>
      <c r="O45" s="603">
        <f>5262171+N45</f>
        <v>6412667.4400000004</v>
      </c>
      <c r="P45" s="621">
        <f>7948000+566000</f>
        <v>8514000</v>
      </c>
      <c r="Q45" s="604">
        <v>566000</v>
      </c>
      <c r="R45" s="541">
        <f t="shared" si="13"/>
        <v>0.75319091378905334</v>
      </c>
      <c r="S45" s="563"/>
      <c r="T45" s="564"/>
      <c r="U45" s="564"/>
      <c r="V45" s="565"/>
    </row>
    <row r="46" spans="1:22">
      <c r="A46" s="299" t="s">
        <v>239</v>
      </c>
      <c r="B46" s="601">
        <v>23262</v>
      </c>
      <c r="C46" s="601">
        <v>81327</v>
      </c>
      <c r="D46" s="601">
        <f>174323-C46-B46</f>
        <v>69734</v>
      </c>
      <c r="E46" s="601">
        <f>223736-SUM(B46:D46)</f>
        <v>49413</v>
      </c>
      <c r="F46" s="601">
        <v>35721</v>
      </c>
      <c r="G46" s="601">
        <v>33500.620000000003</v>
      </c>
      <c r="H46" s="601">
        <v>87598.66</v>
      </c>
      <c r="I46" s="601">
        <v>0</v>
      </c>
      <c r="J46" s="601">
        <v>0</v>
      </c>
      <c r="K46" s="601">
        <v>0</v>
      </c>
      <c r="L46" s="601">
        <v>0</v>
      </c>
      <c r="M46" s="601">
        <v>0</v>
      </c>
      <c r="N46" s="602">
        <f>SUM(B46:M46)</f>
        <v>380556.28</v>
      </c>
      <c r="O46" s="603">
        <f>2125875+N46</f>
        <v>2506431.2800000003</v>
      </c>
      <c r="P46" s="622">
        <f>5600600-400000</f>
        <v>5200600</v>
      </c>
      <c r="Q46" s="602">
        <v>-400000</v>
      </c>
      <c r="R46" s="537">
        <f t="shared" si="13"/>
        <v>0.48195040572241671</v>
      </c>
      <c r="S46" s="563"/>
      <c r="T46" s="564"/>
      <c r="U46" s="564"/>
      <c r="V46" s="565"/>
    </row>
    <row r="47" spans="1:22">
      <c r="A47" s="299" t="s">
        <v>171</v>
      </c>
      <c r="B47" s="601">
        <v>3379</v>
      </c>
      <c r="C47" s="601">
        <v>24799</v>
      </c>
      <c r="D47" s="601">
        <v>0</v>
      </c>
      <c r="E47" s="629">
        <f>28178-SUM(B47:D47)</f>
        <v>0</v>
      </c>
      <c r="F47" s="601">
        <v>0</v>
      </c>
      <c r="G47" s="601">
        <v>103866.39</v>
      </c>
      <c r="H47" s="601">
        <v>0</v>
      </c>
      <c r="I47" s="601">
        <v>0</v>
      </c>
      <c r="J47" s="601">
        <v>0</v>
      </c>
      <c r="K47" s="601">
        <v>0</v>
      </c>
      <c r="L47" s="601">
        <v>0</v>
      </c>
      <c r="M47" s="601">
        <v>0</v>
      </c>
      <c r="N47" s="602">
        <f>SUM(B47:M47)</f>
        <v>132044.39000000001</v>
      </c>
      <c r="O47" s="603">
        <f>239456+N47</f>
        <v>371500.39</v>
      </c>
      <c r="P47" s="623">
        <v>1000000</v>
      </c>
      <c r="Q47" s="602">
        <v>0</v>
      </c>
      <c r="R47" s="537">
        <f t="shared" si="13"/>
        <v>0.37150039000000001</v>
      </c>
      <c r="S47" s="563"/>
      <c r="T47" s="564"/>
      <c r="U47" s="564"/>
      <c r="V47" s="565"/>
    </row>
    <row r="48" spans="1:22" ht="13">
      <c r="A48" s="301" t="s">
        <v>172</v>
      </c>
      <c r="B48" s="607">
        <f>SUM(B44:B47)</f>
        <v>184373</v>
      </c>
      <c r="C48" s="614">
        <f t="shared" ref="C48:M48" si="14">SUM(C44:C47)</f>
        <v>256470</v>
      </c>
      <c r="D48" s="614">
        <f t="shared" si="14"/>
        <v>279527</v>
      </c>
      <c r="E48" s="614">
        <f t="shared" si="14"/>
        <v>250986</v>
      </c>
      <c r="F48" s="614">
        <f t="shared" si="14"/>
        <v>159787</v>
      </c>
      <c r="G48" s="614">
        <f>SUM(G44:G47)</f>
        <v>686170.9800000001</v>
      </c>
      <c r="H48" s="614">
        <f t="shared" si="14"/>
        <v>164046.65</v>
      </c>
      <c r="I48" s="614">
        <f t="shared" si="14"/>
        <v>0</v>
      </c>
      <c r="J48" s="614">
        <f t="shared" si="14"/>
        <v>0</v>
      </c>
      <c r="K48" s="614">
        <f t="shared" si="14"/>
        <v>0</v>
      </c>
      <c r="L48" s="614">
        <f t="shared" si="14"/>
        <v>0</v>
      </c>
      <c r="M48" s="614">
        <f t="shared" si="14"/>
        <v>0</v>
      </c>
      <c r="N48" s="610">
        <f>N47+N46+N45+N44</f>
        <v>1981360.6300000004</v>
      </c>
      <c r="O48" s="615">
        <f>SUM(O44:O47)</f>
        <v>11146524.630000003</v>
      </c>
      <c r="P48" s="609">
        <f>SUM(P44:P47)</f>
        <v>18643600</v>
      </c>
      <c r="Q48" s="610">
        <f>SUM(Q44:Q47)</f>
        <v>0</v>
      </c>
      <c r="R48" s="539">
        <f>O48/P48</f>
        <v>0.59787404953978862</v>
      </c>
      <c r="S48" s="563"/>
      <c r="T48" s="564"/>
      <c r="U48" s="564"/>
      <c r="V48" s="564"/>
    </row>
    <row r="49" spans="1:22" ht="13">
      <c r="A49" s="298"/>
      <c r="B49" s="601"/>
      <c r="C49" s="611"/>
      <c r="D49" s="611"/>
      <c r="E49" s="611"/>
      <c r="F49" s="612"/>
      <c r="G49" s="611"/>
      <c r="H49" s="612"/>
      <c r="I49" s="612"/>
      <c r="J49" s="612"/>
      <c r="K49" s="612"/>
      <c r="L49" s="612"/>
      <c r="M49" s="612"/>
      <c r="N49" s="602"/>
      <c r="O49" s="613"/>
      <c r="P49" s="604"/>
      <c r="Q49" s="602"/>
      <c r="R49" s="537"/>
      <c r="S49" s="563"/>
      <c r="T49" s="564"/>
      <c r="U49" s="564"/>
      <c r="V49" s="564"/>
    </row>
    <row r="50" spans="1:22" ht="15" customHeight="1">
      <c r="A50" s="304" t="s">
        <v>173</v>
      </c>
      <c r="B50" s="607">
        <f>B48+B41+B37+B30+B24+B20+B16</f>
        <v>661763</v>
      </c>
      <c r="C50" s="614">
        <f>C48+C41+C37+C30+C24+C20+C16</f>
        <v>453342</v>
      </c>
      <c r="D50" s="614">
        <f t="shared" ref="D50:M50" si="15">D48+D41+D37+D30+D24+D20+D16</f>
        <v>802978</v>
      </c>
      <c r="E50" s="614">
        <f t="shared" si="15"/>
        <v>450663</v>
      </c>
      <c r="F50" s="614">
        <f t="shared" si="15"/>
        <v>333352</v>
      </c>
      <c r="G50" s="614">
        <f t="shared" si="15"/>
        <v>1280366.6599999999</v>
      </c>
      <c r="H50" s="614">
        <f>H48+H41+H37+H30+H24+H20+H16</f>
        <v>361678.04000000004</v>
      </c>
      <c r="I50" s="614">
        <f t="shared" si="15"/>
        <v>0</v>
      </c>
      <c r="J50" s="614">
        <f t="shared" si="15"/>
        <v>0</v>
      </c>
      <c r="K50" s="614">
        <f t="shared" si="15"/>
        <v>0</v>
      </c>
      <c r="L50" s="614">
        <f t="shared" si="15"/>
        <v>0</v>
      </c>
      <c r="M50" s="614">
        <f t="shared" si="15"/>
        <v>0</v>
      </c>
      <c r="N50" s="610">
        <f>N48+N41+N37+N30+N24+N20+N16</f>
        <v>4344142.7</v>
      </c>
      <c r="O50" s="615">
        <f>O48+O41+O37+O30+O24+O20+O16</f>
        <v>31253735.359999999</v>
      </c>
      <c r="P50" s="624">
        <f>P48+P41+P37+P30+P24+P20+P16</f>
        <v>82380102</v>
      </c>
      <c r="Q50" s="624">
        <f>Q16+Q30+Q48</f>
        <v>0</v>
      </c>
      <c r="R50" s="539">
        <f>O50/P50</f>
        <v>0.37938451884898128</v>
      </c>
      <c r="S50" s="563"/>
      <c r="T50" s="564"/>
      <c r="U50" s="564"/>
      <c r="V50" s="565"/>
    </row>
    <row r="51" spans="1:22" ht="15" customHeight="1">
      <c r="A51" s="305"/>
      <c r="B51" s="485"/>
      <c r="C51" s="484"/>
      <c r="D51" s="484"/>
      <c r="E51" s="484"/>
      <c r="F51" s="484"/>
      <c r="G51" s="486"/>
      <c r="H51" s="484"/>
      <c r="I51" s="484"/>
      <c r="J51" s="484"/>
      <c r="K51" s="484"/>
      <c r="L51" s="484"/>
      <c r="M51" s="484"/>
      <c r="N51" s="484"/>
      <c r="O51" s="522"/>
      <c r="P51" s="484" t="s">
        <v>56</v>
      </c>
      <c r="Q51" s="484"/>
      <c r="R51" s="535"/>
      <c r="S51" s="563"/>
      <c r="T51" s="564"/>
      <c r="U51" s="564"/>
      <c r="V51" s="564"/>
    </row>
    <row r="52" spans="1:22" ht="10.5" customHeight="1" thickBot="1">
      <c r="A52" s="202"/>
      <c r="B52" s="200"/>
      <c r="C52" s="140"/>
      <c r="D52" s="140"/>
      <c r="E52" s="140"/>
      <c r="F52" s="140"/>
      <c r="G52" s="140"/>
      <c r="H52" s="140"/>
      <c r="I52" s="140"/>
      <c r="J52" s="140"/>
      <c r="K52" s="140"/>
      <c r="L52" s="140"/>
      <c r="M52" s="140"/>
      <c r="N52" s="140"/>
      <c r="O52" s="523"/>
      <c r="P52" s="141"/>
      <c r="Q52" s="141"/>
      <c r="R52" s="292"/>
    </row>
    <row r="53" spans="1:22">
      <c r="A53" s="197"/>
      <c r="G53" s="249"/>
      <c r="P53" s="249" t="s">
        <v>56</v>
      </c>
    </row>
    <row r="54" spans="1:22" ht="14">
      <c r="A54" s="262" t="s">
        <v>63</v>
      </c>
      <c r="B54" s="197"/>
      <c r="N54" s="336"/>
      <c r="P54" s="130" t="s">
        <v>56</v>
      </c>
    </row>
    <row r="55" spans="1:22" s="562" customFormat="1" ht="16">
      <c r="A55" s="312" t="s">
        <v>304</v>
      </c>
      <c r="O55" s="625"/>
    </row>
    <row r="56" spans="1:22" s="562" customFormat="1" ht="16.5">
      <c r="A56" s="312" t="s">
        <v>305</v>
      </c>
      <c r="O56" s="625"/>
    </row>
    <row r="57" spans="1:22" ht="16.5">
      <c r="A57" s="312" t="s">
        <v>306</v>
      </c>
    </row>
    <row r="58" spans="1:22" ht="16.5">
      <c r="A58" s="312" t="s">
        <v>359</v>
      </c>
    </row>
    <row r="59" spans="1:22" ht="16.5">
      <c r="A59" s="312" t="s">
        <v>358</v>
      </c>
    </row>
    <row r="60" spans="1:22" ht="14">
      <c r="A60" s="235" t="s">
        <v>64</v>
      </c>
    </row>
  </sheetData>
  <printOptions horizontalCentered="1"/>
  <pageMargins left="0" right="0" top="0.55000000000000004" bottom="0.17" header="0.3" footer="0.15"/>
  <pageSetup paperSize="5" scale="90" orientation="landscape" cellComments="atEnd" r:id="rId1"/>
  <headerFooter alignWithMargins="0">
    <oddHeader xml:space="preserve">&amp;C&amp;"Arial,Bold"
</oddHeader>
    <oddFooter>&amp;Rpage 7 of 11
&amp;A
&amp;D  &amp;T</oddFooter>
  </headerFooter>
  <customProperties>
    <customPr name="_pios_id" r:id="rId2"/>
  </customProperties>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ct:contentTypeSchema xmlns:ct="http://schemas.microsoft.com/office/2006/metadata/contentType" xmlns:ma="http://schemas.microsoft.com/office/2006/metadata/properties/metaAttributes" ct:_="" ma:_="" ma:contentTypeName="Document" ma:contentTypeID="0x01010021088E984398724D8C1DB16B0011A0BF" ma:contentTypeVersion="6271" ma:contentTypeDescription="Create a new document." ma:contentTypeScope="" ma:versionID="1870f39aaed35e7d1912c0f785710fca">
  <xsd:schema xmlns:xsd="http://www.w3.org/2001/XMLSchema" xmlns:xs="http://www.w3.org/2001/XMLSchema" xmlns:p="http://schemas.microsoft.com/office/2006/metadata/properties" xmlns:ns2="9bf079a2-8838-46e4-a25e-754293e27338" xmlns:ns3="3186f035-0cdb-442a-b3b5-e1bf8686ba54" targetNamespace="http://schemas.microsoft.com/office/2006/metadata/properties" ma:root="true" ma:fieldsID="c7aec518f4f639483e6d8d2541f87083" ns2:_="" ns3:_="">
    <xsd:import namespace="9bf079a2-8838-46e4-a25e-754293e27338"/>
    <xsd:import namespace="3186f035-0cdb-442a-b3b5-e1bf8686ba54"/>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bf079a2-8838-46e4-a25e-754293e27338"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3186f035-0cdb-442a-b3b5-e1bf8686ba54"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_Flow_SignoffStatus" ma:index="15" nillable="true" ma:displayName="Sign-off status" ma:internalName="Sign_x002d_off_x0020_status">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Flow_SignoffStatus xmlns="3186f035-0cdb-442a-b3b5-e1bf8686ba54" xsi:nil="true"/>
    <_dlc_DocId xmlns="9bf079a2-8838-46e4-a25e-754293e27338">7RCVYNPDDY4V-1526832976-120</_dlc_DocId>
    <_dlc_DocIdUrl xmlns="9bf079a2-8838-46e4-a25e-754293e27338">
      <Url>https://sempra.sharepoint.com/teams/sdgecp/po/drps/_layouts/15/DocIdRedir.aspx?ID=7RCVYNPDDY4V-1526832976-120</Url>
      <Description>7RCVYNPDDY4V-1526832976-120</Description>
    </_dlc_DocIdUrl>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80486D6-920A-4B96-82F8-54628C0563E2}">
  <ds:schemaRefs>
    <ds:schemaRef ds:uri="http://schemas.microsoft.com/sharepoint/events"/>
  </ds:schemaRefs>
</ds:datastoreItem>
</file>

<file path=customXml/itemProps2.xml><?xml version="1.0" encoding="utf-8"?>
<ds:datastoreItem xmlns:ds="http://schemas.openxmlformats.org/officeDocument/2006/customXml" ds:itemID="{DB64F0E2-3735-4A4B-B446-01E723C0FF0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bf079a2-8838-46e4-a25e-754293e27338"/>
    <ds:schemaRef ds:uri="3186f035-0cdb-442a-b3b5-e1bf8686ba5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B9CE5A5-034A-44C5-96B1-1FD952A1C468}">
  <ds:schemaRefs>
    <ds:schemaRef ds:uri="http://schemas.microsoft.com/office/infopath/2007/PartnerControls"/>
    <ds:schemaRef ds:uri="http://purl.org/dc/terms/"/>
    <ds:schemaRef ds:uri="http://schemas.microsoft.com/office/2006/documentManagement/types"/>
    <ds:schemaRef ds:uri="9bf079a2-8838-46e4-a25e-754293e27338"/>
    <ds:schemaRef ds:uri="http://schemas.openxmlformats.org/package/2006/metadata/core-properties"/>
    <ds:schemaRef ds:uri="http://purl.org/dc/elements/1.1/"/>
    <ds:schemaRef ds:uri="http://schemas.microsoft.com/office/2006/metadata/properties"/>
    <ds:schemaRef ds:uri="3186f035-0cdb-442a-b3b5-e1bf8686ba54"/>
    <ds:schemaRef ds:uri="http://www.w3.org/XML/1998/namespace"/>
    <ds:schemaRef ds:uri="http://purl.org/dc/dcmitype/"/>
  </ds:schemaRefs>
</ds:datastoreItem>
</file>

<file path=customXml/itemProps4.xml><?xml version="1.0" encoding="utf-8"?>
<ds:datastoreItem xmlns:ds="http://schemas.openxmlformats.org/officeDocument/2006/customXml" ds:itemID="{B9BCF475-1DB9-4419-A429-5743143F8A2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10</vt:i4>
      </vt:variant>
    </vt:vector>
  </HeadingPairs>
  <TitlesOfParts>
    <vt:vector size="24" baseType="lpstr">
      <vt:lpstr>Business Unit Reporting</vt:lpstr>
      <vt:lpstr>Program MW </vt:lpstr>
      <vt:lpstr>Ex ante LI &amp; Eligibility Stats</vt:lpstr>
      <vt:lpstr>Ex post LI &amp; Eligibility Stats</vt:lpstr>
      <vt:lpstr>TA-TI Distribution@</vt:lpstr>
      <vt:lpstr>Event Summary</vt:lpstr>
      <vt:lpstr>Auto DR (TI) &amp; Tech Deployment</vt:lpstr>
      <vt:lpstr>Marketing</vt:lpstr>
      <vt:lpstr>DRP Expenditures</vt:lpstr>
      <vt:lpstr>Fund Shift Log</vt:lpstr>
      <vt:lpstr>SDGE Costs - AMDRMA Balance</vt:lpstr>
      <vt:lpstr>SDGE Costs -GRC </vt:lpstr>
      <vt:lpstr>SDGE Costs -DPDRMA</vt:lpstr>
      <vt:lpstr>SDGE Costs -ELRP</vt:lpstr>
      <vt:lpstr>'Auto DR (TI) &amp; Tech Deployment'!Print_Area</vt:lpstr>
      <vt:lpstr>'DRP Expenditures'!Print_Area</vt:lpstr>
      <vt:lpstr>'Ex ante LI &amp; Eligibility Stats'!Print_Area</vt:lpstr>
      <vt:lpstr>'Ex post LI &amp; Eligibility Stats'!Print_Area</vt:lpstr>
      <vt:lpstr>'Fund Shift Log'!Print_Area</vt:lpstr>
      <vt:lpstr>Marketing!Print_Area</vt:lpstr>
      <vt:lpstr>'Program MW '!Print_Area</vt:lpstr>
      <vt:lpstr>'SDGE Costs -DPDRMA'!Print_Area</vt:lpstr>
      <vt:lpstr>'SDGE Costs -ELRP'!Print_Area</vt:lpstr>
      <vt:lpstr>'SDGE Costs -GRC '!Print_Area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Josh Bode2</dc:creator>
  <cp:keywords/>
  <dc:description/>
  <cp:lastModifiedBy>Pitsko, Kenneth C</cp:lastModifiedBy>
  <cp:revision/>
  <dcterms:created xsi:type="dcterms:W3CDTF">2013-01-03T17:03:43Z</dcterms:created>
  <dcterms:modified xsi:type="dcterms:W3CDTF">2021-08-20T01:08:08Z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0x01010021088E984398724D8C1DB16B0011A0BF</vt:lpwstr>
  </property>
  <property fmtid="{D5CDD505-2E9C-101B-9397-08002B2CF9AE}" pid="3" name="BExAnalyzer_OldName">
    <vt:lpwstr>Jan 2018 CPUC Monthly DR Report.xlsx</vt:lpwstr>
  </property>
  <property fmtid="{D5CDD505-2E9C-101B-9397-08002B2CF9AE}" pid="4" name="Order">
    <vt:r8>40500</vt:r8>
  </property>
  <property fmtid="{D5CDD505-2E9C-101B-9397-08002B2CF9AE}" pid="5" name="AuthorIds_UIVersion_2048">
    <vt:lpwstr>143</vt:lpwstr>
  </property>
  <property fmtid="{D5CDD505-2E9C-101B-9397-08002B2CF9AE}" pid="6" name="AuthorIds_UIVersion_10240">
    <vt:lpwstr>126,212</vt:lpwstr>
  </property>
  <property fmtid="{D5CDD505-2E9C-101B-9397-08002B2CF9AE}" pid="7" name="_dlc_DocIdItemGuid">
    <vt:lpwstr>701eb0b2-545b-40bc-b625-d237db0816f1</vt:lpwstr>
  </property>
  <property fmtid="{D5CDD505-2E9C-101B-9397-08002B2CF9AE}" pid="8" name="SharedWithUsers">
    <vt:lpwstr>212;#Valdivieso, Guillermo</vt:lpwstr>
  </property>
  <property fmtid="{D5CDD505-2E9C-101B-9397-08002B2CF9AE}" pid="9" name="CofWorkbookId">
    <vt:lpwstr>2b7e742a-4021-41b9-893e-ae973cce985b</vt:lpwstr>
  </property>
</Properties>
</file>