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13168451-D299-4A9D-8DAA-37F82DE6FD93}" xr6:coauthVersionLast="45" xr6:coauthVersionMax="45"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Summary'!$A$8:$G$20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Deployment'!$A$1:$M$45</definedName>
    <definedName name="_xlnm.Print_Area" localSheetId="7">'DRP Expenditures'!$A$54:$M$54</definedName>
    <definedName name="_xlnm.Print_Area" localSheetId="2">'Ex ante LI &amp; Eligibility Stats'!$A$1:$O$19</definedName>
    <definedName name="_xlnm.Print_Area" localSheetId="3">'Ex post LI &amp; Eligibility Stats'!$A$1:$O$28</definedName>
    <definedName name="_xlnm.Print_Area" localSheetId="8">'Fund Shift Log'!$A$1:$E$19</definedName>
    <definedName name="_xlnm.Print_Area" localSheetId="6">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Stats'!$A$2:$O$26</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131" l="1"/>
  <c r="L24" i="131"/>
  <c r="L23" i="131"/>
  <c r="K23" i="131"/>
  <c r="L34" i="131"/>
  <c r="L36" i="131"/>
  <c r="O38" i="33"/>
  <c r="C4" i="57" l="1"/>
  <c r="L13" i="131"/>
  <c r="K24" i="131" l="1"/>
  <c r="K34" i="131"/>
  <c r="J23" i="131"/>
  <c r="K13" i="131"/>
  <c r="N12" i="134"/>
  <c r="N13" i="134"/>
  <c r="N14" i="134"/>
  <c r="N15" i="134"/>
  <c r="N16" i="134"/>
  <c r="N17" i="134"/>
  <c r="N18" i="134"/>
  <c r="N19" i="134"/>
  <c r="N20" i="134"/>
  <c r="N21" i="134"/>
  <c r="N22" i="134"/>
  <c r="N11" i="134"/>
  <c r="O11" i="134" s="1"/>
  <c r="N23" i="134" l="1"/>
  <c r="H38" i="33"/>
  <c r="J36" i="131" l="1"/>
  <c r="J34" i="131"/>
  <c r="J24" i="131"/>
  <c r="I42"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5" i="119"/>
  <c r="N46" i="119"/>
  <c r="P46" i="117"/>
  <c r="P45" i="117"/>
  <c r="P44" i="117"/>
  <c r="L30" i="117"/>
  <c r="K30" i="117"/>
  <c r="J30" i="117"/>
  <c r="P48" i="117" l="1"/>
  <c r="N47" i="119"/>
  <c r="I34" i="131"/>
  <c r="I36" i="131"/>
  <c r="I24" i="131"/>
  <c r="I23" i="131"/>
  <c r="O22" i="134" l="1"/>
  <c r="O21" i="134"/>
  <c r="O20" i="134"/>
  <c r="O19" i="134"/>
  <c r="O18" i="134"/>
  <c r="O17" i="134"/>
  <c r="O16" i="134"/>
  <c r="O14" i="134"/>
  <c r="O13" i="134"/>
  <c r="O12" i="134"/>
  <c r="O15" i="134" l="1"/>
  <c r="O23" i="134" s="1"/>
  <c r="S46" i="33" l="1"/>
  <c r="R46" i="33"/>
  <c r="S45" i="33"/>
  <c r="R45" i="33"/>
  <c r="S44" i="33"/>
  <c r="R44" i="33"/>
  <c r="S43" i="33"/>
  <c r="R43" i="33"/>
  <c r="S42" i="33"/>
  <c r="R42" i="33"/>
  <c r="S41" i="33"/>
  <c r="R41" i="33"/>
  <c r="S40" i="33"/>
  <c r="R40" i="33"/>
  <c r="S39" i="33"/>
  <c r="R39" i="33"/>
  <c r="S38" i="33"/>
  <c r="R38" i="33"/>
  <c r="S37" i="33"/>
  <c r="R37" i="33"/>
  <c r="S35" i="33"/>
  <c r="R35" i="33"/>
  <c r="P46" i="33"/>
  <c r="O46" i="33"/>
  <c r="P45" i="33"/>
  <c r="O45" i="33"/>
  <c r="P44" i="33"/>
  <c r="O44" i="33"/>
  <c r="P43" i="33"/>
  <c r="O43" i="33"/>
  <c r="P42" i="33"/>
  <c r="O42" i="33"/>
  <c r="P41" i="33"/>
  <c r="O41" i="33"/>
  <c r="P40" i="33"/>
  <c r="O40" i="33"/>
  <c r="P39" i="33"/>
  <c r="O39" i="33"/>
  <c r="P38" i="33"/>
  <c r="L22" i="131" s="1"/>
  <c r="L25" i="131" s="1"/>
  <c r="P37" i="33"/>
  <c r="O37" i="33"/>
  <c r="P35" i="33"/>
  <c r="O35" i="33"/>
  <c r="M46" i="33"/>
  <c r="L46" i="33"/>
  <c r="M45" i="33"/>
  <c r="L45" i="33"/>
  <c r="M44" i="33"/>
  <c r="L44" i="33"/>
  <c r="M43" i="33"/>
  <c r="L43" i="33"/>
  <c r="M42" i="33"/>
  <c r="L42" i="33"/>
  <c r="M41" i="33"/>
  <c r="L41" i="33"/>
  <c r="M40" i="33"/>
  <c r="L40" i="33"/>
  <c r="M39" i="33"/>
  <c r="L39" i="33"/>
  <c r="M38" i="33"/>
  <c r="K22" i="131" s="1"/>
  <c r="K25" i="131" s="1"/>
  <c r="L38" i="33"/>
  <c r="M37" i="33"/>
  <c r="L37" i="33"/>
  <c r="M35" i="33"/>
  <c r="L35" i="33"/>
  <c r="J46" i="33"/>
  <c r="I46" i="33"/>
  <c r="J45" i="33"/>
  <c r="I45" i="33"/>
  <c r="J44" i="33"/>
  <c r="I44" i="33"/>
  <c r="J43" i="33"/>
  <c r="I43" i="33"/>
  <c r="J42" i="33"/>
  <c r="J41" i="33"/>
  <c r="J33" i="131" s="1"/>
  <c r="J40" i="131" s="1"/>
  <c r="I41" i="33"/>
  <c r="J40" i="33"/>
  <c r="I40" i="33"/>
  <c r="J39" i="33"/>
  <c r="I39" i="33"/>
  <c r="J38" i="33"/>
  <c r="J22" i="131" s="1"/>
  <c r="J25" i="131" s="1"/>
  <c r="I38" i="33"/>
  <c r="J37" i="33"/>
  <c r="I37" i="33"/>
  <c r="J35" i="33"/>
  <c r="I35" i="33"/>
  <c r="S32" i="33"/>
  <c r="R32" i="33"/>
  <c r="P32" i="33"/>
  <c r="O32" i="33"/>
  <c r="M32" i="33"/>
  <c r="L32" i="33"/>
  <c r="J32" i="33"/>
  <c r="I32" i="33"/>
  <c r="F32" i="33"/>
  <c r="C32" i="33"/>
  <c r="G32" i="33"/>
  <c r="L33" i="131" l="1"/>
  <c r="L40" i="131" s="1"/>
  <c r="K33" i="131"/>
  <c r="K40" i="131" s="1"/>
  <c r="G46" i="33"/>
  <c r="F46" i="33"/>
  <c r="G45" i="33"/>
  <c r="F45" i="33"/>
  <c r="G44" i="33"/>
  <c r="F44" i="33"/>
  <c r="G43" i="33"/>
  <c r="F43" i="33"/>
  <c r="G42" i="33"/>
  <c r="F42" i="33"/>
  <c r="G41" i="33"/>
  <c r="F41" i="33"/>
  <c r="G40" i="33"/>
  <c r="F40" i="33"/>
  <c r="G39" i="33"/>
  <c r="I33" i="131" s="1"/>
  <c r="F39" i="33"/>
  <c r="G38" i="33"/>
  <c r="I22" i="131" s="1"/>
  <c r="I25" i="131" s="1"/>
  <c r="F38" i="33"/>
  <c r="G37" i="33"/>
  <c r="F37" i="33"/>
  <c r="G35" i="33"/>
  <c r="F35" i="33"/>
  <c r="D38" i="33"/>
  <c r="D39" i="33"/>
  <c r="D40" i="33"/>
  <c r="D41" i="33"/>
  <c r="D42" i="33"/>
  <c r="D43" i="33"/>
  <c r="D44" i="33"/>
  <c r="D45" i="33"/>
  <c r="D46" i="33"/>
  <c r="D37" i="33"/>
  <c r="C37" i="33"/>
  <c r="C38" i="33"/>
  <c r="C39" i="33"/>
  <c r="C40" i="33"/>
  <c r="C41" i="33"/>
  <c r="C42" i="33"/>
  <c r="C43" i="33"/>
  <c r="C44" i="33"/>
  <c r="C45" i="33"/>
  <c r="C46" i="33"/>
  <c r="D35" i="33"/>
  <c r="C35" i="33"/>
  <c r="D32" i="33"/>
  <c r="S47" i="33" l="1"/>
  <c r="R47" i="33"/>
  <c r="S33" i="33"/>
  <c r="R33" i="33"/>
  <c r="R48" i="33" s="1"/>
  <c r="P47" i="33"/>
  <c r="O47" i="33"/>
  <c r="P33" i="33"/>
  <c r="O33" i="33"/>
  <c r="L47" i="33"/>
  <c r="M33" i="33"/>
  <c r="L33" i="33"/>
  <c r="J47" i="33"/>
  <c r="J33" i="33"/>
  <c r="I33" i="33"/>
  <c r="F47" i="33"/>
  <c r="G33" i="33"/>
  <c r="F33" i="33"/>
  <c r="D47" i="33"/>
  <c r="D33" i="33"/>
  <c r="C33" i="33"/>
  <c r="S48" i="33" l="1"/>
  <c r="O48" i="33"/>
  <c r="G47" i="33"/>
  <c r="G48" i="33" s="1"/>
  <c r="M47" i="33"/>
  <c r="M48" i="33" s="1"/>
  <c r="C47" i="33"/>
  <c r="C48" i="33" s="1"/>
  <c r="I47" i="33"/>
  <c r="I48" i="33" s="1"/>
  <c r="P48" i="33"/>
  <c r="L48" i="33"/>
  <c r="J48" i="33"/>
  <c r="F48" i="33"/>
  <c r="D48" i="33"/>
  <c r="H36" i="131" l="1"/>
  <c r="H34" i="131"/>
  <c r="H24" i="131"/>
  <c r="H23" i="131"/>
  <c r="H33" i="131"/>
  <c r="H22" i="131"/>
  <c r="N13" i="129" l="1"/>
  <c r="N14" i="129"/>
  <c r="N15" i="129"/>
  <c r="N16" i="129"/>
  <c r="G36" i="131" l="1"/>
  <c r="G34" i="131"/>
  <c r="G23" i="131" l="1"/>
  <c r="G24" i="131"/>
  <c r="S23" i="33" l="1"/>
  <c r="R23" i="33"/>
  <c r="S22" i="33"/>
  <c r="R22" i="33"/>
  <c r="S21" i="33"/>
  <c r="R21" i="33"/>
  <c r="S20" i="33"/>
  <c r="R20" i="33"/>
  <c r="S19" i="33"/>
  <c r="R19" i="33"/>
  <c r="S18" i="33"/>
  <c r="R18" i="33"/>
  <c r="S17" i="33"/>
  <c r="R17" i="33"/>
  <c r="S16" i="33"/>
  <c r="G33" i="131" s="1"/>
  <c r="R16" i="33"/>
  <c r="S15" i="33"/>
  <c r="G22" i="131" s="1"/>
  <c r="R15" i="33"/>
  <c r="S14" i="33"/>
  <c r="R14" i="33"/>
  <c r="S12" i="33"/>
  <c r="R12" i="33"/>
  <c r="S9" i="33"/>
  <c r="S10" i="33" s="1"/>
  <c r="R9" i="33"/>
  <c r="R10" i="33" s="1"/>
  <c r="G23" i="134" l="1"/>
  <c r="N15" i="117" l="1"/>
  <c r="O15" i="117" s="1"/>
  <c r="N14" i="117"/>
  <c r="O14" i="117" s="1"/>
  <c r="N13" i="117"/>
  <c r="N12" i="117"/>
  <c r="F36" i="131" l="1"/>
  <c r="F34" i="131"/>
  <c r="F24" i="131"/>
  <c r="E24" i="131"/>
  <c r="D24" i="131"/>
  <c r="F23" i="131"/>
  <c r="E23" i="131"/>
  <c r="P9" i="33" l="1"/>
  <c r="O9" i="33"/>
  <c r="P23" i="33" l="1"/>
  <c r="O23" i="33"/>
  <c r="P22" i="33"/>
  <c r="O22" i="33"/>
  <c r="P21" i="33"/>
  <c r="O21" i="33"/>
  <c r="P20" i="33"/>
  <c r="O20" i="33"/>
  <c r="P19" i="33"/>
  <c r="O19" i="33"/>
  <c r="P18" i="33"/>
  <c r="O18" i="33"/>
  <c r="P17" i="33"/>
  <c r="O17" i="33"/>
  <c r="P16" i="33"/>
  <c r="F33" i="131" s="1"/>
  <c r="F40" i="131" s="1"/>
  <c r="O16" i="33"/>
  <c r="P15" i="33"/>
  <c r="F22" i="131" s="1"/>
  <c r="F25" i="131" s="1"/>
  <c r="O15" i="33"/>
  <c r="P14" i="33"/>
  <c r="O14" i="33"/>
  <c r="P12" i="33"/>
  <c r="O12" i="33"/>
  <c r="N24" i="33" l="1"/>
  <c r="F23" i="134" l="1"/>
  <c r="M40" i="131" l="1"/>
  <c r="I40" i="131"/>
  <c r="H40" i="131"/>
  <c r="G40" i="131"/>
  <c r="P10" i="33"/>
  <c r="M23" i="33" l="1"/>
  <c r="L23" i="33"/>
  <c r="M22" i="33"/>
  <c r="L22" i="33"/>
  <c r="M21" i="33"/>
  <c r="L21" i="33"/>
  <c r="M20" i="33"/>
  <c r="L20" i="33"/>
  <c r="M19" i="33"/>
  <c r="L19" i="33"/>
  <c r="M18" i="33"/>
  <c r="L18" i="33"/>
  <c r="M17" i="33"/>
  <c r="L17" i="33"/>
  <c r="M16" i="33"/>
  <c r="L16" i="33"/>
  <c r="M15" i="33"/>
  <c r="L15" i="33"/>
  <c r="M14" i="33"/>
  <c r="L14" i="33"/>
  <c r="M12" i="33"/>
  <c r="L12" i="33"/>
  <c r="M9" i="33"/>
  <c r="M10" i="33" s="1"/>
  <c r="L9" i="33"/>
  <c r="L10" i="33" s="1"/>
  <c r="M24" i="33" l="1"/>
  <c r="M25" i="33" s="1"/>
  <c r="L24" i="33"/>
  <c r="L25" i="33" s="1"/>
  <c r="D36" i="131"/>
  <c r="D34" i="131"/>
  <c r="E33" i="131"/>
  <c r="E36" i="131"/>
  <c r="E34" i="131"/>
  <c r="E22" i="131"/>
  <c r="E40" i="131" l="1"/>
  <c r="D39"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23" i="134" l="1"/>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O34" i="134" s="1"/>
  <c r="N30" i="134"/>
  <c r="O30" i="134" s="1"/>
  <c r="N29" i="134"/>
  <c r="O29" i="134" s="1"/>
  <c r="N28" i="134"/>
  <c r="O28" i="134" s="1"/>
  <c r="N27" i="134"/>
  <c r="O27" i="134" s="1"/>
  <c r="N26" i="134"/>
  <c r="O26" i="134" s="1"/>
  <c r="N38" i="134" l="1"/>
  <c r="N31" i="134"/>
  <c r="N29" i="117" l="1"/>
  <c r="O29" i="117" s="1"/>
  <c r="M13" i="131" l="1"/>
  <c r="K34" i="119" l="1"/>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C31" i="134"/>
  <c r="C17" i="33"/>
  <c r="H9" i="136" s="1"/>
  <c r="C18" i="33"/>
  <c r="H10" i="136" s="1"/>
  <c r="H7" i="136"/>
  <c r="E33" i="33"/>
  <c r="C16" i="33"/>
  <c r="H8" i="136" s="1"/>
  <c r="B34" i="119"/>
  <c r="B48" i="119" s="1"/>
  <c r="B50" i="119" s="1"/>
  <c r="L34" i="119"/>
  <c r="Q15" i="134"/>
  <c r="Q23" i="134" s="1"/>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N16" i="117" s="1"/>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O12" i="117"/>
  <c r="O10" i="35"/>
  <c r="O12" i="35"/>
  <c r="O13" i="35"/>
  <c r="O14" i="35"/>
  <c r="O15" i="35"/>
  <c r="O16" i="35"/>
  <c r="O17" i="35"/>
  <c r="O18"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K24" i="117"/>
  <c r="M24" i="117"/>
  <c r="Q24" i="117"/>
  <c r="N27" i="117"/>
  <c r="N28"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M34" i="119"/>
  <c r="J34" i="119"/>
  <c r="I34" i="119"/>
  <c r="I48" i="119" s="1"/>
  <c r="I50" i="119" s="1"/>
  <c r="E34" i="119"/>
  <c r="E3" i="119"/>
  <c r="C3" i="2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H146" i="136"/>
  <c r="H25" i="131"/>
  <c r="H133" i="136"/>
  <c r="H94" i="136"/>
  <c r="N33" i="33"/>
  <c r="H33" i="33"/>
  <c r="C28" i="33"/>
  <c r="Q24" i="33"/>
  <c r="Q10"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K10" i="33"/>
  <c r="H10" i="33"/>
  <c r="E10" i="33"/>
  <c r="J10" i="33"/>
  <c r="G9" i="33"/>
  <c r="G10" i="33" s="1"/>
  <c r="F9" i="33"/>
  <c r="C9" i="33"/>
  <c r="C22" i="33"/>
  <c r="H13" i="136" s="1"/>
  <c r="F4" i="33"/>
  <c r="D4" i="33"/>
  <c r="D28" i="33" s="1"/>
  <c r="P15" i="36" l="1"/>
  <c r="Q50" i="117"/>
  <c r="O19" i="117"/>
  <c r="O20" i="117" s="1"/>
  <c r="N20" i="117"/>
  <c r="N48" i="117"/>
  <c r="O44" i="117"/>
  <c r="O23" i="117"/>
  <c r="O24" i="117" s="1"/>
  <c r="R24" i="117" s="1"/>
  <c r="N24" i="117"/>
  <c r="N34" i="119"/>
  <c r="N48" i="119" s="1"/>
  <c r="P50" i="117"/>
  <c r="N25" i="33"/>
  <c r="D40" i="13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O28" i="117"/>
  <c r="R28" i="117" s="1"/>
  <c r="O34" i="117"/>
  <c r="R34" i="117" s="1"/>
  <c r="O27" i="117"/>
  <c r="R27" i="117" s="1"/>
  <c r="O13" i="117"/>
  <c r="R13" i="117" s="1"/>
  <c r="O36" i="117"/>
  <c r="R36" i="117" s="1"/>
  <c r="O47" i="117"/>
  <c r="R47" i="117" s="1"/>
  <c r="O45" i="117"/>
  <c r="R45" i="117" s="1"/>
  <c r="O11" i="117"/>
  <c r="R11" i="117" s="1"/>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H15" i="36"/>
  <c r="X15" i="36"/>
  <c r="G15" i="36"/>
  <c r="C48" i="119"/>
  <c r="C50" i="119" s="1"/>
  <c r="E25" i="131"/>
  <c r="Y13" i="36"/>
  <c r="E33" i="36"/>
  <c r="E42" i="36" s="1"/>
  <c r="F48" i="119"/>
  <c r="F50" i="119" s="1"/>
  <c r="D15" i="36"/>
  <c r="O15" i="36"/>
  <c r="L31" i="120"/>
  <c r="E36" i="129"/>
  <c r="E37" i="129" s="1"/>
  <c r="E7" i="36"/>
  <c r="E15" i="36" s="1"/>
  <c r="Q7" i="36"/>
  <c r="Q15" i="36" s="1"/>
  <c r="Y7" i="36"/>
  <c r="H42" i="36"/>
  <c r="B31" i="120"/>
  <c r="H36" i="129"/>
  <c r="H37" i="129" s="1"/>
  <c r="L50" i="117"/>
  <c r="R14" i="117"/>
  <c r="N33" i="129"/>
  <c r="L48" i="119"/>
  <c r="L50" i="119" s="1"/>
  <c r="I33" i="36"/>
  <c r="K31" i="120"/>
  <c r="F31" i="120"/>
  <c r="E31" i="120"/>
  <c r="B36" i="129"/>
  <c r="B37" i="129" s="1"/>
  <c r="M36" i="129"/>
  <c r="L36" i="129"/>
  <c r="L37" i="129" s="1"/>
  <c r="N14" i="120"/>
  <c r="O38" i="134"/>
  <c r="I50" i="117"/>
  <c r="C24" i="33"/>
  <c r="M48" i="119"/>
  <c r="E48" i="119"/>
  <c r="E50" i="119" s="1"/>
  <c r="G48" i="119"/>
  <c r="G50" i="119" s="1"/>
  <c r="J48" i="119"/>
  <c r="J50" i="119" s="1"/>
  <c r="D48" i="119"/>
  <c r="D50" i="119" s="1"/>
  <c r="K48" i="119"/>
  <c r="K50" i="119" s="1"/>
  <c r="Q25" i="33"/>
  <c r="C31" i="120"/>
  <c r="I36" i="129"/>
  <c r="I37" i="129" s="1"/>
  <c r="D50" i="117"/>
  <c r="G50" i="117"/>
  <c r="G24" i="33"/>
  <c r="G25" i="33" s="1"/>
  <c r="B25" i="33"/>
  <c r="Q48" i="33"/>
  <c r="I7" i="36"/>
  <c r="I15" i="36" s="1"/>
  <c r="T15" i="36"/>
  <c r="Y33" i="36"/>
  <c r="Y42" i="36" s="1"/>
  <c r="M40" i="36"/>
  <c r="H48" i="119"/>
  <c r="H50" i="119" s="1"/>
  <c r="M31" i="120"/>
  <c r="I31" i="120"/>
  <c r="N22" i="120"/>
  <c r="C36" i="129"/>
  <c r="C37" i="129" s="1"/>
  <c r="J36" i="129"/>
  <c r="J37" i="129" s="1"/>
  <c r="G36" i="129"/>
  <c r="G37" i="129" s="1"/>
  <c r="K36" i="129"/>
  <c r="K37" i="129" s="1"/>
  <c r="H25" i="33"/>
  <c r="E50" i="117"/>
  <c r="N28" i="120"/>
  <c r="O24" i="33"/>
  <c r="K48" i="33"/>
  <c r="W15" i="36"/>
  <c r="G42" i="36"/>
  <c r="U33" i="36"/>
  <c r="U42" i="36" s="1"/>
  <c r="J31" i="120"/>
  <c r="F50" i="117"/>
  <c r="M50" i="117"/>
  <c r="K15" i="36"/>
  <c r="S42" i="36"/>
  <c r="W42" i="36"/>
  <c r="I40" i="36"/>
  <c r="N18" i="120"/>
  <c r="D31" i="120"/>
  <c r="N41" i="117"/>
  <c r="K50" i="117"/>
  <c r="I4" i="33"/>
  <c r="F28" i="33"/>
  <c r="G4" i="33"/>
  <c r="G28" i="33" s="1"/>
  <c r="N28" i="129"/>
  <c r="N17" i="129"/>
  <c r="M33" i="36"/>
  <c r="K42" i="36"/>
  <c r="K25" i="33"/>
  <c r="U7" i="36"/>
  <c r="U15" i="36" s="1"/>
  <c r="D24" i="33"/>
  <c r="D25" i="33" s="1"/>
  <c r="C50" i="117"/>
  <c r="F36" i="129"/>
  <c r="F37" i="129" s="1"/>
  <c r="R46" i="117"/>
  <c r="J24" i="33"/>
  <c r="J25" i="33" s="1"/>
  <c r="P24" i="33"/>
  <c r="P25" i="33" s="1"/>
  <c r="E48" i="33"/>
  <c r="B48" i="33"/>
  <c r="H31" i="120"/>
  <c r="O31" i="134"/>
  <c r="F24" i="33"/>
  <c r="I24" i="33"/>
  <c r="R40" i="117"/>
  <c r="O41" i="117"/>
  <c r="R41" i="117" s="1"/>
  <c r="R35" i="117"/>
  <c r="N37" i="117"/>
  <c r="N30" i="117"/>
  <c r="H50" i="117"/>
  <c r="R12" i="117"/>
  <c r="B25" i="131"/>
  <c r="G31" i="120"/>
  <c r="N24" i="129"/>
  <c r="R24" i="33"/>
  <c r="S24" i="33"/>
  <c r="S25" i="33" s="1"/>
  <c r="N50" i="119" l="1"/>
  <c r="Y15" i="36"/>
  <c r="O48" i="117"/>
  <c r="R44" i="117"/>
  <c r="R23" i="117"/>
  <c r="O16" i="117"/>
  <c r="R16" i="117" s="1"/>
  <c r="I42" i="36"/>
  <c r="N50" i="117"/>
  <c r="O30" i="117"/>
  <c r="R30" i="117" s="1"/>
  <c r="B40" i="131"/>
  <c r="R48" i="117"/>
  <c r="O37" i="117"/>
  <c r="R37" i="117" s="1"/>
  <c r="C25" i="33"/>
  <c r="O25" i="33"/>
  <c r="R25" i="33"/>
  <c r="I25" i="33"/>
  <c r="F25" i="33"/>
  <c r="N37" i="129"/>
  <c r="M42" i="36"/>
  <c r="N31" i="120"/>
  <c r="J4" i="33"/>
  <c r="J28" i="33" s="1"/>
  <c r="I28" i="33"/>
  <c r="L4" i="33"/>
  <c r="N36" i="12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<sst xmlns="http://schemas.openxmlformats.org/spreadsheetml/2006/main" count="1782" uniqueCount="356">
  <si>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</si>
  <si>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</si>
  <si>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</si>
  <si>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</si>
  <si>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</si>
  <si>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</si>
  <si>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</si>
  <si>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</si>
  <si>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</si>
  <si>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</si>
  <si>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</si>
  <si>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</si>
  <si>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</si>
  <si>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</si>
  <si>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</si>
  <si>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</si>
  <si>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</si>
  <si>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</si>
  <si>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</si>
  <si>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</si>
  <si>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</si>
  <si>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</si>
  <si>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</si>
  <si>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</si>
  <si>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</si>
  <si>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</si>
  <si>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</si>
  <si>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</si>
  <si>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</si>
  <si>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</si>
  <si>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</si>
  <si>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</si>
  <si>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</si>
  <si>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</si>
  <si>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</si>
  <si>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</si>
  <si>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</si>
  <si>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</si>
  <si>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</si>
  <si>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</si>
  <si>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</si>
  <si>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</si>
  <si>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</si>
  <si>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</si>
  <si>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</si>
  <si>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</si>
  <si>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</si>
  <si>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</si>
  <si>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</si>
  <si>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</si>
  <si>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</si>
  <si>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</si>
  <si>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</si>
  <si>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</si>
  <si>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</si>
  <si>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</si>
  <si>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TOU-PA-P Agricultural</t>
  </si>
  <si>
    <t xml:space="preserve"> </t>
  </si>
  <si>
    <t>Sub-Total Demand Response Programs</t>
  </si>
  <si>
    <t>Total All Programs</t>
  </si>
  <si>
    <t>July</t>
  </si>
  <si>
    <t xml:space="preserve">August </t>
  </si>
  <si>
    <t>October</t>
  </si>
  <si>
    <t>December</t>
  </si>
  <si>
    <t xml:space="preserve">Ex Ante Estimated MW </t>
  </si>
  <si>
    <t xml:space="preserve">Ex Post Estimated MW </t>
  </si>
  <si>
    <t>Notes:</t>
  </si>
  <si>
    <r>
      <rPr>
        <vertAlign val="superscript"/>
        <sz val="11"/>
        <color rgb="FFFF0000"/>
        <rFont val="Arial"/>
        <family val="2"/>
      </rPr>
      <t>1</t>
    </r>
    <r>
      <rPr>
        <sz val="11"/>
        <rFont val="Arial"/>
        <family val="2"/>
      </rPr>
      <t xml:space="preserve">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r>
  </si>
  <si>
    <r>
      <rPr>
        <vertAlign val="superscript"/>
        <sz val="11"/>
        <color rgb="FFFF0000"/>
        <rFont val="Arial"/>
        <family val="2"/>
      </rPr>
      <t>2</t>
    </r>
    <r>
      <rPr>
        <sz val="11"/>
        <rFont val="Arial"/>
        <family val="2"/>
      </rPr>
      <t xml:space="preserve">  The Ex-Post average per customer are based on Program Year 2018 SDG&amp;E DR Load Impacts report filed April 2, 2019 for the months of January and February. The Ex-Post average per customer are based on Program Year 2019 SDG&amp;E DR Load Impacts report filed  April 1, 2020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</si>
  <si>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</si>
  <si>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</si>
  <si>
    <t>- Capacity Bidding Program reports the number of nominations not enrollments.</t>
  </si>
  <si>
    <t>- The number of customers enrolled in AC Saver day-ahead declined in April because SDG&amp;E has disenrolled  customers whose thermostat has been offline for more than 1 1/2 years.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</si>
  <si>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</si>
  <si>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</si>
  <si>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</si>
  <si>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</si>
  <si>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</si>
  <si>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</si>
  <si>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</si>
  <si>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</si>
  <si>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</si>
  <si>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</si>
  <si>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</si>
  <si>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</si>
  <si>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</si>
  <si>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</si>
  <si>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</si>
  <si>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</si>
  <si>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xml:space="preserve">A customer is required to be in SDGE’s updated AL-TOU rate and have enough over generation to maximize the utilization of the distributed storage unit. </t>
  </si>
  <si>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</si>
  <si>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</si>
  <si>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</si>
  <si>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</si>
  <si>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January-February. Therefore, the estimates are showing as zero.</t>
  </si>
  <si>
    <t>-  CPP-D, TOU-DR-P (Voluntary Residential) and TOU-A-P (Small Commercial) include Technology Deployment (TD).</t>
  </si>
  <si>
    <t> </t>
  </si>
  <si>
    <t>Average Ex Post Load Impact kW / Customer</t>
  </si>
  <si>
    <t xml:space="preserve">Notes: </t>
  </si>
  <si>
    <t>-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</si>
  <si>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</si>
  <si>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</si>
  <si>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</si>
  <si>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</si>
  <si>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</si>
  <si>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</si>
  <si>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</si>
  <si>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</si>
  <si>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</si>
  <si>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</si>
  <si>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</si>
  <si>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</si>
  <si>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</si>
  <si>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</si>
  <si>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</si>
  <si>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</si>
  <si>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</si>
  <si>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</si>
  <si>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</si>
  <si>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</si>
  <si>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</si>
  <si>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</si>
  <si>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</si>
  <si>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</si>
  <si>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</si>
  <si>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</si>
  <si>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</si>
  <si>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</si>
  <si>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</si>
  <si>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</si>
  <si>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</si>
  <si>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</si>
  <si>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</si>
  <si>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</si>
  <si>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</si>
  <si>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</si>
  <si>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</si>
  <si>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</si>
  <si>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</si>
  <si>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</si>
  <si>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</si>
  <si>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</si>
  <si>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</si>
  <si>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</si>
  <si>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</si>
  <si>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</si>
  <si>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</si>
  <si>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</si>
  <si>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</si>
  <si>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</si>
  <si>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</si>
  <si>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r>
      <t>Base Interruptible Program</t>
    </r>
    <r>
      <rPr>
        <vertAlign val="superscript"/>
        <sz val="10"/>
        <color rgb="FFFF0000"/>
        <rFont val="Arial"/>
        <family val="2"/>
      </rPr>
      <t xml:space="preserve"> 3</t>
    </r>
  </si>
  <si>
    <t xml:space="preserve">Back Up Generators (BUGs) </t>
  </si>
  <si>
    <r>
      <t xml:space="preserve">Capacity Bidding Program </t>
    </r>
    <r>
      <rPr>
        <vertAlign val="superscript"/>
        <sz val="10"/>
        <color rgb="FFFF0000"/>
        <rFont val="Arial"/>
        <family val="2"/>
      </rPr>
      <t>3</t>
    </r>
  </si>
  <si>
    <r>
      <t>AC Saver Day Ahead</t>
    </r>
    <r>
      <rPr>
        <vertAlign val="superscript"/>
        <sz val="10"/>
        <color rgb="FFFF0000"/>
        <rFont val="Arial"/>
        <family val="2"/>
      </rPr>
      <t xml:space="preserve"> 3</t>
    </r>
  </si>
  <si>
    <r>
      <t xml:space="preserve">AC Saver Day Of </t>
    </r>
    <r>
      <rPr>
        <vertAlign val="superscript"/>
        <sz val="10"/>
        <color rgb="FFFF0000"/>
        <rFont val="Arial"/>
        <family val="2"/>
      </rPr>
      <t>3</t>
    </r>
  </si>
  <si>
    <r>
      <t xml:space="preserve">Technology Deployment </t>
    </r>
    <r>
      <rPr>
        <vertAlign val="superscript"/>
        <sz val="10"/>
        <color rgb="FFFF0000"/>
        <rFont val="Arial"/>
        <family val="2"/>
      </rPr>
      <t>3</t>
    </r>
  </si>
  <si>
    <r>
      <t>Technology Incentives</t>
    </r>
    <r>
      <rPr>
        <vertAlign val="superscript"/>
        <sz val="10"/>
        <color rgb="FFFF0000"/>
        <rFont val="Arial"/>
        <family val="2"/>
      </rPr>
      <t xml:space="preserve"> 3</t>
    </r>
  </si>
  <si>
    <r>
      <t xml:space="preserve">CPP-D </t>
    </r>
    <r>
      <rPr>
        <vertAlign val="superscript"/>
        <sz val="11"/>
        <color rgb="FFFF0000"/>
        <rFont val="Arial"/>
        <family val="2"/>
      </rPr>
      <t>2</t>
    </r>
    <r>
      <rPr>
        <sz val="10"/>
        <rFont val="Arial"/>
        <family val="2"/>
      </rPr>
      <t>,</t>
    </r>
    <r>
      <rPr>
        <vertAlign val="superscript"/>
        <sz val="10"/>
        <color rgb="FFFF0000"/>
        <rFont val="Arial"/>
        <family val="2"/>
      </rPr>
      <t>3</t>
    </r>
  </si>
  <si>
    <r>
      <t>Smart Pricing</t>
    </r>
    <r>
      <rPr>
        <vertAlign val="superscript"/>
        <sz val="10"/>
        <color rgb="FFFF0000"/>
        <rFont val="Arial"/>
        <family val="2"/>
      </rPr>
      <t xml:space="preserve"> </t>
    </r>
    <r>
      <rPr>
        <sz val="10"/>
        <rFont val="Arial"/>
        <family val="2"/>
      </rPr>
      <t xml:space="preserve"> </t>
    </r>
    <r>
      <rPr>
        <vertAlign val="superscript"/>
        <sz val="11"/>
        <color rgb="FFFF0000"/>
        <rFont val="Arial"/>
        <family val="2"/>
      </rPr>
      <t>2</t>
    </r>
    <r>
      <rPr>
        <vertAlign val="superscript"/>
        <sz val="10"/>
        <color rgb="FFFF0000"/>
        <rFont val="Arial"/>
        <family val="2"/>
      </rPr>
      <t>,3</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</si>
  <si>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</si>
  <si>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</si>
  <si>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</si>
  <si>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</si>
  <si>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</si>
  <si>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r>
      <t xml:space="preserve">Collateral- Development, Printing, Distribution etc. (all non-labor costs) </t>
    </r>
    <r>
      <rPr>
        <vertAlign val="superscript"/>
        <sz val="11"/>
        <color rgb="FFFF0000"/>
        <rFont val="Arial"/>
        <family val="2"/>
      </rPr>
      <t>2</t>
    </r>
  </si>
  <si>
    <t>Labor</t>
  </si>
  <si>
    <r>
      <t>Paid Media</t>
    </r>
    <r>
      <rPr>
        <vertAlign val="superscript"/>
        <sz val="10"/>
        <color rgb="FFFF0000"/>
        <rFont val="Arial"/>
        <family val="2"/>
      </rPr>
      <t xml:space="preserve"> 3</t>
    </r>
  </si>
  <si>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</si>
  <si>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</si>
  <si>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</si>
  <si>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</si>
  <si>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</si>
  <si>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</si>
  <si>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</si>
  <si>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</si>
  <si>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</si>
  <si>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3</t>
    </r>
    <r>
      <rPr>
        <sz val="11"/>
        <rFont val="Arial"/>
        <family val="2"/>
      </rPr>
      <t xml:space="preserve"> July Credits are related to an invoice that was rejected by Accounts Payable during their daily invoice audit for mis-matched documentation.</t>
    </r>
  </si>
  <si>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</si>
  <si>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</si>
  <si>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</si>
  <si>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</si>
  <si>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</si>
  <si>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</si>
  <si>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</si>
  <si>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</si>
  <si>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</si>
  <si>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</si>
  <si>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</si>
  <si>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r>
      <t xml:space="preserve">Capacity Bidding Program (CBP) </t>
    </r>
    <r>
      <rPr>
        <vertAlign val="superscript"/>
        <sz val="10"/>
        <color rgb="FFFF0000"/>
        <rFont val="Arial"/>
        <family val="2"/>
      </rPr>
      <t>4</t>
    </r>
  </si>
  <si>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</si>
  <si>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</si>
  <si>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</si>
  <si>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</si>
  <si>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</si>
  <si>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r>
      <t xml:space="preserve">Demand Response Auction Mechanism Pilot (DRAM) </t>
    </r>
    <r>
      <rPr>
        <vertAlign val="superscript"/>
        <sz val="10"/>
        <color rgb="FFFF0000"/>
        <rFont val="Arial"/>
        <family val="2"/>
      </rPr>
      <t>6</t>
    </r>
  </si>
  <si>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</si>
  <si>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</si>
  <si>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</si>
  <si>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</si>
  <si>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</si>
  <si>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</si>
  <si>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</si>
  <si>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</si>
  <si>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</si>
  <si>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</si>
  <si>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</si>
  <si>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r>
      <t xml:space="preserve"> Budget Category 5 Total </t>
    </r>
    <r>
      <rPr>
        <b/>
        <vertAlign val="superscript"/>
        <sz val="10"/>
        <color rgb="FFFF0000"/>
        <rFont val="Arial"/>
        <family val="2"/>
      </rPr>
      <t>5</t>
    </r>
  </si>
  <si>
    <t>Category 6:  Marketing, Education, and Outreach</t>
  </si>
  <si>
    <r>
      <t xml:space="preserve">Local Marketing Education &amp; Outreach (LME&amp;O) </t>
    </r>
    <r>
      <rPr>
        <vertAlign val="superscript"/>
        <sz val="10"/>
        <color rgb="FFFF0000"/>
        <rFont val="Arial"/>
        <family val="2"/>
      </rPr>
      <t>1,7</t>
    </r>
  </si>
  <si>
    <t xml:space="preserve"> Budget Category 6 Total</t>
  </si>
  <si>
    <t>Category 7:  Portfolio Support</t>
  </si>
  <si>
    <t>Regulatory Policy &amp; Program Support (Gen. Admin.)</t>
  </si>
  <si>
    <t>DR Potential Study</t>
  </si>
  <si>
    <t xml:space="preserve"> Budget Category 7 Total</t>
  </si>
  <si>
    <t>Total Incremental Cost</t>
  </si>
  <si>
    <r>
      <rPr>
        <vertAlign val="superscript"/>
        <sz val="10"/>
        <color rgb="FFFF0000"/>
        <rFont val="Arial"/>
        <family val="2"/>
      </rPr>
      <t>2</t>
    </r>
    <r>
      <rPr>
        <sz val="10"/>
        <rFont val="Arial"/>
        <family val="2"/>
      </rPr>
      <t xml:space="preserve"> April credits are related to Journal Entries to move charges to the correct Internal Order and Accrual Reversals which occurred in a prior reporting month (March).</t>
    </r>
  </si>
  <si>
    <r>
      <rPr>
        <vertAlign val="superscript"/>
        <sz val="10"/>
        <color rgb="FFFF0000"/>
        <rFont val="Arial"/>
        <family val="2"/>
      </rPr>
      <t xml:space="preserve">3 </t>
    </r>
    <r>
      <rPr>
        <sz val="10"/>
        <rFont val="Arial"/>
        <family val="2"/>
      </rPr>
      <t>April credits are related to Accrual Reversals which occurred in a prior reporting period (March).</t>
    </r>
  </si>
  <si>
    <r>
      <rPr>
        <vertAlign val="superscript"/>
        <sz val="10"/>
        <color rgb="FFFF0000"/>
        <rFont val="Arial"/>
        <family val="2"/>
      </rPr>
      <t>5</t>
    </r>
    <r>
      <rPr>
        <sz val="10"/>
        <rFont val="Arial"/>
        <family val="2"/>
      </rPr>
      <t xml:space="preserve"> The five (5) Year Budget for Category does not include CBP Residential Pilot; program was only approved in Program Year 2018.</t>
    </r>
  </si>
  <si>
    <r>
      <rPr>
        <vertAlign val="superscript"/>
        <sz val="10"/>
        <color rgb="FFFF0000"/>
        <rFont val="Arial"/>
        <family val="2"/>
      </rPr>
      <t>6</t>
    </r>
    <r>
      <rPr>
        <sz val="10"/>
        <rFont val="Arial"/>
        <family val="2"/>
      </rPr>
      <t xml:space="preserve"> July credits are related to Accrual Reversals which occurred in a prior reporting period (June).</t>
    </r>
  </si>
  <si>
    <r>
      <rPr>
        <vertAlign val="superscript"/>
        <sz val="11"/>
        <color rgb="FFFF0000"/>
        <rFont val="Arial"/>
        <family val="2"/>
      </rPr>
      <t>7</t>
    </r>
    <r>
      <rPr>
        <sz val="11"/>
        <rFont val="Arial"/>
        <family val="2"/>
      </rPr>
      <t xml:space="preserve"> July Credits are related to an invoice that was rejected by Accounts Payable during their daily invoice audit for mis-matched documentation.</t>
    </r>
  </si>
  <si>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</si>
  <si>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</si>
  <si>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</si>
  <si>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</si>
  <si>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</si>
  <si>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</si>
  <si>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</si>
  <si>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</si>
  <si>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</si>
  <si>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</si>
  <si>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</si>
  <si>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</si>
  <si>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</si>
  <si>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</si>
  <si>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AC Saver DO (Summer Saver) Commercial &amp; Residential</t>
  </si>
  <si>
    <t>Heat Rate</t>
  </si>
  <si>
    <t>6:00pm-8:00pm</t>
  </si>
  <si>
    <t>CBP Day Ahead 1-9</t>
  </si>
  <si>
    <t>Market Price</t>
  </si>
  <si>
    <t>CBP Day Ahead 11-7</t>
  </si>
  <si>
    <t>5:00pm-7:00pm</t>
  </si>
  <si>
    <t>CBP Day Of 1-9</t>
  </si>
  <si>
    <t>Real Time Price</t>
  </si>
  <si>
    <t>AC Saver DA Residential</t>
  </si>
  <si>
    <t>AC Saver DA Commercial</t>
  </si>
  <si>
    <t>7:00pm-9:00pm</t>
  </si>
  <si>
    <t>12:00pm-2:00pm</t>
  </si>
  <si>
    <t>6:00pm-9:00pm</t>
  </si>
  <si>
    <t>5:00pm-8:00pm</t>
  </si>
  <si>
    <t>5:00pm-9:00pm</t>
  </si>
  <si>
    <t>CBP Day Of 11-7</t>
  </si>
  <si>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</si>
  <si>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</si>
  <si>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</si>
  <si>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</si>
  <si>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</si>
  <si>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</si>
  <si>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</si>
  <si>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</si>
  <si>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</si>
  <si>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</si>
  <si>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</si>
  <si>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</si>
  <si>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</si>
  <si>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</si>
  <si>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</si>
  <si>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</si>
  <si>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10"/>
        <color rgb="FFFF0000"/>
        <rFont val="Arial"/>
        <family val="2"/>
      </rPr>
      <t xml:space="preserve"> 2,7</t>
    </r>
  </si>
  <si>
    <t>General Admin</t>
  </si>
  <si>
    <r>
      <t xml:space="preserve">IT </t>
    </r>
    <r>
      <rPr>
        <vertAlign val="superscript"/>
        <sz val="9"/>
        <color rgb="FFFF0000"/>
        <rFont val="Arial"/>
        <family val="2"/>
      </rPr>
      <t>3</t>
    </r>
  </si>
  <si>
    <r>
      <t>EM&amp;V</t>
    </r>
    <r>
      <rPr>
        <vertAlign val="superscript"/>
        <sz val="9"/>
        <color rgb="FFFF0000"/>
        <rFont val="Arial"/>
        <family val="2"/>
      </rPr>
      <t xml:space="preserve"> 4</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</si>
  <si>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</si>
  <si>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</si>
  <si>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</si>
  <si>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</si>
  <si>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</si>
  <si>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r>
      <t xml:space="preserve">IDSM DR COM </t>
    </r>
    <r>
      <rPr>
        <vertAlign val="superscript"/>
        <sz val="9"/>
        <color rgb="FFFF0000"/>
        <rFont val="Arial"/>
        <family val="2"/>
      </rPr>
      <t>6</t>
    </r>
  </si>
  <si>
    <r>
      <t xml:space="preserve">Behavioral </t>
    </r>
    <r>
      <rPr>
        <vertAlign val="superscript"/>
        <sz val="9"/>
        <color rgb="FFFF0000"/>
        <rFont val="Arial"/>
        <family val="2"/>
      </rPr>
      <t>5</t>
    </r>
  </si>
  <si>
    <t xml:space="preserve">  Total Administrative (O&amp;M) </t>
  </si>
  <si>
    <t>Customer Incentives</t>
  </si>
  <si>
    <r>
      <t>AC Saver Day‐Of</t>
    </r>
    <r>
      <rPr>
        <vertAlign val="superscript"/>
        <sz val="10"/>
        <color rgb="FFFF0000"/>
        <rFont val="Arial"/>
        <family val="2"/>
      </rPr>
      <t xml:space="preserve"> </t>
    </r>
  </si>
  <si>
    <t>Capacity Bidding Program (CBP)</t>
  </si>
  <si>
    <r>
      <t>Demand Response Auction Mechanism (DRAM)</t>
    </r>
    <r>
      <rPr>
        <vertAlign val="superscript"/>
        <sz val="9"/>
        <color rgb="FFFF0000"/>
        <rFont val="Arial"/>
        <family val="2"/>
      </rPr>
      <t xml:space="preserve"> 8</t>
    </r>
  </si>
  <si>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</si>
  <si>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</si>
  <si>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</si>
  <si>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</si>
  <si>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</si>
  <si>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</si>
  <si>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</si>
  <si>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r>
      <rPr>
        <vertAlign val="superscript"/>
        <sz val="11"/>
        <color rgb="FFFF0000"/>
        <rFont val="Arial"/>
        <family val="2"/>
      </rPr>
      <t>3</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</si>
  <si>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4</t>
    </r>
    <r>
      <rPr>
        <sz val="11"/>
        <rFont val="Arial"/>
        <family val="2"/>
      </rPr>
      <t xml:space="preserve"> April credits are related to Accrual Reversals which occurred in a prior reporting period (March).</t>
    </r>
  </si>
  <si>
    <r>
      <rPr>
        <vertAlign val="superscript"/>
        <sz val="11"/>
        <color rgb="FFFF0000"/>
        <rFont val="Arial"/>
        <family val="2"/>
      </rPr>
      <t>5</t>
    </r>
    <r>
      <rPr>
        <sz val="11"/>
        <rFont val="Arial"/>
        <family val="2"/>
      </rPr>
      <t xml:space="preserve"> April credit is related to a Journal Entry to move charges from program into a pre-paid account to be amortized.</t>
    </r>
  </si>
  <si>
    <r>
      <rPr>
        <vertAlign val="superscript"/>
        <sz val="11"/>
        <color rgb="FFFF0000"/>
        <rFont val="Arial"/>
        <family val="2"/>
      </rPr>
      <t xml:space="preserve">6  </t>
    </r>
    <r>
      <rPr>
        <sz val="11"/>
        <rFont val="Arial"/>
        <family val="2"/>
      </rPr>
      <t>May Credit is related to an adjustment received on the prior month invoice.</t>
    </r>
  </si>
  <si>
    <r>
      <rPr>
        <vertAlign val="superscript"/>
        <sz val="11"/>
        <color rgb="FFFF0000"/>
        <rFont val="Arial"/>
        <family val="2"/>
      </rPr>
      <t>8</t>
    </r>
    <r>
      <rPr>
        <vertAlign val="superscript"/>
        <sz val="9"/>
        <color rgb="FFFF0000"/>
        <rFont val="Arial"/>
        <family val="2"/>
      </rPr>
      <t xml:space="preserve"> </t>
    </r>
    <r>
      <rPr>
        <sz val="11"/>
        <rFont val="Arial"/>
        <family val="2"/>
      </rPr>
      <t>July credits are related to Accrual Reversals which occurred in a prior reporting period (June).</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</si>
  <si>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</si>
  <si>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</si>
  <si>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</si>
  <si>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</si>
  <si>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</si>
  <si>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</si>
  <si>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</si>
  <si>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</si>
  <si>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</si>
  <si>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</si>
  <si>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</si>
  <si>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</si>
  <si>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</si>
  <si>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</si>
  <si>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</si>
  <si>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</si>
  <si>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4</t>
    </r>
  </si>
  <si>
    <r>
      <t xml:space="preserve">Rule 32 Operations </t>
    </r>
    <r>
      <rPr>
        <vertAlign val="superscript"/>
        <sz val="10"/>
        <color rgb="FFFF0000"/>
        <rFont val="Arial"/>
        <family val="2"/>
      </rPr>
      <t>2</t>
    </r>
  </si>
  <si>
    <r>
      <t xml:space="preserve">Rule 32 Meter </t>
    </r>
    <r>
      <rPr>
        <b/>
        <vertAlign val="superscript"/>
        <sz val="10"/>
        <color rgb="FFFF0000"/>
        <rFont val="Arial"/>
        <family val="2"/>
      </rPr>
      <t>5</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</si>
  <si>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</si>
  <si>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</si>
  <si>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</si>
  <si>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</si>
  <si>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</si>
  <si>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</si>
  <si>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</si>
  <si>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</si>
  <si>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</si>
  <si>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</si>
  <si>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</si>
  <si>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</si>
  <si>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4</t>
    </r>
    <r>
      <rPr>
        <sz val="11"/>
        <rFont val="Arial"/>
        <family val="2"/>
      </rPr>
      <t xml:space="preserve"> April Credit is related to Journal Entries performed to move charges to the correct program.</t>
    </r>
  </si>
  <si>
    <r>
      <t>Regulatory Policy &amp; Program Support (Gen. Admin.)</t>
    </r>
    <r>
      <rPr>
        <vertAlign val="superscript"/>
        <sz val="10"/>
        <color rgb="FFFF0000"/>
        <rFont val="Arial"/>
        <family val="2"/>
      </rPr>
      <t xml:space="preserve"> 8</t>
    </r>
  </si>
  <si>
    <r>
      <t>IT Infrastructure &amp; Systems Support</t>
    </r>
    <r>
      <rPr>
        <vertAlign val="superscript"/>
        <sz val="10"/>
        <rFont val="Arial"/>
        <family val="2"/>
      </rPr>
      <t xml:space="preserve"> </t>
    </r>
    <r>
      <rPr>
        <vertAlign val="superscript"/>
        <sz val="10"/>
        <color rgb="FFFF0000"/>
        <rFont val="Arial"/>
        <family val="2"/>
      </rPr>
      <t>2, 8</t>
    </r>
  </si>
  <si>
    <r>
      <t xml:space="preserve">EM&amp;V </t>
    </r>
    <r>
      <rPr>
        <vertAlign val="superscript"/>
        <sz val="10"/>
        <color rgb="FFFF0000"/>
        <rFont val="Arial"/>
        <family val="2"/>
      </rPr>
      <t>3, 8</t>
    </r>
  </si>
  <si>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</si>
  <si>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</si>
  <si>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</si>
  <si>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8/14/2020</t>
  </si>
  <si>
    <t>Temperature and System Load</t>
  </si>
  <si>
    <t>3:00pm-7:00pm</t>
  </si>
  <si>
    <t>7:00pm-8:00pm</t>
  </si>
  <si>
    <t>4:00pm-8:00pm</t>
  </si>
  <si>
    <t>Reduce Your Use (TOU-A-P &amp; TOU-PA-P) including TD on PSW</t>
  </si>
  <si>
    <t>2:00pm-6:00pm</t>
  </si>
  <si>
    <t>Voluntary Residential CPP Excluding Grandfather and Including TD</t>
  </si>
  <si>
    <t>CPP (Large and Medium) not in CBP or BIP (including TD)</t>
  </si>
  <si>
    <t>CPP (Large and Medium) not in BIP (including TD)</t>
  </si>
  <si>
    <t>4:00pm-7:00pm</t>
  </si>
  <si>
    <t>CPP (Large and Medium) not in BIP or CBP (including TD)</t>
  </si>
  <si>
    <t>500pm-9:00pm</t>
  </si>
  <si>
    <t>4:00pm-6:00pm</t>
  </si>
  <si>
    <t>CPP (Large and Medium) not in CBP (including TD)</t>
  </si>
  <si>
    <r>
      <rPr>
        <vertAlign val="superscript"/>
        <sz val="11"/>
        <color rgb="FFFF0000"/>
        <rFont val="Arial"/>
        <family val="2"/>
      </rPr>
      <t>5</t>
    </r>
    <r>
      <rPr>
        <sz val="11"/>
        <rFont val="Arial"/>
        <family val="2"/>
      </rPr>
      <t xml:space="preserve"> July and September credits are related to Accrual Reversals which occurred in a prior reporting period (June, August).</t>
    </r>
  </si>
  <si>
    <t>November 2020</t>
  </si>
  <si>
    <r>
      <rPr>
        <vertAlign val="superscript"/>
        <sz val="10"/>
        <color rgb="FFFF0000"/>
        <rFont val="Arial"/>
        <family val="2"/>
      </rPr>
      <t>7</t>
    </r>
    <r>
      <rPr>
        <sz val="10"/>
        <rFont val="Arial"/>
        <family val="2"/>
      </rPr>
      <t xml:space="preserve"> July Credits are related to an invoice that was rejected by Accounts Payable during their daily invoice audit for mis-matched documentation.</t>
    </r>
  </si>
  <si>
    <r>
      <rPr>
        <vertAlign val="superscript"/>
        <sz val="11"/>
        <color rgb="FFFF0000"/>
        <rFont val="Arial"/>
        <family val="2"/>
      </rPr>
      <t>2</t>
    </r>
    <r>
      <rPr>
        <sz val="11"/>
        <rFont val="Arial"/>
        <family val="2"/>
      </rPr>
      <t xml:space="preserve"> March credits are related to Journal Entries to move charges to correct program Internal Orders.</t>
    </r>
  </si>
  <si>
    <r>
      <rPr>
        <vertAlign val="superscript"/>
        <sz val="10"/>
        <color rgb="FFFF0000"/>
        <rFont val="Arial"/>
        <family val="2"/>
      </rPr>
      <t>4</t>
    </r>
    <r>
      <rPr>
        <sz val="10"/>
        <rFont val="Arial"/>
        <family val="2"/>
      </rPr>
      <t xml:space="preserve"> 5 year budget updated to include fund shift authorized in Resolution E 4906.</t>
    </r>
  </si>
  <si>
    <r>
      <rPr>
        <vertAlign val="superscript"/>
        <sz val="10"/>
        <color rgb="FFFF0000"/>
        <rFont val="Arial"/>
        <family val="2"/>
      </rPr>
      <t>8</t>
    </r>
    <r>
      <rPr>
        <sz val="10"/>
        <rFont val="Arial"/>
        <family val="2"/>
      </rPr>
      <t xml:space="preserve"> Fund shifted to move $400K and $166K from programs prior years rollover dollars within category 7 to cover IT shortfall.</t>
    </r>
  </si>
  <si>
    <r>
      <rPr>
        <vertAlign val="superscript"/>
        <sz val="10"/>
        <color rgb="FFFF0000"/>
        <rFont val="Arial"/>
        <family val="2"/>
      </rPr>
      <t>1</t>
    </r>
    <r>
      <rPr>
        <sz val="10"/>
        <rFont val="Arial"/>
        <family val="2"/>
      </rPr>
      <t xml:space="preserve"> March credits are related to Journal Entries to move charges to correct program Internal Orders.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</si>
</sst>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vertAlign val="superscript"/>
      <sz val="9"/>
      <name val="Arial"/>
      <family val="2"/>
    </font>
    <font>
      <sz val="11"/>
      <color rgb="FF444444"/>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76" applyNumberFormat="0" applyProtection="0">
      <alignment horizontal="right" vertical="center"/>
    </xf>
    <xf numFmtId="4" fontId="42" fillId="52" borderId="76" applyNumberFormat="0" applyProtection="0">
      <alignment horizontal="left" vertical="center" indent="1"/>
    </xf>
    <xf numFmtId="43" fontId="1" fillId="0" borderId="0" applyFont="0" applyFill="0" applyBorder="0" applyAlignment="0" applyProtection="0"/>
  </cellStyleXfs>
  <cellXfs count="697">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0"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44" fillId="0" borderId="45" xfId="66" applyFont="1" applyBorder="1" applyAlignment="1">
      <alignment horizontal="center"/>
    </xf>
    <xf numFmtId="175" fontId="14" fillId="0" borderId="45" xfId="66" applyFont="1" applyBorder="1" applyAlignment="1">
      <alignment horizontal="center"/>
    </xf>
    <xf numFmtId="175" fontId="13" fillId="0" borderId="45" xfId="66" applyBorder="1"/>
    <xf numFmtId="164" fontId="13" fillId="0" borderId="0" xfId="66" applyNumberFormat="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49" xfId="66" applyFont="1" applyBorder="1" applyAlignment="1">
      <alignment horizontal="left" indent="1"/>
    </xf>
    <xf numFmtId="164" fontId="13" fillId="44" borderId="0" xfId="66" applyNumberFormat="1" applyFill="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2"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1"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3" xfId="66" applyNumberFormat="1" applyBorder="1" applyProtection="1">
      <protection locked="0"/>
    </xf>
    <xf numFmtId="175" fontId="51" fillId="47" borderId="0" xfId="0" applyFont="1" applyFill="1" applyAlignment="1">
      <alignment horizontal="center"/>
    </xf>
    <xf numFmtId="175" fontId="14" fillId="0" borderId="53" xfId="66" applyFont="1" applyBorder="1" applyProtection="1">
      <protection locked="0"/>
    </xf>
    <xf numFmtId="175" fontId="14" fillId="47" borderId="0" xfId="0" applyFont="1" applyFill="1" applyProtection="1">
      <protection locked="0"/>
    </xf>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75" fontId="65" fillId="0" borderId="43" xfId="66" applyFont="1" applyBorder="1" applyAlignment="1">
      <alignment wrapText="1"/>
    </xf>
    <xf numFmtId="175" fontId="65" fillId="0" borderId="20" xfId="66" applyFont="1" applyBorder="1"/>
    <xf numFmtId="175" fontId="65" fillId="0" borderId="54" xfId="66" applyFont="1" applyBorder="1" applyAlignment="1">
      <alignment wrapText="1"/>
    </xf>
    <xf numFmtId="164" fontId="65" fillId="43" borderId="53"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2"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7" fillId="0" borderId="0" xfId="520" applyFont="1"/>
    <xf numFmtId="6" fontId="75" fillId="0" borderId="0" xfId="520" applyNumberFormat="1" applyFont="1"/>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17" xfId="520" applyFont="1" applyBorder="1"/>
    <xf numFmtId="0" fontId="75" fillId="0" borderId="22" xfId="520" applyFont="1" applyBorder="1"/>
    <xf numFmtId="175" fontId="13" fillId="0" borderId="57" xfId="66" applyBorder="1" applyProtection="1">
      <protection locked="0"/>
    </xf>
    <xf numFmtId="175" fontId="13" fillId="0" borderId="58"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67" fontId="13" fillId="0" borderId="59" xfId="66" applyNumberFormat="1" applyBorder="1"/>
    <xf numFmtId="6" fontId="13" fillId="0" borderId="60" xfId="66" applyNumberFormat="1" applyBorder="1" applyProtection="1">
      <protection locked="0"/>
    </xf>
    <xf numFmtId="175" fontId="13" fillId="0" borderId="61"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2"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3" fillId="47" borderId="13" xfId="66" applyFill="1" applyBorder="1" applyProtection="1">
      <protection locked="0"/>
    </xf>
    <xf numFmtId="6" fontId="73" fillId="0" borderId="13"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4" xfId="66" applyFont="1" applyBorder="1"/>
    <xf numFmtId="175" fontId="14" fillId="0" borderId="56" xfId="66" applyFont="1" applyBorder="1" applyAlignment="1">
      <alignment horizontal="center"/>
    </xf>
    <xf numFmtId="175" fontId="14" fillId="0" borderId="56" xfId="66" applyFont="1" applyBorder="1" applyAlignment="1">
      <alignment horizontal="left"/>
    </xf>
    <xf numFmtId="175" fontId="14" fillId="0" borderId="39" xfId="66" applyFont="1" applyBorder="1"/>
    <xf numFmtId="175" fontId="13" fillId="0" borderId="56" xfId="66" applyBorder="1"/>
    <xf numFmtId="175" fontId="14" fillId="0" borderId="56" xfId="66" applyFont="1" applyBorder="1"/>
    <xf numFmtId="175" fontId="14" fillId="0" borderId="39" xfId="66" applyFont="1" applyBorder="1" applyAlignment="1">
      <alignment horizontal="left" wrapText="1" indent="1"/>
    </xf>
    <xf numFmtId="175" fontId="14" fillId="0" borderId="56" xfId="66" applyFont="1" applyBorder="1" applyAlignment="1">
      <alignment horizontal="left" indent="1"/>
    </xf>
    <xf numFmtId="175" fontId="14" fillId="0" borderId="56" xfId="66" applyFont="1" applyBorder="1" applyAlignment="1">
      <alignment horizontal="center" wrapText="1"/>
    </xf>
    <xf numFmtId="175" fontId="14" fillId="0" borderId="39" xfId="66" applyFont="1" applyBorder="1" applyAlignment="1">
      <alignment horizontal="left" indent="1"/>
    </xf>
    <xf numFmtId="175" fontId="14" fillId="0" borderId="63" xfId="66" applyFont="1" applyBorder="1" applyAlignment="1">
      <alignment horizontal="left" indent="1"/>
    </xf>
    <xf numFmtId="175" fontId="14" fillId="0" borderId="66" xfId="66" applyFont="1" applyBorder="1" applyAlignment="1">
      <alignment wrapText="1"/>
    </xf>
    <xf numFmtId="175" fontId="14" fillId="0" borderId="67" xfId="66"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0"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71" fontId="13" fillId="47" borderId="0" xfId="66" applyNumberFormat="1" applyFont="1" applyFill="1" applyAlignment="1" applyProtection="1">
      <alignment horizontal="center"/>
      <protection locked="0"/>
    </xf>
    <xf numFmtId="175" fontId="13" fillId="0" borderId="0" xfId="66" applyBorder="1"/>
    <xf numFmtId="175" fontId="14" fillId="44" borderId="55" xfId="66" applyFont="1" applyFill="1" applyBorder="1" applyAlignment="1">
      <alignment horizontal="center"/>
    </xf>
    <xf numFmtId="175" fontId="14" fillId="0" borderId="55" xfId="0" applyFont="1" applyBorder="1" applyAlignment="1">
      <alignment wrapText="1"/>
    </xf>
    <xf numFmtId="175" fontId="14" fillId="0" borderId="64" xfId="66" applyFont="1" applyBorder="1" applyAlignment="1">
      <alignment horizontal="left"/>
    </xf>
    <xf numFmtId="175" fontId="14" fillId="0" borderId="20" xfId="66" applyFont="1" applyBorder="1" applyAlignment="1" applyProtection="1">
      <alignment horizontal="center"/>
      <protection locked="0"/>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6" fillId="0" borderId="17" xfId="520" applyFont="1" applyBorder="1"/>
    <xf numFmtId="0" fontId="54" fillId="49" borderId="20" xfId="520" applyFont="1" applyFill="1" applyBorder="1"/>
    <xf numFmtId="0" fontId="54" fillId="0" borderId="21" xfId="520" applyFon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0" borderId="11" xfId="0" applyFont="1" applyBorder="1" applyAlignment="1">
      <alignment horizontal="center"/>
    </xf>
    <xf numFmtId="175" fontId="0" fillId="0" borderId="50" xfId="0" applyBorder="1"/>
    <xf numFmtId="2" fontId="39" fillId="0" borderId="0" xfId="0" applyNumberFormat="1" applyFont="1" applyProtection="1">
      <protection locked="0"/>
    </xf>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74"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73"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6" fillId="0" borderId="74" xfId="0" applyNumberFormat="1" applyFont="1" applyFill="1" applyBorder="1"/>
    <xf numFmtId="175" fontId="56" fillId="0" borderId="75" xfId="0" applyFont="1" applyFill="1" applyBorder="1"/>
    <xf numFmtId="175" fontId="56" fillId="0" borderId="75" xfId="0" applyFont="1" applyFill="1" applyBorder="1" applyProtection="1">
      <protection locked="0"/>
    </xf>
    <xf numFmtId="176"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167" fontId="13" fillId="47" borderId="46" xfId="66" applyNumberFormat="1" applyFill="1" applyBorder="1" applyAlignment="1">
      <alignment horizontal="right"/>
    </xf>
    <xf numFmtId="1" fontId="13" fillId="0" borderId="0" xfId="0" applyNumberFormat="1" applyFont="1" applyProtection="1">
      <protection locked="0"/>
    </xf>
    <xf numFmtId="175" fontId="66" fillId="47" borderId="40" xfId="0" applyFont="1" applyFill="1" applyBorder="1"/>
    <xf numFmtId="6" fontId="13" fillId="0" borderId="41" xfId="66" applyNumberFormat="1" applyBorder="1" applyAlignment="1">
      <alignment horizontal="right"/>
    </xf>
    <xf numFmtId="6" fontId="13" fillId="0" borderId="50" xfId="66" applyNumberFormat="1" applyBorder="1" applyProtection="1">
      <protection locked="0"/>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77" xfId="66" applyFont="1" applyBorder="1" applyAlignment="1">
      <alignment horizontal="left" wrapText="1" indent="1"/>
    </xf>
    <xf numFmtId="175" fontId="14" fillId="0" borderId="77" xfId="66" applyFont="1" applyBorder="1"/>
    <xf numFmtId="8" fontId="66" fillId="0" borderId="17"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3" fontId="13" fillId="0" borderId="78"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9" fillId="47" borderId="0" xfId="0" quotePrefix="1" applyFont="1" applyFill="1" applyProtection="1">
      <protection locked="0"/>
    </xf>
    <xf numFmtId="175" fontId="89"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68" xfId="66" applyNumberFormat="1" applyBorder="1" applyAlignment="1">
      <alignment horizontal="right"/>
    </xf>
    <xf numFmtId="164" fontId="13" fillId="0" borderId="65" xfId="66" applyNumberFormat="1" applyBorder="1" applyAlignment="1">
      <alignment horizontal="right"/>
    </xf>
    <xf numFmtId="164" fontId="13" fillId="0" borderId="27" xfId="66" applyNumberFormat="1" applyBorder="1" applyAlignment="1">
      <alignment horizontal="right"/>
    </xf>
    <xf numFmtId="164" fontId="13" fillId="44" borderId="68" xfId="66" applyNumberFormat="1" applyFill="1" applyBorder="1" applyAlignment="1">
      <alignment horizontal="right"/>
    </xf>
    <xf numFmtId="164" fontId="13" fillId="44" borderId="18" xfId="66" applyNumberFormat="1" applyFill="1" applyBorder="1" applyAlignment="1">
      <alignment horizontal="right"/>
    </xf>
    <xf numFmtId="164" fontId="14" fillId="0" borderId="69"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43" borderId="42" xfId="66" applyNumberFormat="1" applyFont="1" applyFill="1" applyBorder="1" applyAlignment="1"/>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3" borderId="0" xfId="66" applyFont="1" applyFill="1"/>
    <xf numFmtId="44" fontId="61" fillId="43" borderId="0" xfId="50" applyFont="1" applyFill="1"/>
    <xf numFmtId="175" fontId="61" fillId="47" borderId="0" xfId="66" applyFont="1" applyFill="1" applyAlignment="1"/>
    <xf numFmtId="175" fontId="92" fillId="0" borderId="0" xfId="0" quotePrefix="1" applyFont="1" applyAlignment="1">
      <alignment vertical="center"/>
    </xf>
    <xf numFmtId="175" fontId="61" fillId="47" borderId="0" xfId="66" applyFont="1" applyFill="1" applyProtection="1">
      <protection locked="0"/>
    </xf>
    <xf numFmtId="44" fontId="66" fillId="47" borderId="0" xfId="50" applyFont="1" applyFill="1"/>
    <xf numFmtId="175" fontId="13" fillId="0" borderId="0" xfId="66" applyFont="1" applyProtection="1">
      <protection locked="0"/>
    </xf>
    <xf numFmtId="8" fontId="66" fillId="0" borderId="27" xfId="66" applyNumberFormat="1" applyFont="1" applyBorder="1"/>
    <xf numFmtId="175" fontId="56" fillId="0" borderId="11" xfId="0" applyFont="1" applyBorder="1" applyAlignment="1">
      <alignment horizontal="right"/>
    </xf>
    <xf numFmtId="14" fontId="56" fillId="0" borderId="11" xfId="0" applyNumberFormat="1" applyFont="1" applyBorder="1" applyAlignment="1">
      <alignment horizontal="right"/>
    </xf>
    <xf numFmtId="164" fontId="13" fillId="0" borderId="0" xfId="66" applyNumberFormat="1" applyBorder="1" applyAlignment="1" applyProtection="1">
      <alignment horizontal="center"/>
      <protection locked="0"/>
    </xf>
    <xf numFmtId="175" fontId="14" fillId="0" borderId="79" xfId="66" applyFont="1" applyBorder="1" applyAlignment="1">
      <alignment horizontal="center" wrapText="1"/>
    </xf>
    <xf numFmtId="175" fontId="13" fillId="0" borderId="63" xfId="66" applyBorder="1"/>
    <xf numFmtId="164" fontId="13" fillId="0" borderId="56" xfId="66" applyNumberFormat="1" applyBorder="1"/>
    <xf numFmtId="164" fontId="13" fillId="0" borderId="39" xfId="66" applyNumberFormat="1" applyBorder="1"/>
    <xf numFmtId="164" fontId="13" fillId="0" borderId="63" xfId="66" applyNumberFormat="1" applyBorder="1"/>
    <xf numFmtId="164" fontId="13" fillId="44" borderId="39" xfId="66" applyNumberFormat="1" applyFill="1" applyBorder="1" applyAlignment="1">
      <alignment horizontal="right"/>
    </xf>
    <xf numFmtId="164" fontId="14" fillId="0" borderId="66" xfId="66" applyNumberFormat="1" applyFont="1" applyBorder="1"/>
    <xf numFmtId="175" fontId="66" fillId="43" borderId="55" xfId="66" applyFont="1" applyFill="1" applyBorder="1"/>
    <xf numFmtId="175" fontId="65" fillId="43" borderId="39" xfId="66" applyFont="1" applyFill="1" applyBorder="1" applyAlignment="1">
      <alignment horizontal="center" wrapText="1"/>
    </xf>
    <xf numFmtId="175" fontId="65" fillId="43" borderId="56" xfId="66" applyFont="1" applyFill="1" applyBorder="1" applyAlignment="1">
      <alignment horizontal="center" wrapText="1"/>
    </xf>
    <xf numFmtId="175" fontId="65" fillId="0" borderId="56" xfId="66" applyFont="1" applyBorder="1" applyAlignment="1">
      <alignment horizontal="center" wrapText="1"/>
    </xf>
    <xf numFmtId="164" fontId="66" fillId="0" borderId="56" xfId="66" applyNumberFormat="1" applyFont="1" applyBorder="1"/>
    <xf numFmtId="164" fontId="66" fillId="47" borderId="56" xfId="66" applyNumberFormat="1" applyFont="1" applyFill="1" applyBorder="1"/>
    <xf numFmtId="164" fontId="65" fillId="0" borderId="39" xfId="66" applyNumberFormat="1" applyFont="1" applyBorder="1" applyAlignment="1">
      <alignment horizontal="right"/>
    </xf>
    <xf numFmtId="164" fontId="66" fillId="0" borderId="64" xfId="66" applyNumberFormat="1" applyFont="1" applyBorder="1"/>
    <xf numFmtId="164" fontId="65" fillId="43" borderId="64" xfId="66" applyNumberFormat="1" applyFont="1" applyFill="1" applyBorder="1"/>
    <xf numFmtId="164" fontId="65" fillId="0" borderId="80" xfId="66" applyNumberFormat="1" applyFont="1" applyBorder="1" applyAlignment="1">
      <alignment horizontal="right"/>
    </xf>
    <xf numFmtId="44" fontId="65" fillId="43" borderId="14" xfId="50" applyFont="1" applyFill="1" applyBorder="1"/>
    <xf numFmtId="164" fontId="65" fillId="0" borderId="20" xfId="66" applyNumberFormat="1" applyFont="1" applyBorder="1"/>
    <xf numFmtId="164" fontId="65" fillId="0" borderId="18" xfId="66" applyNumberFormat="1" applyFont="1" applyBorder="1"/>
    <xf numFmtId="164" fontId="65" fillId="0" borderId="18" xfId="66" applyNumberFormat="1" applyFont="1" applyBorder="1" applyAlignment="1"/>
    <xf numFmtId="164" fontId="65" fillId="0" borderId="39" xfId="66" applyNumberFormat="1" applyFont="1" applyBorder="1"/>
    <xf numFmtId="164" fontId="65" fillId="43" borderId="81" xfId="66" applyNumberFormat="1" applyFont="1" applyFill="1" applyBorder="1"/>
    <xf numFmtId="164" fontId="65" fillId="43" borderId="48" xfId="66" applyNumberFormat="1" applyFont="1" applyFill="1" applyBorder="1"/>
    <xf numFmtId="164" fontId="65" fillId="43" borderId="48" xfId="66" applyNumberFormat="1" applyFont="1" applyFill="1" applyBorder="1" applyAlignment="1"/>
    <xf numFmtId="164" fontId="65" fillId="43" borderId="66" xfId="66" applyNumberFormat="1" applyFont="1" applyFill="1" applyBorder="1"/>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6" fontId="13" fillId="0" borderId="0" xfId="46" applyNumberFormat="1" applyProtection="1">
      <protection locked="0"/>
    </xf>
    <xf numFmtId="42" fontId="13" fillId="0" borderId="0" xfId="520" applyNumberFormat="1" applyFont="1" applyBorder="1"/>
    <xf numFmtId="42" fontId="13" fillId="0" borderId="41" xfId="520" applyNumberFormat="1" applyBorder="1"/>
    <xf numFmtId="42" fontId="13" fillId="51" borderId="0" xfId="520" applyNumberFormat="1" applyFont="1" applyFill="1"/>
    <xf numFmtId="42" fontId="13" fillId="47" borderId="41" xfId="520" applyNumberFormat="1" applyFont="1" applyFill="1" applyBorder="1"/>
    <xf numFmtId="42" fontId="13" fillId="0" borderId="0" xfId="520" applyNumberFormat="1" applyFont="1"/>
    <xf numFmtId="42" fontId="13" fillId="0" borderId="41" xfId="520" applyNumberFormat="1" applyFont="1" applyBorder="1"/>
    <xf numFmtId="42" fontId="13" fillId="0" borderId="15" xfId="520" applyNumberFormat="1" applyFont="1" applyBorder="1"/>
    <xf numFmtId="42" fontId="13" fillId="47" borderId="50" xfId="520" applyNumberFormat="1" applyFill="1" applyBorder="1"/>
    <xf numFmtId="42" fontId="73" fillId="47" borderId="0" xfId="520" applyNumberFormat="1" applyFont="1" applyFill="1"/>
    <xf numFmtId="42" fontId="13" fillId="49" borderId="18" xfId="520" applyNumberFormat="1" applyFont="1" applyFill="1" applyBorder="1"/>
    <xf numFmtId="42" fontId="13" fillId="49" borderId="16" xfId="520" applyNumberFormat="1" applyFont="1" applyFill="1" applyBorder="1"/>
    <xf numFmtId="42" fontId="13" fillId="49" borderId="19" xfId="520" applyNumberFormat="1" applyFont="1" applyFill="1" applyBorder="1"/>
    <xf numFmtId="42" fontId="73" fillId="49" borderId="18" xfId="520" applyNumberFormat="1" applyFont="1" applyFill="1" applyBorder="1"/>
    <xf numFmtId="42" fontId="73" fillId="0" borderId="17" xfId="520" applyNumberFormat="1" applyFont="1" applyBorder="1"/>
    <xf numFmtId="42" fontId="73" fillId="0" borderId="0" xfId="520" applyNumberFormat="1" applyFont="1"/>
    <xf numFmtId="42" fontId="73" fillId="0" borderId="41" xfId="520" applyNumberFormat="1" applyFont="1" applyBorder="1"/>
    <xf numFmtId="42" fontId="73" fillId="0" borderId="0" xfId="520" applyNumberFormat="1" applyFont="1" applyBorder="1"/>
    <xf numFmtId="42" fontId="73" fillId="0" borderId="14" xfId="520" applyNumberFormat="1" applyFont="1" applyBorder="1"/>
    <xf numFmtId="42" fontId="73" fillId="0" borderId="16" xfId="520" applyNumberFormat="1" applyFont="1" applyBorder="1"/>
    <xf numFmtId="42" fontId="13" fillId="0" borderId="22" xfId="520" applyNumberFormat="1" applyFont="1" applyBorder="1"/>
    <xf numFmtId="42" fontId="13" fillId="0" borderId="27" xfId="520" applyNumberFormat="1" applyFont="1" applyBorder="1"/>
    <xf numFmtId="42" fontId="13" fillId="0" borderId="50" xfId="520" applyNumberFormat="1" applyFont="1" applyBorder="1"/>
    <xf numFmtId="42" fontId="13" fillId="0" borderId="50" xfId="520" applyNumberFormat="1" applyBorder="1"/>
    <xf numFmtId="42" fontId="13" fillId="0" borderId="17" xfId="520" applyNumberFormat="1" applyFont="1" applyBorder="1"/>
    <xf numFmtId="42" fontId="13" fillId="0" borderId="21" xfId="520" applyNumberFormat="1" applyFont="1" applyBorder="1"/>
    <xf numFmtId="42" fontId="13" fillId="0" borderId="14" xfId="520" applyNumberFormat="1" applyFont="1" applyBorder="1"/>
    <xf numFmtId="42" fontId="13" fillId="0" borderId="16" xfId="520" applyNumberFormat="1" applyFont="1" applyBorder="1"/>
    <xf numFmtId="42" fontId="13" fillId="0" borderId="16" xfId="520" applyNumberFormat="1" applyBorder="1"/>
    <xf numFmtId="42" fontId="13" fillId="49" borderId="21" xfId="520" applyNumberFormat="1" applyFont="1" applyFill="1" applyBorder="1"/>
    <xf numFmtId="42" fontId="13" fillId="49" borderId="14" xfId="520" applyNumberFormat="1" applyFont="1" applyFill="1" applyBorder="1"/>
    <xf numFmtId="42" fontId="73" fillId="49" borderId="19" xfId="520" applyNumberFormat="1" applyFont="1" applyFill="1" applyBorder="1"/>
    <xf numFmtId="42" fontId="73" fillId="0" borderId="22" xfId="520" applyNumberFormat="1" applyFont="1" applyBorder="1"/>
    <xf numFmtId="42" fontId="73" fillId="0" borderId="27" xfId="520" applyNumberFormat="1" applyFont="1" applyBorder="1"/>
    <xf numFmtId="42" fontId="73" fillId="45" borderId="0" xfId="520" applyNumberFormat="1" applyFont="1" applyFill="1"/>
    <xf numFmtId="42" fontId="73" fillId="0" borderId="50" xfId="520" applyNumberFormat="1" applyFont="1" applyBorder="1"/>
    <xf numFmtId="42" fontId="13" fillId="0" borderId="15" xfId="520" applyNumberFormat="1" applyBorder="1"/>
    <xf numFmtId="42" fontId="13" fillId="0" borderId="13" xfId="520" applyNumberFormat="1" applyBorder="1"/>
    <xf numFmtId="42" fontId="13" fillId="0" borderId="34" xfId="520" applyNumberFormat="1" applyBorder="1"/>
    <xf numFmtId="42" fontId="13" fillId="0" borderId="17" xfId="66" applyNumberFormat="1" applyBorder="1" applyAlignment="1">
      <alignment horizontal="right"/>
    </xf>
    <xf numFmtId="42" fontId="13" fillId="0" borderId="0" xfId="66" applyNumberFormat="1" applyBorder="1" applyAlignment="1">
      <alignment horizontal="right"/>
    </xf>
    <xf numFmtId="42" fontId="13" fillId="0" borderId="41" xfId="66" applyNumberFormat="1" applyBorder="1" applyAlignment="1">
      <alignment horizontal="right"/>
    </xf>
    <xf numFmtId="42" fontId="13" fillId="0" borderId="0" xfId="66" applyNumberFormat="1"/>
    <xf numFmtId="42" fontId="13" fillId="47" borderId="13" xfId="66" applyNumberFormat="1" applyFill="1" applyBorder="1" applyAlignment="1">
      <alignment horizontal="right"/>
    </xf>
    <xf numFmtId="42" fontId="13" fillId="0" borderId="13" xfId="66" applyNumberFormat="1" applyBorder="1" applyAlignment="1">
      <alignment horizontal="right"/>
    </xf>
    <xf numFmtId="42" fontId="13" fillId="0" borderId="21" xfId="66" applyNumberFormat="1" applyBorder="1" applyAlignment="1">
      <alignment horizontal="right"/>
    </xf>
    <xf numFmtId="42" fontId="13" fillId="0" borderId="14" xfId="66" applyNumberFormat="1" applyBorder="1" applyAlignment="1">
      <alignment horizontal="right"/>
    </xf>
    <xf numFmtId="42" fontId="13" fillId="0" borderId="16" xfId="66" applyNumberFormat="1" applyBorder="1" applyAlignment="1">
      <alignment horizontal="right"/>
    </xf>
    <xf numFmtId="42" fontId="13" fillId="0" borderId="21" xfId="66" applyNumberFormat="1" applyBorder="1"/>
    <xf numFmtId="42" fontId="13" fillId="0" borderId="14" xfId="66" applyNumberFormat="1" applyBorder="1"/>
    <xf numFmtId="42" fontId="13" fillId="0" borderId="18" xfId="66" applyNumberFormat="1" applyBorder="1"/>
    <xf numFmtId="42" fontId="13" fillId="47" borderId="11" xfId="66" applyNumberFormat="1" applyFill="1" applyBorder="1"/>
    <xf numFmtId="42" fontId="13" fillId="0" borderId="11" xfId="66" applyNumberFormat="1" applyBorder="1"/>
    <xf numFmtId="42" fontId="13" fillId="0" borderId="0" xfId="66" applyNumberFormat="1" applyProtection="1">
      <protection locked="0"/>
    </xf>
    <xf numFmtId="42" fontId="13" fillId="0" borderId="0" xfId="66" applyNumberFormat="1" applyAlignment="1">
      <alignment horizontal="right"/>
    </xf>
    <xf numFmtId="42" fontId="13" fillId="0" borderId="13" xfId="66" applyNumberFormat="1" applyBorder="1"/>
    <xf numFmtId="42" fontId="13" fillId="47" borderId="13" xfId="66" applyNumberFormat="1" applyFill="1" applyBorder="1"/>
    <xf numFmtId="42" fontId="13" fillId="0" borderId="20" xfId="66" applyNumberFormat="1" applyBorder="1" applyAlignment="1">
      <alignment horizontal="right"/>
    </xf>
    <xf numFmtId="42" fontId="13" fillId="0" borderId="18" xfId="66" applyNumberFormat="1" applyBorder="1" applyAlignment="1">
      <alignment horizontal="right"/>
    </xf>
    <xf numFmtId="42" fontId="13" fillId="0" borderId="41" xfId="66" applyNumberFormat="1" applyBorder="1"/>
    <xf numFmtId="42" fontId="13" fillId="0" borderId="22" xfId="66" applyNumberFormat="1" applyBorder="1" applyAlignment="1">
      <alignment horizontal="right"/>
    </xf>
    <xf numFmtId="42" fontId="13" fillId="0" borderId="27" xfId="66" applyNumberFormat="1" applyBorder="1" applyAlignment="1">
      <alignment horizontal="right"/>
    </xf>
    <xf numFmtId="42" fontId="13" fillId="0" borderId="50" xfId="66" applyNumberFormat="1" applyBorder="1" applyAlignment="1">
      <alignment horizontal="right"/>
    </xf>
    <xf numFmtId="42" fontId="13" fillId="0" borderId="14" xfId="66" applyNumberFormat="1" applyBorder="1" applyProtection="1">
      <protection locked="0"/>
    </xf>
    <xf numFmtId="42" fontId="13" fillId="0" borderId="16" xfId="66" applyNumberFormat="1" applyBorder="1"/>
    <xf numFmtId="42" fontId="13" fillId="0" borderId="19" xfId="66" applyNumberFormat="1" applyBorder="1"/>
    <xf numFmtId="42" fontId="13" fillId="0" borderId="20" xfId="66" applyNumberFormat="1" applyFill="1" applyBorder="1" applyAlignment="1">
      <alignment horizontal="right"/>
    </xf>
    <xf numFmtId="42" fontId="13" fillId="0" borderId="18" xfId="66" applyNumberFormat="1" applyFill="1" applyBorder="1" applyAlignment="1">
      <alignment horizontal="right"/>
    </xf>
    <xf numFmtId="42" fontId="13" fillId="0" borderId="19" xfId="66" applyNumberFormat="1" applyFill="1" applyBorder="1" applyAlignment="1">
      <alignment horizontal="right"/>
    </xf>
    <xf numFmtId="42" fontId="13" fillId="0" borderId="17" xfId="66" applyNumberFormat="1" applyBorder="1"/>
    <xf numFmtId="42" fontId="13" fillId="47" borderId="15" xfId="66" applyNumberFormat="1" applyFill="1" applyBorder="1"/>
    <xf numFmtId="42" fontId="13" fillId="47" borderId="13" xfId="66" applyNumberFormat="1" applyFill="1" applyBorder="1" applyProtection="1">
      <protection locked="0"/>
    </xf>
    <xf numFmtId="42" fontId="13" fillId="47" borderId="0" xfId="66" applyNumberFormat="1" applyFill="1"/>
    <xf numFmtId="42" fontId="13" fillId="0" borderId="13" xfId="66" applyNumberFormat="1" applyBorder="1" applyProtection="1">
      <protection locked="0"/>
    </xf>
    <xf numFmtId="42" fontId="13" fillId="0" borderId="34" xfId="66" applyNumberFormat="1" applyBorder="1" applyProtection="1">
      <protection locked="0"/>
    </xf>
    <xf numFmtId="42" fontId="13" fillId="0" borderId="23" xfId="66" applyNumberFormat="1" applyBorder="1" applyAlignment="1">
      <alignment horizontal="right"/>
    </xf>
    <xf numFmtId="42" fontId="13" fillId="47" borderId="33" xfId="66" applyNumberFormat="1" applyFill="1" applyBorder="1" applyAlignment="1">
      <alignment horizontal="right"/>
    </xf>
    <xf numFmtId="42" fontId="13" fillId="0" borderId="17" xfId="66" applyNumberFormat="1" applyBorder="1" applyAlignment="1" applyProtection="1">
      <alignment horizontal="center"/>
      <protection locked="0"/>
    </xf>
    <xf numFmtId="42" fontId="13"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4" fillId="47" borderId="11" xfId="66" applyFont="1" applyFill="1" applyBorder="1" applyAlignment="1">
      <alignment horizontal="center"/>
    </xf>
    <xf numFmtId="171" fontId="14" fillId="47" borderId="11" xfId="66" applyNumberFormat="1" applyFont="1" applyFill="1" applyBorder="1" applyAlignment="1">
      <alignment horizontal="center"/>
    </xf>
    <xf numFmtId="175" fontId="14" fillId="47" borderId="11" xfId="66" applyFont="1" applyFill="1" applyBorder="1" applyAlignment="1">
      <alignment horizontal="center" wrapText="1"/>
    </xf>
    <xf numFmtId="175" fontId="0" fillId="0" borderId="11" xfId="0" applyBorder="1"/>
    <xf numFmtId="1" fontId="0" fillId="47" borderId="11" xfId="66" quotePrefix="1" applyNumberFormat="1" applyFont="1" applyFill="1" applyBorder="1" applyAlignment="1" applyProtection="1">
      <alignment horizontal="center"/>
      <protection locked="0"/>
    </xf>
    <xf numFmtId="1" fontId="0" fillId="47" borderId="11" xfId="66" applyNumberFormat="1" applyFont="1" applyFill="1" applyBorder="1" applyAlignment="1" applyProtection="1">
      <alignment horizontal="center"/>
      <protection locked="0"/>
    </xf>
    <xf numFmtId="14" fontId="0" fillId="0" borderId="11" xfId="0" applyNumberFormat="1" applyBorder="1"/>
    <xf numFmtId="175" fontId="0" fillId="47" borderId="11" xfId="66" applyFont="1" applyFill="1" applyBorder="1" applyAlignment="1" applyProtection="1">
      <alignment horizontal="center"/>
      <protection locked="0"/>
    </xf>
    <xf numFmtId="2" fontId="0" fillId="47" borderId="11" xfId="66" applyNumberFormat="1" applyFont="1" applyFill="1" applyBorder="1" applyProtection="1">
      <protection locked="0"/>
    </xf>
    <xf numFmtId="16" fontId="0" fillId="0" borderId="11" xfId="0" applyNumberFormat="1" applyBorder="1" applyAlignment="1">
      <alignment horizontal="right"/>
    </xf>
    <xf numFmtId="2" fontId="0" fillId="0" borderId="11" xfId="782" applyNumberFormat="1" applyFont="1" applyBorder="1"/>
    <xf numFmtId="1" fontId="0" fillId="47" borderId="0" xfId="66" applyNumberFormat="1" applyFont="1" applyFill="1" applyAlignment="1" applyProtection="1">
      <alignment horizontal="center"/>
      <protection locked="0"/>
    </xf>
    <xf numFmtId="14" fontId="56" fillId="0" borderId="0" xfId="0" applyNumberFormat="1" applyFont="1" applyAlignment="1">
      <alignment horizontal="right"/>
    </xf>
    <xf numFmtId="2" fontId="0" fillId="47" borderId="0" xfId="66" applyNumberFormat="1" applyFont="1" applyFill="1" applyProtection="1">
      <protection locked="0"/>
    </xf>
    <xf numFmtId="175" fontId="56" fillId="0" borderId="0" xfId="0" applyFont="1" applyAlignment="1">
      <alignment horizontal="right"/>
    </xf>
    <xf numFmtId="175" fontId="0" fillId="47" borderId="0" xfId="66" applyFont="1" applyFill="1" applyAlignment="1" applyProtection="1">
      <alignment horizontal="left"/>
      <protection locked="0"/>
    </xf>
    <xf numFmtId="171" fontId="0" fillId="47" borderId="0" xfId="66" applyNumberFormat="1" applyFont="1" applyFill="1" applyAlignment="1" applyProtection="1">
      <alignment horizontal="center"/>
      <protection locked="0"/>
    </xf>
    <xf numFmtId="0" fontId="0" fillId="0" borderId="0" xfId="520" applyFont="1" applyAlignment="1" applyProtection="1">
      <alignment horizontal="left"/>
      <protection locked="0"/>
    </xf>
    <xf numFmtId="175" fontId="14" fillId="47" borderId="0" xfId="66" applyFont="1" applyFill="1" applyAlignment="1" applyProtection="1">
      <alignment horizontal="left"/>
      <protection locked="0"/>
    </xf>
    <xf numFmtId="175" fontId="68" fillId="47" borderId="0" xfId="66" applyFont="1" applyFill="1" applyAlignment="1" applyProtection="1">
      <alignment horizontal="left"/>
      <protection locked="0"/>
    </xf>
    <xf numFmtId="175" fontId="68" fillId="47" borderId="0" xfId="66" quotePrefix="1" applyFont="1" applyFill="1" applyAlignment="1" applyProtection="1">
      <alignment horizontal="left"/>
      <protection locked="0"/>
    </xf>
    <xf numFmtId="42" fontId="0" fillId="0" borderId="15" xfId="520" applyNumberFormat="1" applyFont="1" applyBorder="1"/>
    <xf numFmtId="0" fontId="3" fillId="0" borderId="0" xfId="597"/>
    <xf numFmtId="43" fontId="0" fillId="50" borderId="0" xfId="46" applyFont="1" applyFill="1" applyAlignment="1">
      <alignment horizontal="left"/>
    </xf>
    <xf numFmtId="175" fontId="61" fillId="47" borderId="0" xfId="0" quotePrefix="1" applyFont="1" applyFill="1" applyAlignment="1">
      <alignment horizontal="left" vertical="top" wrapText="1"/>
    </xf>
    <xf numFmtId="175" fontId="14" fillId="0" borderId="70" xfId="0" applyFont="1" applyBorder="1" applyAlignment="1">
      <alignment horizontal="center"/>
    </xf>
    <xf numFmtId="175" fontId="14" fillId="0" borderId="71" xfId="0" applyFont="1" applyBorder="1" applyAlignment="1">
      <alignment horizontal="center"/>
    </xf>
    <xf numFmtId="175" fontId="14" fillId="0" borderId="72"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lignment horizontal="center" wrapText="1"/>
    </xf>
    <xf numFmtId="175" fontId="54" fillId="47" borderId="18" xfId="66" applyFont="1" applyFill="1" applyBorder="1" applyAlignment="1">
      <alignment horizontal="center" wrapText="1"/>
    </xf>
    <xf numFmtId="175" fontId="54" fillId="47" borderId="19" xfId="66" applyFont="1" applyFill="1" applyBorder="1" applyAlignment="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8515625" defaultRowHeight="12.75"/>
  <cols>
    <col min="1" max="1" width="9.7109375" style="10" customWidth="1"/>
    <col min="2" max="2" width="28.5703125" style="10" customWidth="1"/>
    <col min="3" max="3" width="16.5703125" style="10" customWidth="1"/>
    <col min="4" max="4" width="17.42578125" style="10" customWidth="1"/>
    <col min="5" max="5" width="15" style="10" customWidth="1"/>
    <col min="6" max="6" width="23.28515625" style="10" bestFit="1" customWidth="1"/>
    <col min="7" max="7" width="13.28515625" style="10" bestFit="1" customWidth="1"/>
    <col min="8" max="16384" width="9.28515625" style="10"/>
  </cols>
  <sheetData>
    <row r="1" spans="1:8" s="431" customFormat="1" ht="39" thickBot="1">
      <c r="A1" s="432" t="s">
        <v>0</v>
      </c>
      <c r="B1" s="432" t="s">
        <v>1</v>
      </c>
      <c r="C1" s="432" t="s">
        <v>2</v>
      </c>
      <c r="D1" s="432" t="s">
        <v>3</v>
      </c>
      <c r="E1" s="433" t="s">
        <v>4</v>
      </c>
      <c r="F1" s="434" t="s">
        <v>5</v>
      </c>
      <c r="G1" s="435" t="s">
        <v>6</v>
      </c>
      <c r="H1" s="436" t="s">
        <v>7</v>
      </c>
    </row>
    <row r="2" spans="1:8" ht="16.5" thickTop="1" thickBot="1">
      <c r="A2" s="441">
        <v>0</v>
      </c>
      <c r="B2" s="85" t="s">
        <v>8</v>
      </c>
      <c r="C2" s="442"/>
      <c r="D2" s="432" t="s">
        <v>9</v>
      </c>
      <c r="E2" s="437">
        <v>1</v>
      </c>
      <c r="F2" s="438" t="s">
        <v>10</v>
      </c>
      <c r="G2" s="428">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440">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6.5" thickTop="1" thickBot="1">
      <c r="A3" s="429">
        <v>1</v>
      </c>
      <c r="B3" s="426" t="s">
        <v>11</v>
      </c>
      <c r="C3" s="442"/>
      <c r="D3" s="427" t="s">
        <v>9</v>
      </c>
      <c r="E3" s="437">
        <v>1</v>
      </c>
      <c r="F3" s="438" t="s">
        <v>10</v>
      </c>
      <c r="G3"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6.5" thickTop="1" thickBot="1">
      <c r="A4" s="429">
        <v>2</v>
      </c>
      <c r="B4" s="426" t="s">
        <v>12</v>
      </c>
      <c r="C4" s="442" t="s">
        <v>13</v>
      </c>
      <c r="D4" s="427" t="s">
        <v>9</v>
      </c>
      <c r="E4" s="437">
        <v>1</v>
      </c>
      <c r="F4" s="438" t="s">
        <v>10</v>
      </c>
      <c r="G4" s="42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44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6.5" thickTop="1" thickBot="1">
      <c r="A5" s="429">
        <v>3</v>
      </c>
      <c r="B5" s="426" t="s">
        <v>14</v>
      </c>
      <c r="C5" s="442"/>
      <c r="D5" s="427" t="s">
        <v>9</v>
      </c>
      <c r="E5" s="437">
        <v>1</v>
      </c>
      <c r="F5" s="438" t="s">
        <v>10</v>
      </c>
      <c r="G5" s="42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44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6.5" thickTop="1" thickBot="1">
      <c r="A6" s="429">
        <v>4</v>
      </c>
      <c r="B6" s="426" t="s">
        <v>15</v>
      </c>
      <c r="C6" s="442" t="s">
        <v>16</v>
      </c>
      <c r="D6" s="427" t="s">
        <v>9</v>
      </c>
      <c r="E6" s="437">
        <v>1</v>
      </c>
      <c r="F6" s="438" t="s">
        <v>10</v>
      </c>
      <c r="G6" s="42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44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6.5" thickTop="1" thickBot="1">
      <c r="A7" s="429">
        <v>5</v>
      </c>
      <c r="B7" s="427" t="s">
        <v>17</v>
      </c>
      <c r="C7" s="442" t="s">
        <v>18</v>
      </c>
      <c r="D7" s="427" t="s">
        <v>19</v>
      </c>
      <c r="E7" s="437">
        <v>1</v>
      </c>
      <c r="F7" s="438" t="s">
        <v>10</v>
      </c>
      <c r="G7"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6.5" thickTop="1" thickBot="1">
      <c r="A8" s="429">
        <v>6</v>
      </c>
      <c r="B8" s="427" t="s">
        <v>20</v>
      </c>
      <c r="C8" s="442" t="s">
        <v>18</v>
      </c>
      <c r="D8" s="427" t="s">
        <v>9</v>
      </c>
      <c r="E8" s="437">
        <v>1</v>
      </c>
      <c r="F8" s="438" t="s">
        <v>10</v>
      </c>
      <c r="G8"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6.5" thickTop="1" thickBot="1">
      <c r="A9" s="429">
        <v>7</v>
      </c>
      <c r="B9" s="427" t="s">
        <v>21</v>
      </c>
      <c r="C9" s="442" t="s">
        <v>22</v>
      </c>
      <c r="D9" s="427" t="s">
        <v>19</v>
      </c>
      <c r="E9" s="437">
        <v>1</v>
      </c>
      <c r="F9" s="438" t="s">
        <v>10</v>
      </c>
      <c r="G9"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6.5" thickTop="1" thickBot="1">
      <c r="A10" s="429">
        <v>8</v>
      </c>
      <c r="B10" s="427" t="s">
        <v>23</v>
      </c>
      <c r="C10" s="442" t="s">
        <v>22</v>
      </c>
      <c r="D10" s="427" t="s">
        <v>9</v>
      </c>
      <c r="E10" s="437">
        <v>1</v>
      </c>
      <c r="F10" s="438" t="s">
        <v>10</v>
      </c>
      <c r="G10"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6.5" thickTop="1" thickBot="1">
      <c r="A11" s="429">
        <v>9</v>
      </c>
      <c r="B11" s="427" t="s">
        <v>24</v>
      </c>
      <c r="C11" s="442"/>
      <c r="D11" s="427" t="s">
        <v>9</v>
      </c>
      <c r="E11" s="437">
        <v>1</v>
      </c>
      <c r="F11" s="438" t="s">
        <v>10</v>
      </c>
      <c r="G11"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6.5" thickTop="1" thickBot="1">
      <c r="A12" s="429">
        <v>10</v>
      </c>
      <c r="B12" s="427" t="s">
        <v>25</v>
      </c>
      <c r="C12" s="442"/>
      <c r="D12" s="427" t="s">
        <v>9</v>
      </c>
      <c r="E12" s="437">
        <v>1</v>
      </c>
      <c r="F12" s="438" t="s">
        <v>10</v>
      </c>
      <c r="G12"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429">
        <v>11</v>
      </c>
      <c r="B13" s="427" t="s">
        <v>26</v>
      </c>
      <c r="C13" s="442"/>
      <c r="D13" s="427" t="s">
        <v>9</v>
      </c>
      <c r="E13" s="437">
        <v>1</v>
      </c>
      <c r="F13" s="438" t="s">
        <v>10</v>
      </c>
      <c r="G13"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4.25" thickTop="1" thickBot="1">
      <c r="A14" s="429">
        <v>12</v>
      </c>
      <c r="B14" s="426" t="s">
        <v>27</v>
      </c>
      <c r="C14" s="426"/>
      <c r="D14" s="427" t="s">
        <v>19</v>
      </c>
      <c r="E14" s="437">
        <v>1</v>
      </c>
      <c r="F14" s="438" t="s">
        <v>10</v>
      </c>
      <c r="G14" s="42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44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6.5" thickTop="1" thickBot="1">
      <c r="A15" s="441">
        <v>0</v>
      </c>
      <c r="B15" s="85" t="s">
        <v>8</v>
      </c>
      <c r="C15" s="442"/>
      <c r="D15" s="432" t="s">
        <v>9</v>
      </c>
      <c r="E15" s="437">
        <v>2</v>
      </c>
      <c r="F15" s="438" t="s">
        <v>28</v>
      </c>
      <c r="G15" s="428">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440">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6.5" thickTop="1" thickBot="1">
      <c r="A16" s="429">
        <v>1</v>
      </c>
      <c r="B16" s="427" t="s">
        <v>11</v>
      </c>
      <c r="C16" s="442"/>
      <c r="D16" s="427" t="s">
        <v>9</v>
      </c>
      <c r="E16" s="430">
        <v>2</v>
      </c>
      <c r="F16" s="439" t="s">
        <v>28</v>
      </c>
      <c r="G16"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6.5" thickTop="1" thickBot="1">
      <c r="A17" s="429">
        <v>2</v>
      </c>
      <c r="B17" s="427" t="s">
        <v>12</v>
      </c>
      <c r="C17" s="442" t="s">
        <v>13</v>
      </c>
      <c r="D17" s="427" t="s">
        <v>9</v>
      </c>
      <c r="E17" s="430">
        <v>2</v>
      </c>
      <c r="F17" s="439" t="s">
        <v>28</v>
      </c>
      <c r="G17" s="42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44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6.5" thickTop="1" thickBot="1">
      <c r="A18" s="429">
        <v>3</v>
      </c>
      <c r="B18" s="427" t="s">
        <v>14</v>
      </c>
      <c r="C18" s="442"/>
      <c r="D18" s="427" t="s">
        <v>9</v>
      </c>
      <c r="E18" s="430">
        <v>2</v>
      </c>
      <c r="F18" s="439" t="s">
        <v>28</v>
      </c>
      <c r="G18" s="42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44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6.5" thickTop="1" thickBot="1">
      <c r="A19" s="429">
        <v>4</v>
      </c>
      <c r="B19" s="427" t="s">
        <v>15</v>
      </c>
      <c r="C19" s="442" t="s">
        <v>16</v>
      </c>
      <c r="D19" s="427" t="s">
        <v>9</v>
      </c>
      <c r="E19" s="430">
        <v>2</v>
      </c>
      <c r="F19" s="439" t="s">
        <v>28</v>
      </c>
      <c r="G19" s="42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44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6.5" thickTop="1" thickBot="1">
      <c r="A20" s="429">
        <v>5</v>
      </c>
      <c r="B20" s="427" t="s">
        <v>17</v>
      </c>
      <c r="C20" s="442" t="s">
        <v>18</v>
      </c>
      <c r="D20" s="427" t="s">
        <v>19</v>
      </c>
      <c r="E20" s="430">
        <v>2</v>
      </c>
      <c r="F20" s="439" t="s">
        <v>28</v>
      </c>
      <c r="G20"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6.5" thickTop="1" thickBot="1">
      <c r="A21" s="429">
        <v>6</v>
      </c>
      <c r="B21" s="427" t="s">
        <v>20</v>
      </c>
      <c r="C21" s="442" t="s">
        <v>18</v>
      </c>
      <c r="D21" s="427" t="s">
        <v>9</v>
      </c>
      <c r="E21" s="430">
        <v>2</v>
      </c>
      <c r="F21" s="439" t="s">
        <v>28</v>
      </c>
      <c r="G21"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6.5" thickTop="1" thickBot="1">
      <c r="A22" s="429">
        <v>7</v>
      </c>
      <c r="B22" s="427" t="s">
        <v>21</v>
      </c>
      <c r="C22" s="442" t="s">
        <v>22</v>
      </c>
      <c r="D22" s="427" t="s">
        <v>19</v>
      </c>
      <c r="E22" s="430">
        <v>2</v>
      </c>
      <c r="F22" s="439" t="s">
        <v>28</v>
      </c>
      <c r="G22"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6.5" thickTop="1" thickBot="1">
      <c r="A23" s="429">
        <v>8</v>
      </c>
      <c r="B23" s="427" t="s">
        <v>23</v>
      </c>
      <c r="C23" s="442" t="s">
        <v>22</v>
      </c>
      <c r="D23" s="427" t="s">
        <v>9</v>
      </c>
      <c r="E23" s="430">
        <v>2</v>
      </c>
      <c r="F23" s="439" t="s">
        <v>28</v>
      </c>
      <c r="G23"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6.5" thickTop="1" thickBot="1">
      <c r="A24" s="429">
        <v>9</v>
      </c>
      <c r="B24" s="427" t="s">
        <v>24</v>
      </c>
      <c r="C24" s="442"/>
      <c r="D24" s="427" t="s">
        <v>9</v>
      </c>
      <c r="E24" s="430">
        <v>2</v>
      </c>
      <c r="F24" s="439" t="s">
        <v>28</v>
      </c>
      <c r="G24"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6.5" thickTop="1" thickBot="1">
      <c r="A25" s="429">
        <v>10</v>
      </c>
      <c r="B25" s="427" t="s">
        <v>25</v>
      </c>
      <c r="C25" s="442"/>
      <c r="D25" s="427" t="s">
        <v>9</v>
      </c>
      <c r="E25" s="430">
        <v>2</v>
      </c>
      <c r="F25" s="439" t="s">
        <v>28</v>
      </c>
      <c r="G25"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6.5" thickTop="1" thickBot="1">
      <c r="A26" s="429">
        <v>11</v>
      </c>
      <c r="B26" s="427" t="s">
        <v>26</v>
      </c>
      <c r="C26" s="442"/>
      <c r="D26" s="427" t="s">
        <v>9</v>
      </c>
      <c r="E26" s="430">
        <v>2</v>
      </c>
      <c r="F26" s="439" t="s">
        <v>28</v>
      </c>
      <c r="G26"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4.25" thickTop="1" thickBot="1">
      <c r="A27" s="429">
        <v>12</v>
      </c>
      <c r="B27" s="427" t="s">
        <v>27</v>
      </c>
      <c r="C27" s="426"/>
      <c r="D27" s="427" t="s">
        <v>19</v>
      </c>
      <c r="E27" s="430">
        <v>2</v>
      </c>
      <c r="F27" s="439" t="s">
        <v>28</v>
      </c>
      <c r="G27" s="42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44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6.5" thickTop="1" thickBot="1">
      <c r="A28" s="441">
        <v>0</v>
      </c>
      <c r="B28" s="85" t="s">
        <v>8</v>
      </c>
      <c r="C28" s="442"/>
      <c r="D28" s="432" t="s">
        <v>9</v>
      </c>
      <c r="E28" s="437">
        <v>3</v>
      </c>
      <c r="F28" s="438" t="s">
        <v>29</v>
      </c>
      <c r="G28" s="428">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4</v>
      </c>
      <c r="H28" s="440">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0.72393133544921873</v>
      </c>
    </row>
    <row r="29" spans="1:8" ht="16.5" thickTop="1" thickBot="1">
      <c r="A29" s="429">
        <v>1</v>
      </c>
      <c r="B29" s="427" t="s">
        <v>11</v>
      </c>
      <c r="C29" s="442"/>
      <c r="D29" s="427" t="s">
        <v>9</v>
      </c>
      <c r="E29" s="430">
        <v>3</v>
      </c>
      <c r="F29" s="439" t="s">
        <v>29</v>
      </c>
      <c r="G29"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6.5" thickTop="1" thickBot="1">
      <c r="A30" s="429">
        <v>2</v>
      </c>
      <c r="B30" s="427" t="s">
        <v>12</v>
      </c>
      <c r="C30" s="442" t="s">
        <v>13</v>
      </c>
      <c r="D30" s="427" t="s">
        <v>9</v>
      </c>
      <c r="E30" s="430">
        <v>3</v>
      </c>
      <c r="F30" s="439" t="s">
        <v>29</v>
      </c>
      <c r="G30"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44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6.5" thickTop="1" thickBot="1">
      <c r="A31" s="429">
        <v>3</v>
      </c>
      <c r="B31" s="427" t="s">
        <v>14</v>
      </c>
      <c r="C31" s="442"/>
      <c r="D31" s="427" t="s">
        <v>9</v>
      </c>
      <c r="E31" s="430">
        <v>3</v>
      </c>
      <c r="F31" s="439" t="s">
        <v>29</v>
      </c>
      <c r="G31"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44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6.5" thickTop="1" thickBot="1">
      <c r="A32" s="429">
        <v>4</v>
      </c>
      <c r="B32" s="427" t="s">
        <v>15</v>
      </c>
      <c r="C32" s="442" t="s">
        <v>16</v>
      </c>
      <c r="D32" s="427" t="s">
        <v>9</v>
      </c>
      <c r="E32" s="430">
        <v>3</v>
      </c>
      <c r="F32" s="439" t="s">
        <v>29</v>
      </c>
      <c r="G32"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44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6.5" thickTop="1" thickBot="1">
      <c r="A33" s="429">
        <v>5</v>
      </c>
      <c r="B33" s="427" t="s">
        <v>17</v>
      </c>
      <c r="C33" s="442" t="s">
        <v>18</v>
      </c>
      <c r="D33" s="427" t="s">
        <v>19</v>
      </c>
      <c r="E33" s="430">
        <v>3</v>
      </c>
      <c r="F33" s="439" t="s">
        <v>29</v>
      </c>
      <c r="G33"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6.5" thickTop="1" thickBot="1">
      <c r="A34" s="429">
        <v>6</v>
      </c>
      <c r="B34" s="427" t="s">
        <v>20</v>
      </c>
      <c r="C34" s="442" t="s">
        <v>18</v>
      </c>
      <c r="D34" s="427" t="s">
        <v>9</v>
      </c>
      <c r="E34" s="430">
        <v>3</v>
      </c>
      <c r="F34" s="439" t="s">
        <v>29</v>
      </c>
      <c r="G34"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6.5" thickTop="1" thickBot="1">
      <c r="A35" s="429">
        <v>7</v>
      </c>
      <c r="B35" s="427" t="s">
        <v>21</v>
      </c>
      <c r="C35" s="442" t="s">
        <v>22</v>
      </c>
      <c r="D35" s="427" t="s">
        <v>19</v>
      </c>
      <c r="E35" s="430">
        <v>3</v>
      </c>
      <c r="F35" s="439" t="s">
        <v>29</v>
      </c>
      <c r="G35"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6.5" thickTop="1" thickBot="1">
      <c r="A36" s="429">
        <v>8</v>
      </c>
      <c r="B36" s="427" t="s">
        <v>23</v>
      </c>
      <c r="C36" s="442" t="s">
        <v>22</v>
      </c>
      <c r="D36" s="427" t="s">
        <v>9</v>
      </c>
      <c r="E36" s="430">
        <v>3</v>
      </c>
      <c r="F36" s="439" t="s">
        <v>29</v>
      </c>
      <c r="G36"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6.5" thickTop="1" thickBot="1">
      <c r="A37" s="429">
        <v>9</v>
      </c>
      <c r="B37" s="427" t="s">
        <v>24</v>
      </c>
      <c r="C37" s="442"/>
      <c r="D37" s="427" t="s">
        <v>9</v>
      </c>
      <c r="E37" s="430">
        <v>3</v>
      </c>
      <c r="F37" s="439" t="s">
        <v>29</v>
      </c>
      <c r="G37"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6.5" thickTop="1" thickBot="1">
      <c r="A38" s="429">
        <v>10</v>
      </c>
      <c r="B38" s="427" t="s">
        <v>25</v>
      </c>
      <c r="C38" s="442"/>
      <c r="D38" s="427" t="s">
        <v>9</v>
      </c>
      <c r="E38" s="430">
        <v>3</v>
      </c>
      <c r="F38" s="439" t="s">
        <v>29</v>
      </c>
      <c r="G38"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6.5" thickTop="1" thickBot="1">
      <c r="A39" s="429">
        <v>11</v>
      </c>
      <c r="B39" s="427" t="s">
        <v>26</v>
      </c>
      <c r="C39" s="442"/>
      <c r="D39" s="427" t="s">
        <v>9</v>
      </c>
      <c r="E39" s="430">
        <v>3</v>
      </c>
      <c r="F39" s="439" t="s">
        <v>29</v>
      </c>
      <c r="G39"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4.25" thickTop="1" thickBot="1">
      <c r="A40" s="429">
        <v>12</v>
      </c>
      <c r="B40" s="427" t="s">
        <v>27</v>
      </c>
      <c r="C40" s="426"/>
      <c r="D40" s="427" t="s">
        <v>19</v>
      </c>
      <c r="E40" s="430">
        <v>3</v>
      </c>
      <c r="F40" s="439" t="s">
        <v>29</v>
      </c>
      <c r="G40"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44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6.5" thickTop="1" thickBot="1">
      <c r="A41" s="441">
        <v>0</v>
      </c>
      <c r="B41" s="85" t="s">
        <v>8</v>
      </c>
      <c r="C41" s="442"/>
      <c r="D41" s="432" t="s">
        <v>9</v>
      </c>
      <c r="E41" s="437">
        <v>4</v>
      </c>
      <c r="F41" s="438" t="s">
        <v>30</v>
      </c>
      <c r="G41" s="428">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41" s="440">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0.64798333740234371</v>
      </c>
    </row>
    <row r="42" spans="1:8" ht="16.5" thickTop="1" thickBot="1">
      <c r="A42" s="429">
        <v>1</v>
      </c>
      <c r="B42" s="427" t="s">
        <v>11</v>
      </c>
      <c r="C42" s="442"/>
      <c r="D42" s="427" t="s">
        <v>9</v>
      </c>
      <c r="E42" s="430">
        <v>4</v>
      </c>
      <c r="F42" s="439" t="s">
        <v>30</v>
      </c>
      <c r="G42"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14248</v>
      </c>
      <c r="H42"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1.9754780759999999</v>
      </c>
    </row>
    <row r="43" spans="1:8" ht="16.5" thickTop="1" thickBot="1">
      <c r="A43" s="429">
        <v>2</v>
      </c>
      <c r="B43" s="427" t="s">
        <v>12</v>
      </c>
      <c r="C43" s="442" t="s">
        <v>13</v>
      </c>
      <c r="D43" s="427" t="s">
        <v>9</v>
      </c>
      <c r="E43" s="430">
        <v>4</v>
      </c>
      <c r="F43" s="439" t="s">
        <v>30</v>
      </c>
      <c r="G43"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44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6.5" thickTop="1" thickBot="1">
      <c r="A44" s="429">
        <v>3</v>
      </c>
      <c r="B44" s="427" t="s">
        <v>14</v>
      </c>
      <c r="C44" s="442"/>
      <c r="D44" s="427" t="s">
        <v>9</v>
      </c>
      <c r="E44" s="430">
        <v>4</v>
      </c>
      <c r="F44" s="439" t="s">
        <v>30</v>
      </c>
      <c r="G44"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44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6.5" thickTop="1" thickBot="1">
      <c r="A45" s="429">
        <v>4</v>
      </c>
      <c r="B45" s="427" t="s">
        <v>15</v>
      </c>
      <c r="C45" s="442" t="s">
        <v>16</v>
      </c>
      <c r="D45" s="427" t="s">
        <v>9</v>
      </c>
      <c r="E45" s="430">
        <v>4</v>
      </c>
      <c r="F45" s="439" t="s">
        <v>30</v>
      </c>
      <c r="G45"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44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6.5" thickTop="1" thickBot="1">
      <c r="A46" s="429">
        <v>5</v>
      </c>
      <c r="B46" s="427" t="s">
        <v>17</v>
      </c>
      <c r="C46" s="442" t="s">
        <v>18</v>
      </c>
      <c r="D46" s="427" t="s">
        <v>19</v>
      </c>
      <c r="E46" s="430">
        <v>4</v>
      </c>
      <c r="F46" s="439" t="s">
        <v>30</v>
      </c>
      <c r="G46"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15350</v>
      </c>
      <c r="H46"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1.2928511034697294</v>
      </c>
    </row>
    <row r="47" spans="1:8" ht="16.5" thickTop="1" thickBot="1">
      <c r="A47" s="429">
        <v>6</v>
      </c>
      <c r="B47" s="427" t="s">
        <v>20</v>
      </c>
      <c r="C47" s="442" t="s">
        <v>18</v>
      </c>
      <c r="D47" s="427" t="s">
        <v>9</v>
      </c>
      <c r="E47" s="430">
        <v>4</v>
      </c>
      <c r="F47" s="439" t="s">
        <v>30</v>
      </c>
      <c r="G47"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960</v>
      </c>
      <c r="H47"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0.18351822853088379</v>
      </c>
    </row>
    <row r="48" spans="1:8" ht="16.5" thickTop="1" thickBot="1">
      <c r="A48" s="429">
        <v>7</v>
      </c>
      <c r="B48" s="427" t="s">
        <v>21</v>
      </c>
      <c r="C48" s="442" t="s">
        <v>22</v>
      </c>
      <c r="D48" s="427" t="s">
        <v>19</v>
      </c>
      <c r="E48" s="430">
        <v>4</v>
      </c>
      <c r="F48" s="439" t="s">
        <v>30</v>
      </c>
      <c r="G48"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7855</v>
      </c>
      <c r="H48"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6.5" thickTop="1" thickBot="1">
      <c r="A49" s="429">
        <v>8</v>
      </c>
      <c r="B49" s="427" t="s">
        <v>23</v>
      </c>
      <c r="C49" s="442" t="s">
        <v>22</v>
      </c>
      <c r="D49" s="427" t="s">
        <v>9</v>
      </c>
      <c r="E49" s="430">
        <v>4</v>
      </c>
      <c r="F49" s="439" t="s">
        <v>30</v>
      </c>
      <c r="G49"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3184</v>
      </c>
      <c r="H49"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0.17300868959999999</v>
      </c>
    </row>
    <row r="50" spans="1:8" ht="16.5" thickTop="1" thickBot="1">
      <c r="A50" s="429">
        <v>9</v>
      </c>
      <c r="B50" s="427" t="s">
        <v>24</v>
      </c>
      <c r="C50" s="442"/>
      <c r="D50" s="427" t="s">
        <v>9</v>
      </c>
      <c r="E50" s="430">
        <v>4</v>
      </c>
      <c r="F50" s="439" t="s">
        <v>30</v>
      </c>
      <c r="G50"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6.5" thickTop="1" thickBot="1">
      <c r="A51" s="429">
        <v>10</v>
      </c>
      <c r="B51" s="427" t="s">
        <v>25</v>
      </c>
      <c r="C51" s="442"/>
      <c r="D51" s="427" t="s">
        <v>9</v>
      </c>
      <c r="E51" s="430">
        <v>4</v>
      </c>
      <c r="F51" s="439" t="s">
        <v>30</v>
      </c>
      <c r="G51"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6.5" thickTop="1" thickBot="1">
      <c r="A52" s="429">
        <v>11</v>
      </c>
      <c r="B52" s="427" t="s">
        <v>26</v>
      </c>
      <c r="C52" s="442"/>
      <c r="D52" s="427" t="s">
        <v>9</v>
      </c>
      <c r="E52" s="430">
        <v>4</v>
      </c>
      <c r="F52" s="439" t="s">
        <v>30</v>
      </c>
      <c r="G52"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112866</v>
      </c>
      <c r="H52"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1.5787632344663143</v>
      </c>
    </row>
    <row r="53" spans="1:8" ht="14.25" thickTop="1" thickBot="1">
      <c r="A53" s="429">
        <v>12</v>
      </c>
      <c r="B53" s="427" t="s">
        <v>27</v>
      </c>
      <c r="C53" s="426"/>
      <c r="D53" s="427" t="s">
        <v>19</v>
      </c>
      <c r="E53" s="430">
        <v>4</v>
      </c>
      <c r="F53" s="439" t="s">
        <v>30</v>
      </c>
      <c r="G53"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16037</v>
      </c>
      <c r="H53" s="44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0.19338366127759218</v>
      </c>
    </row>
    <row r="54" spans="1:8" ht="16.5" thickTop="1" thickBot="1">
      <c r="A54" s="441">
        <v>0</v>
      </c>
      <c r="B54" s="85" t="s">
        <v>8</v>
      </c>
      <c r="C54" s="442"/>
      <c r="D54" s="432" t="s">
        <v>9</v>
      </c>
      <c r="E54" s="437">
        <v>5</v>
      </c>
      <c r="F54" s="438" t="s">
        <v>31</v>
      </c>
      <c r="G54" s="428">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54" s="440">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0.62296343994140624</v>
      </c>
    </row>
    <row r="55" spans="1:8" ht="16.5" thickTop="1" thickBot="1">
      <c r="A55" s="429">
        <v>1</v>
      </c>
      <c r="B55" s="427" t="s">
        <v>11</v>
      </c>
      <c r="C55" s="442"/>
      <c r="D55" s="427" t="s">
        <v>9</v>
      </c>
      <c r="E55" s="430">
        <v>5</v>
      </c>
      <c r="F55" s="439" t="s">
        <v>31</v>
      </c>
      <c r="G55"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14178</v>
      </c>
      <c r="H55"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1.9550086733999998</v>
      </c>
    </row>
    <row r="56" spans="1:8" ht="16.5" thickTop="1" thickBot="1">
      <c r="A56" s="429">
        <v>2</v>
      </c>
      <c r="B56" s="427" t="s">
        <v>12</v>
      </c>
      <c r="C56" s="442" t="s">
        <v>13</v>
      </c>
      <c r="D56" s="427" t="s">
        <v>9</v>
      </c>
      <c r="E56" s="430">
        <v>5</v>
      </c>
      <c r="F56" s="439" t="s">
        <v>31</v>
      </c>
      <c r="G56"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44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6.5" thickTop="1" thickBot="1">
      <c r="A57" s="429">
        <v>3</v>
      </c>
      <c r="B57" s="427" t="s">
        <v>14</v>
      </c>
      <c r="C57" s="442"/>
      <c r="D57" s="427" t="s">
        <v>9</v>
      </c>
      <c r="E57" s="430">
        <v>5</v>
      </c>
      <c r="F57" s="439" t="s">
        <v>31</v>
      </c>
      <c r="G57"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44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6.5" thickTop="1" thickBot="1">
      <c r="A58" s="429">
        <v>4</v>
      </c>
      <c r="B58" s="427" t="s">
        <v>15</v>
      </c>
      <c r="C58" s="442" t="s">
        <v>16</v>
      </c>
      <c r="D58" s="427" t="s">
        <v>9</v>
      </c>
      <c r="E58" s="430">
        <v>5</v>
      </c>
      <c r="F58" s="439" t="s">
        <v>31</v>
      </c>
      <c r="G58"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44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6.5" thickTop="1" thickBot="1">
      <c r="A59" s="429">
        <v>5</v>
      </c>
      <c r="B59" s="427" t="s">
        <v>17</v>
      </c>
      <c r="C59" s="442" t="s">
        <v>18</v>
      </c>
      <c r="D59" s="427" t="s">
        <v>19</v>
      </c>
      <c r="E59" s="430">
        <v>5</v>
      </c>
      <c r="F59" s="439" t="s">
        <v>31</v>
      </c>
      <c r="G59"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15648</v>
      </c>
      <c r="H59"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2.1029281368255615</v>
      </c>
    </row>
    <row r="60" spans="1:8" ht="16.5" thickTop="1" thickBot="1">
      <c r="A60" s="429">
        <v>6</v>
      </c>
      <c r="B60" s="427" t="s">
        <v>20</v>
      </c>
      <c r="C60" s="442" t="s">
        <v>18</v>
      </c>
      <c r="D60" s="427" t="s">
        <v>9</v>
      </c>
      <c r="E60" s="430">
        <v>5</v>
      </c>
      <c r="F60" s="439" t="s">
        <v>31</v>
      </c>
      <c r="G60"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972</v>
      </c>
      <c r="H60"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0.26925267112255097</v>
      </c>
    </row>
    <row r="61" spans="1:8" ht="16.5" thickTop="1" thickBot="1">
      <c r="A61" s="429">
        <v>7</v>
      </c>
      <c r="B61" s="427" t="s">
        <v>21</v>
      </c>
      <c r="C61" s="442" t="s">
        <v>22</v>
      </c>
      <c r="D61" s="427" t="s">
        <v>19</v>
      </c>
      <c r="E61" s="430">
        <v>5</v>
      </c>
      <c r="F61" s="439" t="s">
        <v>31</v>
      </c>
      <c r="G61"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8179</v>
      </c>
      <c r="H61"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0.2733356368</v>
      </c>
    </row>
    <row r="62" spans="1:8" ht="16.5" thickTop="1" thickBot="1">
      <c r="A62" s="429">
        <v>8</v>
      </c>
      <c r="B62" s="427" t="s">
        <v>23</v>
      </c>
      <c r="C62" s="442" t="s">
        <v>22</v>
      </c>
      <c r="D62" s="427" t="s">
        <v>9</v>
      </c>
      <c r="E62" s="430">
        <v>5</v>
      </c>
      <c r="F62" s="439" t="s">
        <v>31</v>
      </c>
      <c r="G62"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3039</v>
      </c>
      <c r="H62"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0.23546111219999999</v>
      </c>
    </row>
    <row r="63" spans="1:8" ht="16.5" thickTop="1" thickBot="1">
      <c r="A63" s="429">
        <v>9</v>
      </c>
      <c r="B63" s="427" t="s">
        <v>24</v>
      </c>
      <c r="C63" s="442"/>
      <c r="D63" s="427" t="s">
        <v>9</v>
      </c>
      <c r="E63" s="430">
        <v>5</v>
      </c>
      <c r="F63" s="439" t="s">
        <v>31</v>
      </c>
      <c r="G63"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v>
      </c>
      <c r="H63"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0.16829999999999998</v>
      </c>
    </row>
    <row r="64" spans="1:8" ht="16.5" thickTop="1" thickBot="1">
      <c r="A64" s="429">
        <v>10</v>
      </c>
      <c r="B64" s="427" t="s">
        <v>25</v>
      </c>
      <c r="C64" s="442"/>
      <c r="D64" s="427" t="s">
        <v>9</v>
      </c>
      <c r="E64" s="430">
        <v>5</v>
      </c>
      <c r="F64" s="439" t="s">
        <v>31</v>
      </c>
      <c r="G64"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170</v>
      </c>
      <c r="H64"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2.8929656335198746</v>
      </c>
    </row>
    <row r="65" spans="1:8" ht="16.5" thickTop="1" thickBot="1">
      <c r="A65" s="429">
        <v>11</v>
      </c>
      <c r="B65" s="427" t="s">
        <v>26</v>
      </c>
      <c r="C65" s="442"/>
      <c r="D65" s="427" t="s">
        <v>9</v>
      </c>
      <c r="E65" s="430">
        <v>5</v>
      </c>
      <c r="F65" s="439" t="s">
        <v>31</v>
      </c>
      <c r="G65"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112745</v>
      </c>
      <c r="H65"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1.6670737564750016</v>
      </c>
    </row>
    <row r="66" spans="1:8" ht="14.25" thickTop="1" thickBot="1">
      <c r="A66" s="429">
        <v>12</v>
      </c>
      <c r="B66" s="427" t="s">
        <v>27</v>
      </c>
      <c r="C66" s="426"/>
      <c r="D66" s="427" t="s">
        <v>19</v>
      </c>
      <c r="E66" s="430">
        <v>5</v>
      </c>
      <c r="F66" s="439" t="s">
        <v>31</v>
      </c>
      <c r="G66"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16135</v>
      </c>
      <c r="H66" s="44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0.31780898060649632</v>
      </c>
    </row>
    <row r="67" spans="1:8" ht="16.5" thickTop="1" thickBot="1">
      <c r="A67" s="441">
        <v>0</v>
      </c>
      <c r="B67" s="85" t="s">
        <v>8</v>
      </c>
      <c r="C67" s="442"/>
      <c r="D67" s="432" t="s">
        <v>9</v>
      </c>
      <c r="E67" s="437">
        <v>6</v>
      </c>
      <c r="F67" s="438" t="s">
        <v>32</v>
      </c>
      <c r="G67" s="428">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4</v>
      </c>
      <c r="H67" s="440">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0.76944903564453127</v>
      </c>
    </row>
    <row r="68" spans="1:8" ht="16.5" thickTop="1" thickBot="1">
      <c r="A68" s="429">
        <v>1</v>
      </c>
      <c r="B68" s="427" t="s">
        <v>11</v>
      </c>
      <c r="C68" s="442"/>
      <c r="D68" s="427" t="s">
        <v>9</v>
      </c>
      <c r="E68" s="430">
        <v>6</v>
      </c>
      <c r="F68" s="439" t="s">
        <v>32</v>
      </c>
      <c r="G68"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14095</v>
      </c>
      <c r="H68"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1.9500192885000003</v>
      </c>
    </row>
    <row r="69" spans="1:8" ht="16.5" thickTop="1" thickBot="1">
      <c r="A69" s="429">
        <v>2</v>
      </c>
      <c r="B69" s="427" t="s">
        <v>12</v>
      </c>
      <c r="C69" s="442" t="s">
        <v>13</v>
      </c>
      <c r="D69" s="427" t="s">
        <v>9</v>
      </c>
      <c r="E69" s="430">
        <v>6</v>
      </c>
      <c r="F69" s="439" t="s">
        <v>32</v>
      </c>
      <c r="G69"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44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6.5" thickTop="1" thickBot="1">
      <c r="A70" s="429">
        <v>3</v>
      </c>
      <c r="B70" s="427" t="s">
        <v>14</v>
      </c>
      <c r="C70" s="442"/>
      <c r="D70" s="427" t="s">
        <v>9</v>
      </c>
      <c r="E70" s="430">
        <v>6</v>
      </c>
      <c r="F70" s="439" t="s">
        <v>32</v>
      </c>
      <c r="G70"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44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6.5" thickTop="1" thickBot="1">
      <c r="A71" s="429">
        <v>4</v>
      </c>
      <c r="B71" s="427" t="s">
        <v>15</v>
      </c>
      <c r="C71" s="442" t="s">
        <v>16</v>
      </c>
      <c r="D71" s="427" t="s">
        <v>9</v>
      </c>
      <c r="E71" s="430">
        <v>6</v>
      </c>
      <c r="F71" s="439" t="s">
        <v>32</v>
      </c>
      <c r="G71"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44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6.5" thickTop="1" thickBot="1">
      <c r="A72" s="429">
        <v>5</v>
      </c>
      <c r="B72" s="427" t="s">
        <v>17</v>
      </c>
      <c r="C72" s="442" t="s">
        <v>18</v>
      </c>
      <c r="D72" s="427" t="s">
        <v>19</v>
      </c>
      <c r="E72" s="430">
        <v>6</v>
      </c>
      <c r="F72" s="439" t="s">
        <v>32</v>
      </c>
      <c r="G72"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14944</v>
      </c>
      <c r="H72"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1.7535013246536255</v>
      </c>
    </row>
    <row r="73" spans="1:8" ht="16.5" thickTop="1" thickBot="1">
      <c r="A73" s="429">
        <v>6</v>
      </c>
      <c r="B73" s="427" t="s">
        <v>20</v>
      </c>
      <c r="C73" s="442" t="s">
        <v>18</v>
      </c>
      <c r="D73" s="427" t="s">
        <v>9</v>
      </c>
      <c r="E73" s="430">
        <v>6</v>
      </c>
      <c r="F73" s="439" t="s">
        <v>32</v>
      </c>
      <c r="G73"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980</v>
      </c>
      <c r="H73"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0.25252178430557248</v>
      </c>
    </row>
    <row r="74" spans="1:8" ht="16.5" thickTop="1" thickBot="1">
      <c r="A74" s="429">
        <v>7</v>
      </c>
      <c r="B74" s="427" t="s">
        <v>21</v>
      </c>
      <c r="C74" s="442" t="s">
        <v>22</v>
      </c>
      <c r="D74" s="427" t="s">
        <v>19</v>
      </c>
      <c r="E74" s="430">
        <v>6</v>
      </c>
      <c r="F74" s="439" t="s">
        <v>32</v>
      </c>
      <c r="G74"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7938</v>
      </c>
      <c r="H74"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2.34337698E-2</v>
      </c>
    </row>
    <row r="75" spans="1:8" ht="16.5" thickTop="1" thickBot="1">
      <c r="A75" s="429">
        <v>8</v>
      </c>
      <c r="B75" s="427" t="s">
        <v>23</v>
      </c>
      <c r="C75" s="442" t="s">
        <v>22</v>
      </c>
      <c r="D75" s="427" t="s">
        <v>9</v>
      </c>
      <c r="E75" s="430">
        <v>6</v>
      </c>
      <c r="F75" s="439" t="s">
        <v>32</v>
      </c>
      <c r="G75"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3218</v>
      </c>
      <c r="H75"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0.1919092916</v>
      </c>
    </row>
    <row r="76" spans="1:8" ht="16.5" thickTop="1" thickBot="1">
      <c r="A76" s="429">
        <v>9</v>
      </c>
      <c r="B76" s="427" t="s">
        <v>24</v>
      </c>
      <c r="C76" s="442"/>
      <c r="D76" s="427" t="s">
        <v>9</v>
      </c>
      <c r="E76" s="430">
        <v>6</v>
      </c>
      <c r="F76" s="439" t="s">
        <v>32</v>
      </c>
      <c r="G76"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v>
      </c>
      <c r="H76"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0.20861366189624328</v>
      </c>
    </row>
    <row r="77" spans="1:8" ht="16.5" thickTop="1" thickBot="1">
      <c r="A77" s="429">
        <v>10</v>
      </c>
      <c r="B77" s="427" t="s">
        <v>25</v>
      </c>
      <c r="C77" s="442"/>
      <c r="D77" s="427" t="s">
        <v>9</v>
      </c>
      <c r="E77" s="430">
        <v>6</v>
      </c>
      <c r="F77" s="439" t="s">
        <v>32</v>
      </c>
      <c r="G77"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142</v>
      </c>
      <c r="H77"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2.4164771762342481</v>
      </c>
    </row>
    <row r="78" spans="1:8" ht="16.5" thickTop="1" thickBot="1">
      <c r="A78" s="429">
        <v>11</v>
      </c>
      <c r="B78" s="427" t="s">
        <v>26</v>
      </c>
      <c r="C78" s="442"/>
      <c r="D78" s="427" t="s">
        <v>9</v>
      </c>
      <c r="E78" s="430">
        <v>6</v>
      </c>
      <c r="F78" s="439" t="s">
        <v>32</v>
      </c>
      <c r="G78"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112680</v>
      </c>
      <c r="H78"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1.7073372121900321</v>
      </c>
    </row>
    <row r="79" spans="1:8" ht="14.25" thickTop="1" thickBot="1">
      <c r="A79" s="429">
        <v>12</v>
      </c>
      <c r="B79" s="427" t="s">
        <v>27</v>
      </c>
      <c r="C79" s="426"/>
      <c r="D79" s="427" t="s">
        <v>19</v>
      </c>
      <c r="E79" s="430">
        <v>6</v>
      </c>
      <c r="F79" s="439" t="s">
        <v>32</v>
      </c>
      <c r="G79"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16151</v>
      </c>
      <c r="H79" s="44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2.6979194424897432</v>
      </c>
    </row>
    <row r="80" spans="1:8" ht="16.5" thickTop="1" thickBot="1">
      <c r="A80" s="441">
        <v>0</v>
      </c>
      <c r="B80" s="85" t="s">
        <v>8</v>
      </c>
      <c r="C80" s="442"/>
      <c r="D80" s="432" t="s">
        <v>9</v>
      </c>
      <c r="E80" s="437">
        <v>7</v>
      </c>
      <c r="F80" s="438" t="s">
        <v>33</v>
      </c>
      <c r="G80" s="428">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80" s="440">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0.71939520263671874</v>
      </c>
    </row>
    <row r="81" spans="1:8" ht="16.5" thickTop="1" thickBot="1">
      <c r="A81" s="429">
        <v>1</v>
      </c>
      <c r="B81" s="427" t="s">
        <v>11</v>
      </c>
      <c r="C81" s="442"/>
      <c r="D81" s="427" t="s">
        <v>9</v>
      </c>
      <c r="E81" s="430">
        <v>7</v>
      </c>
      <c r="F81" s="439" t="s">
        <v>33</v>
      </c>
      <c r="G81"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14095</v>
      </c>
      <c r="H81" s="440">
        <f>VLOOKUP(BUReporting[[#This Row],[Program]],'Program MW '!$A$35:$S$46,3,FALSE)</f>
        <v>3.8359866684999999</v>
      </c>
    </row>
    <row r="82" spans="1:8" ht="16.5" thickTop="1" thickBot="1">
      <c r="A82" s="429">
        <v>2</v>
      </c>
      <c r="B82" s="427" t="s">
        <v>12</v>
      </c>
      <c r="C82" s="442" t="s">
        <v>13</v>
      </c>
      <c r="D82" s="427" t="s">
        <v>9</v>
      </c>
      <c r="E82" s="430">
        <v>7</v>
      </c>
      <c r="F82" s="439" t="s">
        <v>33</v>
      </c>
      <c r="G82" s="42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440" t="e">
        <f>VLOOKUP(BUReporting[[#This Row],[Program]],'Program MW '!$A$35:$S$46,3,FALSE)</f>
        <v>#N/A</v>
      </c>
    </row>
    <row r="83" spans="1:8" ht="16.5" thickTop="1" thickBot="1">
      <c r="A83" s="429">
        <v>3</v>
      </c>
      <c r="B83" s="427" t="s">
        <v>14</v>
      </c>
      <c r="C83" s="442"/>
      <c r="D83" s="427" t="s">
        <v>9</v>
      </c>
      <c r="E83" s="430">
        <v>7</v>
      </c>
      <c r="F83" s="439" t="s">
        <v>33</v>
      </c>
      <c r="G83" s="42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440" t="e">
        <f>VLOOKUP(BUReporting[[#This Row],[Program]],'Program MW '!$A$35:$S$46,3,FALSE)</f>
        <v>#N/A</v>
      </c>
    </row>
    <row r="84" spans="1:8" ht="16.5" thickTop="1" thickBot="1">
      <c r="A84" s="429">
        <v>4</v>
      </c>
      <c r="B84" s="427" t="s">
        <v>15</v>
      </c>
      <c r="C84" s="442" t="s">
        <v>16</v>
      </c>
      <c r="D84" s="427" t="s">
        <v>9</v>
      </c>
      <c r="E84" s="430">
        <v>7</v>
      </c>
      <c r="F84" s="439" t="s">
        <v>33</v>
      </c>
      <c r="G84" s="42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440" t="e">
        <f>VLOOKUP(BUReporting[[#This Row],[Program]],'Program MW '!$A$35:$S$46,3,FALSE)</f>
        <v>#N/A</v>
      </c>
    </row>
    <row r="85" spans="1:8" ht="16.5" thickTop="1" thickBot="1">
      <c r="A85" s="429">
        <v>5</v>
      </c>
      <c r="B85" s="427" t="s">
        <v>17</v>
      </c>
      <c r="C85" s="442" t="s">
        <v>18</v>
      </c>
      <c r="D85" s="427" t="s">
        <v>19</v>
      </c>
      <c r="E85" s="430">
        <v>7</v>
      </c>
      <c r="F85" s="439" t="s">
        <v>33</v>
      </c>
      <c r="G85"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15107</v>
      </c>
      <c r="H85" s="440">
        <f>VLOOKUP(BUReporting[[#This Row],[Program]],'Program MW '!$A$35:$S$46,3,FALSE)</f>
        <v>3.4192109391242265</v>
      </c>
    </row>
    <row r="86" spans="1:8" ht="16.5" thickTop="1" thickBot="1">
      <c r="A86" s="429">
        <v>6</v>
      </c>
      <c r="B86" s="427" t="s">
        <v>20</v>
      </c>
      <c r="C86" s="442" t="s">
        <v>18</v>
      </c>
      <c r="D86" s="427" t="s">
        <v>9</v>
      </c>
      <c r="E86" s="430">
        <v>7</v>
      </c>
      <c r="F86" s="439" t="s">
        <v>33</v>
      </c>
      <c r="G86"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986</v>
      </c>
      <c r="H86" s="440">
        <f>VLOOKUP(BUReporting[[#This Row],[Program]],'Program MW '!$A$35:$S$46,3,FALSE)</f>
        <v>0.43775688320398332</v>
      </c>
    </row>
    <row r="87" spans="1:8" ht="16.5" thickTop="1" thickBot="1">
      <c r="A87" s="429">
        <v>7</v>
      </c>
      <c r="B87" s="427" t="s">
        <v>21</v>
      </c>
      <c r="C87" s="442" t="s">
        <v>22</v>
      </c>
      <c r="D87" s="427" t="s">
        <v>19</v>
      </c>
      <c r="E87" s="430">
        <v>7</v>
      </c>
      <c r="F87" s="439" t="s">
        <v>33</v>
      </c>
      <c r="G87"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9456</v>
      </c>
      <c r="H87" s="440">
        <f>VLOOKUP(BUReporting[[#This Row],[Program]],'Program MW '!$A$35:$S$46,3,FALSE)</f>
        <v>1.4435983487999999</v>
      </c>
    </row>
    <row r="88" spans="1:8" ht="16.5" thickTop="1" thickBot="1">
      <c r="A88" s="429">
        <v>8</v>
      </c>
      <c r="B88" s="427" t="s">
        <v>23</v>
      </c>
      <c r="C88" s="442" t="s">
        <v>22</v>
      </c>
      <c r="D88" s="427" t="s">
        <v>9</v>
      </c>
      <c r="E88" s="430">
        <v>7</v>
      </c>
      <c r="F88" s="439" t="s">
        <v>33</v>
      </c>
      <c r="G88"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3217</v>
      </c>
      <c r="H88" s="440">
        <f>VLOOKUP(BUReporting[[#This Row],[Program]],'Program MW '!$A$35:$S$46,3,FALSE)</f>
        <v>0.39307236200000006</v>
      </c>
    </row>
    <row r="89" spans="1:8" ht="16.5" thickTop="1" thickBot="1">
      <c r="A89" s="429">
        <v>9</v>
      </c>
      <c r="B89" s="427" t="s">
        <v>24</v>
      </c>
      <c r="C89" s="442"/>
      <c r="D89" s="427" t="s">
        <v>9</v>
      </c>
      <c r="E89" s="430">
        <v>7</v>
      </c>
      <c r="F89" s="439" t="s">
        <v>33</v>
      </c>
      <c r="G89"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24</v>
      </c>
      <c r="H89" s="440">
        <f>VLOOKUP(BUReporting[[#This Row],[Program]],'Program MW '!$A$35:$S$46,3,FALSE)</f>
        <v>0.44888562719141323</v>
      </c>
    </row>
    <row r="90" spans="1:8" ht="16.5" thickTop="1" thickBot="1">
      <c r="A90" s="429">
        <v>10</v>
      </c>
      <c r="B90" s="427" t="s">
        <v>25</v>
      </c>
      <c r="C90" s="442"/>
      <c r="D90" s="427" t="s">
        <v>9</v>
      </c>
      <c r="E90" s="430">
        <v>7</v>
      </c>
      <c r="F90" s="439" t="s">
        <v>33</v>
      </c>
      <c r="G90"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175</v>
      </c>
      <c r="H90" s="440">
        <f>VLOOKUP(BUReporting[[#This Row],[Program]],'Program MW '!$A$35:$S$46,3,FALSE)</f>
        <v>2.9780528580351651</v>
      </c>
    </row>
    <row r="91" spans="1:8" ht="16.5" thickTop="1" thickBot="1">
      <c r="A91" s="429">
        <v>11</v>
      </c>
      <c r="B91" s="427" t="s">
        <v>26</v>
      </c>
      <c r="C91" s="442"/>
      <c r="D91" s="427" t="s">
        <v>9</v>
      </c>
      <c r="E91" s="430">
        <v>7</v>
      </c>
      <c r="F91" s="439" t="s">
        <v>33</v>
      </c>
      <c r="G91"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112437</v>
      </c>
      <c r="H91" s="440">
        <f>VLOOKUP(BUReporting[[#This Row],[Program]],'Program MW '!$A$35:$S$46,3,FALSE)</f>
        <v>1.9057328109797089</v>
      </c>
    </row>
    <row r="92" spans="1:8" ht="14.25" thickTop="1" thickBot="1">
      <c r="A92" s="429">
        <v>12</v>
      </c>
      <c r="B92" s="427" t="s">
        <v>27</v>
      </c>
      <c r="C92" s="426"/>
      <c r="D92" s="427" t="s">
        <v>19</v>
      </c>
      <c r="E92" s="430">
        <v>7</v>
      </c>
      <c r="F92" s="439" t="s">
        <v>33</v>
      </c>
      <c r="G92" s="42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16192</v>
      </c>
      <c r="H92" s="440">
        <f>VLOOKUP(BUReporting[[#This Row],[Program]],'Program MW '!$A$35:$S$46,3,FALSE)</f>
        <v>3.1104105689525605</v>
      </c>
    </row>
    <row r="93" spans="1:8" ht="16.5" thickTop="1" thickBot="1">
      <c r="A93" s="441">
        <v>0</v>
      </c>
      <c r="B93" s="85" t="s">
        <v>8</v>
      </c>
      <c r="C93" s="442"/>
      <c r="D93" s="432" t="s">
        <v>9</v>
      </c>
      <c r="E93" s="437">
        <v>8</v>
      </c>
      <c r="F93" s="438" t="s">
        <v>34</v>
      </c>
      <c r="G93" s="428">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93" s="440">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0.71393469238281249</v>
      </c>
    </row>
    <row r="94" spans="1:8" ht="16.5" thickTop="1" thickBot="1">
      <c r="A94" s="429">
        <v>1</v>
      </c>
      <c r="B94" s="427" t="s">
        <v>11</v>
      </c>
      <c r="C94" s="442"/>
      <c r="D94" s="427" t="s">
        <v>9</v>
      </c>
      <c r="E94" s="430">
        <v>8</v>
      </c>
      <c r="F94" s="439" t="s">
        <v>34</v>
      </c>
      <c r="G94"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14837</v>
      </c>
      <c r="H94" s="440">
        <f>VLOOKUP(BUReporting[[#This Row],[Program]],'Program MW '!$A$35:$S$46,6,FALSE)</f>
        <v>2.2824810526999997</v>
      </c>
    </row>
    <row r="95" spans="1:8" ht="16.5" thickTop="1" thickBot="1">
      <c r="A95" s="429">
        <v>2</v>
      </c>
      <c r="B95" s="427" t="s">
        <v>12</v>
      </c>
      <c r="C95" s="442" t="s">
        <v>13</v>
      </c>
      <c r="D95" s="427" t="s">
        <v>9</v>
      </c>
      <c r="E95" s="430">
        <v>8</v>
      </c>
      <c r="F95" s="439" t="s">
        <v>34</v>
      </c>
      <c r="G95" s="42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440" t="e">
        <f>VLOOKUP(BUReporting[[#This Row],[Program]],'Program MW '!$A$35:$S$46,6,FALSE)</f>
        <v>#N/A</v>
      </c>
    </row>
    <row r="96" spans="1:8" ht="16.5" thickTop="1" thickBot="1">
      <c r="A96" s="429">
        <v>3</v>
      </c>
      <c r="B96" s="427" t="s">
        <v>14</v>
      </c>
      <c r="C96" s="442"/>
      <c r="D96" s="427" t="s">
        <v>9</v>
      </c>
      <c r="E96" s="430">
        <v>8</v>
      </c>
      <c r="F96" s="439" t="s">
        <v>34</v>
      </c>
      <c r="G96" s="42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440" t="e">
        <f>VLOOKUP(BUReporting[[#This Row],[Program]],'Program MW '!$A$35:$S$46,6,FALSE)</f>
        <v>#N/A</v>
      </c>
    </row>
    <row r="97" spans="1:8" ht="16.5" thickTop="1" thickBot="1">
      <c r="A97" s="429">
        <v>4</v>
      </c>
      <c r="B97" s="427" t="s">
        <v>15</v>
      </c>
      <c r="C97" s="442" t="s">
        <v>16</v>
      </c>
      <c r="D97" s="427" t="s">
        <v>9</v>
      </c>
      <c r="E97" s="430">
        <v>8</v>
      </c>
      <c r="F97" s="439" t="s">
        <v>34</v>
      </c>
      <c r="G97" s="42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440" t="e">
        <f>VLOOKUP(BUReporting[[#This Row],[Program]],'Program MW '!$A$35:$S$46,6,FALSE)</f>
        <v>#N/A</v>
      </c>
    </row>
    <row r="98" spans="1:8" ht="16.5" thickTop="1" thickBot="1">
      <c r="A98" s="429">
        <v>5</v>
      </c>
      <c r="B98" s="427" t="s">
        <v>17</v>
      </c>
      <c r="C98" s="442" t="s">
        <v>18</v>
      </c>
      <c r="D98" s="427" t="s">
        <v>19</v>
      </c>
      <c r="E98" s="430">
        <v>8</v>
      </c>
      <c r="F98" s="439" t="s">
        <v>34</v>
      </c>
      <c r="G98"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15310</v>
      </c>
      <c r="H98" s="440">
        <f>VLOOKUP(BUReporting[[#This Row],[Program]],'Program MW '!$A$35:$S$46,6,FALSE)</f>
        <v>4.6823426511883728</v>
      </c>
    </row>
    <row r="99" spans="1:8" ht="16.5" thickTop="1" thickBot="1">
      <c r="A99" s="429">
        <v>6</v>
      </c>
      <c r="B99" s="427" t="s">
        <v>20</v>
      </c>
      <c r="C99" s="442" t="s">
        <v>18</v>
      </c>
      <c r="D99" s="427" t="s">
        <v>9</v>
      </c>
      <c r="E99" s="430">
        <v>8</v>
      </c>
      <c r="F99" s="439" t="s">
        <v>34</v>
      </c>
      <c r="G99"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1041</v>
      </c>
      <c r="H99" s="440">
        <f>VLOOKUP(BUReporting[[#This Row],[Program]],'Program MW '!$A$35:$S$46,6,FALSE)</f>
        <v>0.57844579267501828</v>
      </c>
    </row>
    <row r="100" spans="1:8" ht="16.5" thickTop="1" thickBot="1">
      <c r="A100" s="429">
        <v>7</v>
      </c>
      <c r="B100" s="427" t="s">
        <v>21</v>
      </c>
      <c r="C100" s="442" t="s">
        <v>22</v>
      </c>
      <c r="D100" s="427" t="s">
        <v>19</v>
      </c>
      <c r="E100" s="430">
        <v>8</v>
      </c>
      <c r="F100" s="439" t="s">
        <v>34</v>
      </c>
      <c r="G100"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9356</v>
      </c>
      <c r="H100" s="440">
        <f>VLOOKUP(BUReporting[[#This Row],[Program]],'Program MW '!$A$35:$S$46,6,FALSE)</f>
        <v>2.1663836712000002</v>
      </c>
    </row>
    <row r="101" spans="1:8" ht="16.5" thickTop="1" thickBot="1">
      <c r="A101" s="429">
        <v>8</v>
      </c>
      <c r="B101" s="427" t="s">
        <v>23</v>
      </c>
      <c r="C101" s="442" t="s">
        <v>22</v>
      </c>
      <c r="D101" s="427" t="s">
        <v>9</v>
      </c>
      <c r="E101" s="430">
        <v>8</v>
      </c>
      <c r="F101" s="439" t="s">
        <v>34</v>
      </c>
      <c r="G101"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3198</v>
      </c>
      <c r="H101" s="440">
        <f>VLOOKUP(BUReporting[[#This Row],[Program]],'Program MW '!$A$35:$S$46,6,FALSE)</f>
        <v>0.47751928380000003</v>
      </c>
    </row>
    <row r="102" spans="1:8" ht="16.5" thickTop="1" thickBot="1">
      <c r="A102" s="429">
        <v>9</v>
      </c>
      <c r="B102" s="427" t="s">
        <v>24</v>
      </c>
      <c r="C102" s="442"/>
      <c r="D102" s="427" t="s">
        <v>9</v>
      </c>
      <c r="E102" s="430">
        <v>8</v>
      </c>
      <c r="F102" s="439" t="s">
        <v>34</v>
      </c>
      <c r="G102"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26</v>
      </c>
      <c r="H102" s="440">
        <f>VLOOKUP(BUReporting[[#This Row],[Program]],'Program MW '!$A$35:$S$46,6,FALSE)</f>
        <v>0.48629276279069766</v>
      </c>
    </row>
    <row r="103" spans="1:8" ht="16.5" thickTop="1" thickBot="1">
      <c r="A103" s="429">
        <v>10</v>
      </c>
      <c r="B103" s="427" t="s">
        <v>25</v>
      </c>
      <c r="C103" s="442"/>
      <c r="D103" s="427" t="s">
        <v>9</v>
      </c>
      <c r="E103" s="430">
        <v>8</v>
      </c>
      <c r="F103" s="439" t="s">
        <v>34</v>
      </c>
      <c r="G103"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175</v>
      </c>
      <c r="H103" s="440">
        <f>VLOOKUP(BUReporting[[#This Row],[Program]],'Program MW '!$A$35:$S$46,6,FALSE)</f>
        <v>2.9780528580351651</v>
      </c>
    </row>
    <row r="104" spans="1:8" ht="16.5" thickTop="1" thickBot="1">
      <c r="A104" s="429">
        <v>11</v>
      </c>
      <c r="B104" s="427" t="s">
        <v>26</v>
      </c>
      <c r="C104" s="442"/>
      <c r="D104" s="427" t="s">
        <v>9</v>
      </c>
      <c r="E104" s="430">
        <v>8</v>
      </c>
      <c r="F104" s="439" t="s">
        <v>34</v>
      </c>
      <c r="G104"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112368</v>
      </c>
      <c r="H104" s="440">
        <f>VLOOKUP(BUReporting[[#This Row],[Program]],'Program MW '!$A$35:$S$46,6,FALSE)</f>
        <v>1.9959247588813303</v>
      </c>
    </row>
    <row r="105" spans="1:8" ht="14.25" thickTop="1" thickBot="1">
      <c r="A105" s="429">
        <v>12</v>
      </c>
      <c r="B105" s="427" t="s">
        <v>27</v>
      </c>
      <c r="C105" s="426"/>
      <c r="D105" s="427" t="s">
        <v>19</v>
      </c>
      <c r="E105" s="430">
        <v>8</v>
      </c>
      <c r="F105" s="439" t="s">
        <v>34</v>
      </c>
      <c r="G105" s="42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16302</v>
      </c>
      <c r="H105" s="440">
        <f>VLOOKUP(BUReporting[[#This Row],[Program]],'Program MW '!$A$35:$S$46,6,FALSE)</f>
        <v>3.330096468642354</v>
      </c>
    </row>
    <row r="106" spans="1:8" ht="16.5" thickTop="1" thickBot="1">
      <c r="A106" s="441">
        <v>0</v>
      </c>
      <c r="B106" s="85" t="s">
        <v>8</v>
      </c>
      <c r="C106" s="442"/>
      <c r="D106" s="432" t="s">
        <v>9</v>
      </c>
      <c r="E106" s="437">
        <v>9</v>
      </c>
      <c r="F106" s="438" t="s">
        <v>35</v>
      </c>
      <c r="G106" s="428">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4</v>
      </c>
      <c r="H106" s="440">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0.80517370605468752</v>
      </c>
    </row>
    <row r="107" spans="1:8" ht="16.5" thickTop="1" thickBot="1">
      <c r="A107" s="429">
        <v>1</v>
      </c>
      <c r="B107" s="427" t="s">
        <v>11</v>
      </c>
      <c r="C107" s="442"/>
      <c r="D107" s="427" t="s">
        <v>9</v>
      </c>
      <c r="E107" s="430">
        <v>9</v>
      </c>
      <c r="F107" s="439" t="s">
        <v>35</v>
      </c>
      <c r="G107"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14592</v>
      </c>
      <c r="H107" s="440">
        <f>VLOOKUP(BUReporting[[#This Row],[Program]],'Program MW '!$A$35:$S$46,9,FALSE)</f>
        <v>5.2552533504000003</v>
      </c>
    </row>
    <row r="108" spans="1:8" ht="16.5" thickTop="1" thickBot="1">
      <c r="A108" s="429">
        <v>2</v>
      </c>
      <c r="B108" s="427" t="s">
        <v>12</v>
      </c>
      <c r="C108" s="442" t="s">
        <v>13</v>
      </c>
      <c r="D108" s="427" t="s">
        <v>9</v>
      </c>
      <c r="E108" s="430">
        <v>9</v>
      </c>
      <c r="F108" s="439" t="s">
        <v>35</v>
      </c>
      <c r="G108"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440" t="e">
        <f>VLOOKUP(BUReporting[[#This Row],[Program]],'Program MW '!$A$35:$S$46,9,FALSE)</f>
        <v>#N/A</v>
      </c>
    </row>
    <row r="109" spans="1:8" ht="16.5" thickTop="1" thickBot="1">
      <c r="A109" s="429">
        <v>3</v>
      </c>
      <c r="B109" s="427" t="s">
        <v>14</v>
      </c>
      <c r="C109" s="442"/>
      <c r="D109" s="427" t="s">
        <v>9</v>
      </c>
      <c r="E109" s="430">
        <v>9</v>
      </c>
      <c r="F109" s="439" t="s">
        <v>35</v>
      </c>
      <c r="G109"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440" t="e">
        <f>VLOOKUP(BUReporting[[#This Row],[Program]],'Program MW '!$A$35:$S$46,9,FALSE)</f>
        <v>#N/A</v>
      </c>
    </row>
    <row r="110" spans="1:8" ht="16.5" thickTop="1" thickBot="1">
      <c r="A110" s="429">
        <v>4</v>
      </c>
      <c r="B110" s="427" t="s">
        <v>15</v>
      </c>
      <c r="C110" s="442" t="s">
        <v>16</v>
      </c>
      <c r="D110" s="427" t="s">
        <v>9</v>
      </c>
      <c r="E110" s="430">
        <v>9</v>
      </c>
      <c r="F110" s="439" t="s">
        <v>35</v>
      </c>
      <c r="G110" s="42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440" t="e">
        <f>VLOOKUP(BUReporting[[#This Row],[Program]],'Program MW '!$A$35:$S$46,9,FALSE)</f>
        <v>#N/A</v>
      </c>
    </row>
    <row r="111" spans="1:8" ht="16.5" thickTop="1" thickBot="1">
      <c r="A111" s="429">
        <v>5</v>
      </c>
      <c r="B111" s="427" t="s">
        <v>17</v>
      </c>
      <c r="C111" s="442" t="s">
        <v>18</v>
      </c>
      <c r="D111" s="427" t="s">
        <v>19</v>
      </c>
      <c r="E111" s="430">
        <v>9</v>
      </c>
      <c r="F111" s="439" t="s">
        <v>35</v>
      </c>
      <c r="G111"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15535</v>
      </c>
      <c r="H111" s="440">
        <f>VLOOKUP(BUReporting[[#This Row],[Program]],'Program MW '!$A$35:$S$46,9,FALSE)</f>
        <v>5.8196271060407163</v>
      </c>
    </row>
    <row r="112" spans="1:8" ht="16.5" thickTop="1" thickBot="1">
      <c r="A112" s="429">
        <v>6</v>
      </c>
      <c r="B112" s="427" t="s">
        <v>20</v>
      </c>
      <c r="C112" s="442" t="s">
        <v>18</v>
      </c>
      <c r="D112" s="427" t="s">
        <v>9</v>
      </c>
      <c r="E112" s="430">
        <v>9</v>
      </c>
      <c r="F112" s="439" t="s">
        <v>35</v>
      </c>
      <c r="G112"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1042</v>
      </c>
      <c r="H112" s="440">
        <f>VLOOKUP(BUReporting[[#This Row],[Program]],'Program MW '!$A$35:$S$46,9,FALSE)</f>
        <v>0.65577575075626382</v>
      </c>
    </row>
    <row r="113" spans="1:8" ht="16.5" thickTop="1" thickBot="1">
      <c r="A113" s="429">
        <v>7</v>
      </c>
      <c r="B113" s="427" t="s">
        <v>21</v>
      </c>
      <c r="C113" s="442" t="s">
        <v>22</v>
      </c>
      <c r="D113" s="427" t="s">
        <v>19</v>
      </c>
      <c r="E113" s="430">
        <v>9</v>
      </c>
      <c r="F113" s="439" t="s">
        <v>35</v>
      </c>
      <c r="G113"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9223</v>
      </c>
      <c r="H113" s="440">
        <f>VLOOKUP(BUReporting[[#This Row],[Program]],'Program MW '!$A$35:$S$46,9,FALSE)</f>
        <v>2.6149446189000001</v>
      </c>
    </row>
    <row r="114" spans="1:8" ht="16.5" thickTop="1" thickBot="1">
      <c r="A114" s="429">
        <v>8</v>
      </c>
      <c r="B114" s="427" t="s">
        <v>23</v>
      </c>
      <c r="C114" s="442" t="s">
        <v>22</v>
      </c>
      <c r="D114" s="427" t="s">
        <v>9</v>
      </c>
      <c r="E114" s="430">
        <v>9</v>
      </c>
      <c r="F114" s="439" t="s">
        <v>35</v>
      </c>
      <c r="G114"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3171</v>
      </c>
      <c r="H114" s="440">
        <f>VLOOKUP(BUReporting[[#This Row],[Program]],'Program MW '!$A$35:$S$46,9,FALSE)</f>
        <v>0.56855142120000002</v>
      </c>
    </row>
    <row r="115" spans="1:8" ht="16.5" thickTop="1" thickBot="1">
      <c r="A115" s="429">
        <v>9</v>
      </c>
      <c r="B115" s="427" t="s">
        <v>24</v>
      </c>
      <c r="C115" s="442"/>
      <c r="D115" s="427" t="s">
        <v>9</v>
      </c>
      <c r="E115" s="430">
        <v>9</v>
      </c>
      <c r="F115" s="439" t="s">
        <v>35</v>
      </c>
      <c r="G115"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20</v>
      </c>
      <c r="H115" s="440">
        <f>VLOOKUP(BUReporting[[#This Row],[Program]],'Program MW '!$A$35:$S$46,9,FALSE)</f>
        <v>0.37407135599284436</v>
      </c>
    </row>
    <row r="116" spans="1:8" ht="16.5" thickTop="1" thickBot="1">
      <c r="A116" s="429">
        <v>10</v>
      </c>
      <c r="B116" s="427" t="s">
        <v>25</v>
      </c>
      <c r="C116" s="442"/>
      <c r="D116" s="427" t="s">
        <v>9</v>
      </c>
      <c r="E116" s="430">
        <v>9</v>
      </c>
      <c r="F116" s="439" t="s">
        <v>35</v>
      </c>
      <c r="G116"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129</v>
      </c>
      <c r="H116" s="440">
        <f>VLOOKUP(BUReporting[[#This Row],[Program]],'Program MW '!$A$35:$S$46,9,FALSE)</f>
        <v>2.1952503924944931</v>
      </c>
    </row>
    <row r="117" spans="1:8" ht="16.5" thickTop="1" thickBot="1">
      <c r="A117" s="429">
        <v>11</v>
      </c>
      <c r="B117" s="427" t="s">
        <v>26</v>
      </c>
      <c r="C117" s="442"/>
      <c r="D117" s="427" t="s">
        <v>9</v>
      </c>
      <c r="E117" s="430">
        <v>9</v>
      </c>
      <c r="F117" s="439" t="s">
        <v>35</v>
      </c>
      <c r="G117"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112227</v>
      </c>
      <c r="H117" s="440">
        <f>VLOOKUP(BUReporting[[#This Row],[Program]],'Program MW '!$A$35:$S$46,9,FALSE)</f>
        <v>1.9165666264425962</v>
      </c>
    </row>
    <row r="118" spans="1:8" ht="14.25" thickTop="1" thickBot="1">
      <c r="A118" s="429">
        <v>12</v>
      </c>
      <c r="B118" s="427" t="s">
        <v>27</v>
      </c>
      <c r="C118" s="426"/>
      <c r="D118" s="427" t="s">
        <v>19</v>
      </c>
      <c r="E118" s="430">
        <v>9</v>
      </c>
      <c r="F118" s="439" t="s">
        <v>35</v>
      </c>
      <c r="G118" s="42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15944</v>
      </c>
      <c r="H118" s="440">
        <f>VLOOKUP(BUReporting[[#This Row],[Program]],'Program MW '!$A$35:$S$46,9,FALSE)</f>
        <v>3.3902472614645958</v>
      </c>
    </row>
    <row r="119" spans="1:8" ht="16.5" thickTop="1" thickBot="1">
      <c r="A119" s="441">
        <v>0</v>
      </c>
      <c r="B119" s="85" t="s">
        <v>8</v>
      </c>
      <c r="C119" s="442"/>
      <c r="D119" s="432" t="s">
        <v>9</v>
      </c>
      <c r="E119" s="437">
        <v>10</v>
      </c>
      <c r="F119" s="438" t="s">
        <v>36</v>
      </c>
      <c r="G119" s="428">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119" s="440">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0.66361724853515625</v>
      </c>
    </row>
    <row r="120" spans="1:8" ht="16.5" thickTop="1" thickBot="1">
      <c r="A120" s="429">
        <v>1</v>
      </c>
      <c r="B120" s="427" t="s">
        <v>11</v>
      </c>
      <c r="C120" s="442"/>
      <c r="D120" s="427" t="s">
        <v>9</v>
      </c>
      <c r="E120" s="430">
        <v>10</v>
      </c>
      <c r="F120" s="439" t="s">
        <v>36</v>
      </c>
      <c r="G120"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14837</v>
      </c>
      <c r="H120" s="440">
        <f>VLOOKUP(BUReporting[[#This Row],[Program]],'Program MW '!$A$35:$S$46,12,FALSE)</f>
        <v>0.86471074589999997</v>
      </c>
    </row>
    <row r="121" spans="1:8" ht="16.5" thickTop="1" thickBot="1">
      <c r="A121" s="429">
        <v>2</v>
      </c>
      <c r="B121" s="427" t="s">
        <v>12</v>
      </c>
      <c r="C121" s="442" t="s">
        <v>13</v>
      </c>
      <c r="D121" s="427" t="s">
        <v>9</v>
      </c>
      <c r="E121" s="430">
        <v>10</v>
      </c>
      <c r="F121" s="439" t="s">
        <v>36</v>
      </c>
      <c r="G121"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440" t="e">
        <f>VLOOKUP(BUReporting[[#This Row],[Program]],'Program MW '!$A$35:$S$46,12,FALSE)</f>
        <v>#N/A</v>
      </c>
    </row>
    <row r="122" spans="1:8" ht="16.5" thickTop="1" thickBot="1">
      <c r="A122" s="429">
        <v>3</v>
      </c>
      <c r="B122" s="427" t="s">
        <v>14</v>
      </c>
      <c r="C122" s="442"/>
      <c r="D122" s="427" t="s">
        <v>9</v>
      </c>
      <c r="E122" s="430">
        <v>10</v>
      </c>
      <c r="F122" s="439" t="s">
        <v>36</v>
      </c>
      <c r="G122"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440" t="e">
        <f>VLOOKUP(BUReporting[[#This Row],[Program]],'Program MW '!$A$35:$S$46,12,FALSE)</f>
        <v>#N/A</v>
      </c>
    </row>
    <row r="123" spans="1:8" ht="16.5" thickTop="1" thickBot="1">
      <c r="A123" s="429">
        <v>4</v>
      </c>
      <c r="B123" s="427" t="s">
        <v>15</v>
      </c>
      <c r="C123" s="442" t="s">
        <v>16</v>
      </c>
      <c r="D123" s="427" t="s">
        <v>9</v>
      </c>
      <c r="E123" s="430">
        <v>10</v>
      </c>
      <c r="F123" s="439" t="s">
        <v>36</v>
      </c>
      <c r="G123" s="42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440" t="e">
        <f>VLOOKUP(BUReporting[[#This Row],[Program]],'Program MW '!$A$35:$S$46,12,FALSE)</f>
        <v>#N/A</v>
      </c>
    </row>
    <row r="124" spans="1:8" ht="16.5" thickTop="1" thickBot="1">
      <c r="A124" s="429">
        <v>5</v>
      </c>
      <c r="B124" s="427" t="s">
        <v>17</v>
      </c>
      <c r="C124" s="442" t="s">
        <v>18</v>
      </c>
      <c r="D124" s="427" t="s">
        <v>19</v>
      </c>
      <c r="E124" s="430">
        <v>10</v>
      </c>
      <c r="F124" s="439" t="s">
        <v>36</v>
      </c>
      <c r="G124"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16739</v>
      </c>
      <c r="H124" s="440">
        <f>VLOOKUP(BUReporting[[#This Row],[Program]],'Program MW '!$A$35:$S$46,12,FALSE)</f>
        <v>3.4773343164771795</v>
      </c>
    </row>
    <row r="125" spans="1:8" ht="16.5" thickTop="1" thickBot="1">
      <c r="A125" s="429">
        <v>6</v>
      </c>
      <c r="B125" s="427" t="s">
        <v>20</v>
      </c>
      <c r="C125" s="442" t="s">
        <v>18</v>
      </c>
      <c r="D125" s="427" t="s">
        <v>9</v>
      </c>
      <c r="E125" s="430">
        <v>10</v>
      </c>
      <c r="F125" s="439" t="s">
        <v>36</v>
      </c>
      <c r="G125"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1026</v>
      </c>
      <c r="H125" s="440">
        <f>VLOOKUP(BUReporting[[#This Row],[Program]],'Program MW '!$A$35:$S$46,12,FALSE)</f>
        <v>0.40253271102905275</v>
      </c>
    </row>
    <row r="126" spans="1:8" ht="16.5" thickTop="1" thickBot="1">
      <c r="A126" s="429">
        <v>7</v>
      </c>
      <c r="B126" s="427" t="s">
        <v>21</v>
      </c>
      <c r="C126" s="442" t="s">
        <v>22</v>
      </c>
      <c r="D126" s="427" t="s">
        <v>19</v>
      </c>
      <c r="E126" s="430">
        <v>10</v>
      </c>
      <c r="F126" s="439" t="s">
        <v>36</v>
      </c>
      <c r="G126"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9154</v>
      </c>
      <c r="H126" s="440">
        <f>VLOOKUP(BUReporting[[#This Row],[Program]],'Program MW '!$A$35:$S$46,12,FALSE)</f>
        <v>1.393440188</v>
      </c>
    </row>
    <row r="127" spans="1:8" ht="16.5" thickTop="1" thickBot="1">
      <c r="A127" s="429">
        <v>8</v>
      </c>
      <c r="B127" s="427" t="s">
        <v>23</v>
      </c>
      <c r="C127" s="442" t="s">
        <v>22</v>
      </c>
      <c r="D127" s="427" t="s">
        <v>9</v>
      </c>
      <c r="E127" s="430">
        <v>10</v>
      </c>
      <c r="F127" s="439" t="s">
        <v>36</v>
      </c>
      <c r="G127"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3108</v>
      </c>
      <c r="H127" s="440">
        <f>VLOOKUP(BUReporting[[#This Row],[Program]],'Program MW '!$A$35:$S$46,12,FALSE)</f>
        <v>0.37594274760000002</v>
      </c>
    </row>
    <row r="128" spans="1:8" ht="16.5" thickTop="1" thickBot="1">
      <c r="A128" s="429">
        <v>9</v>
      </c>
      <c r="B128" s="427" t="s">
        <v>24</v>
      </c>
      <c r="C128" s="442"/>
      <c r="D128" s="427" t="s">
        <v>9</v>
      </c>
      <c r="E128" s="430">
        <v>10</v>
      </c>
      <c r="F128" s="439" t="s">
        <v>36</v>
      </c>
      <c r="G128"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20</v>
      </c>
      <c r="H128" s="440">
        <f>VLOOKUP(BUReporting[[#This Row],[Program]],'Program MW '!$A$35:$S$46,12,FALSE)</f>
        <v>0.37407135599284436</v>
      </c>
    </row>
    <row r="129" spans="1:8" ht="16.5" thickTop="1" thickBot="1">
      <c r="A129" s="429">
        <v>10</v>
      </c>
      <c r="B129" s="427" t="s">
        <v>25</v>
      </c>
      <c r="C129" s="442"/>
      <c r="D129" s="427" t="s">
        <v>9</v>
      </c>
      <c r="E129" s="430">
        <v>10</v>
      </c>
      <c r="F129" s="439" t="s">
        <v>36</v>
      </c>
      <c r="G129"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129</v>
      </c>
      <c r="H129" s="440">
        <f>VLOOKUP(BUReporting[[#This Row],[Program]],'Program MW '!$A$35:$S$46,12,FALSE)</f>
        <v>2.1952503924944931</v>
      </c>
    </row>
    <row r="130" spans="1:8" ht="16.5" thickTop="1" thickBot="1">
      <c r="A130" s="429">
        <v>11</v>
      </c>
      <c r="B130" s="427" t="s">
        <v>26</v>
      </c>
      <c r="C130" s="442"/>
      <c r="D130" s="427" t="s">
        <v>9</v>
      </c>
      <c r="E130" s="430">
        <v>10</v>
      </c>
      <c r="F130" s="439" t="s">
        <v>36</v>
      </c>
      <c r="G130"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112364</v>
      </c>
      <c r="H130" s="440">
        <f>VLOOKUP(BUReporting[[#This Row],[Program]],'Program MW '!$A$35:$S$46,12,FALSE)</f>
        <v>1.7424512077905236</v>
      </c>
    </row>
    <row r="131" spans="1:8" ht="14.25" thickTop="1" thickBot="1">
      <c r="A131" s="429">
        <v>12</v>
      </c>
      <c r="B131" s="427" t="s">
        <v>27</v>
      </c>
      <c r="C131" s="426"/>
      <c r="D131" s="427" t="s">
        <v>19</v>
      </c>
      <c r="E131" s="430">
        <v>10</v>
      </c>
      <c r="F131" s="439" t="s">
        <v>36</v>
      </c>
      <c r="G131" s="42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15968</v>
      </c>
      <c r="H131" s="440">
        <f>VLOOKUP(BUReporting[[#This Row],[Program]],'Program MW '!$A$35:$S$46,12,FALSE)</f>
        <v>2.9640188051462175</v>
      </c>
    </row>
    <row r="132" spans="1:8" ht="16.5" thickTop="1" thickBot="1">
      <c r="A132" s="441">
        <v>0</v>
      </c>
      <c r="B132" s="85" t="s">
        <v>8</v>
      </c>
      <c r="C132" s="442"/>
      <c r="D132" s="432" t="s">
        <v>9</v>
      </c>
      <c r="E132" s="437">
        <v>11</v>
      </c>
      <c r="F132" s="438" t="s">
        <v>37</v>
      </c>
      <c r="G132" s="428">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132" s="440">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0.76919171142578124</v>
      </c>
    </row>
    <row r="133" spans="1:8" ht="16.5" thickTop="1" thickBot="1">
      <c r="A133" s="429">
        <v>1</v>
      </c>
      <c r="B133" s="427" t="s">
        <v>11</v>
      </c>
      <c r="C133" s="442"/>
      <c r="D133" s="427" t="s">
        <v>9</v>
      </c>
      <c r="E133" s="430">
        <v>11</v>
      </c>
      <c r="F133" s="439" t="s">
        <v>37</v>
      </c>
      <c r="G133"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14459</v>
      </c>
      <c r="H133" s="440">
        <f>VLOOKUP(BUReporting[[#This Row],[Program]],'Program MW '!$A$35:$S$46,15,FALSE)</f>
        <v>2.0133680353000001</v>
      </c>
    </row>
    <row r="134" spans="1:8" ht="16.5" thickTop="1" thickBot="1">
      <c r="A134" s="429">
        <v>2</v>
      </c>
      <c r="B134" s="427" t="s">
        <v>12</v>
      </c>
      <c r="C134" s="442" t="s">
        <v>13</v>
      </c>
      <c r="D134" s="427" t="s">
        <v>9</v>
      </c>
      <c r="E134" s="430">
        <v>11</v>
      </c>
      <c r="F134" s="439" t="s">
        <v>37</v>
      </c>
      <c r="G134"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440" t="e">
        <f>VLOOKUP(BUReporting[[#This Row],[Program]],'Program MW '!$A$35:$S$46,15,FALSE)</f>
        <v>#N/A</v>
      </c>
    </row>
    <row r="135" spans="1:8" ht="16.5" thickTop="1" thickBot="1">
      <c r="A135" s="429">
        <v>3</v>
      </c>
      <c r="B135" s="427" t="s">
        <v>14</v>
      </c>
      <c r="C135" s="442"/>
      <c r="D135" s="427" t="s">
        <v>9</v>
      </c>
      <c r="E135" s="430">
        <v>11</v>
      </c>
      <c r="F135" s="439" t="s">
        <v>37</v>
      </c>
      <c r="G135"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440" t="e">
        <f>VLOOKUP(BUReporting[[#This Row],[Program]],'Program MW '!$A$35:$S$46,15,FALSE)</f>
        <v>#N/A</v>
      </c>
    </row>
    <row r="136" spans="1:8" ht="16.5" thickTop="1" thickBot="1">
      <c r="A136" s="429">
        <v>4</v>
      </c>
      <c r="B136" s="427" t="s">
        <v>15</v>
      </c>
      <c r="C136" s="442" t="s">
        <v>16</v>
      </c>
      <c r="D136" s="427" t="s">
        <v>9</v>
      </c>
      <c r="E136" s="430">
        <v>11</v>
      </c>
      <c r="F136" s="439" t="s">
        <v>37</v>
      </c>
      <c r="G136" s="42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440" t="e">
        <f>VLOOKUP(BUReporting[[#This Row],[Program]],'Program MW '!$A$35:$S$46,15,FALSE)</f>
        <v>#N/A</v>
      </c>
    </row>
    <row r="137" spans="1:8" ht="16.5" thickTop="1" thickBot="1">
      <c r="A137" s="429">
        <v>5</v>
      </c>
      <c r="B137" s="427" t="s">
        <v>17</v>
      </c>
      <c r="C137" s="442" t="s">
        <v>18</v>
      </c>
      <c r="D137" s="427" t="s">
        <v>19</v>
      </c>
      <c r="E137" s="430">
        <v>11</v>
      </c>
      <c r="F137" s="439" t="s">
        <v>37</v>
      </c>
      <c r="G137"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17315</v>
      </c>
      <c r="H137" s="440">
        <f>VLOOKUP(BUReporting[[#This Row],[Program]],'Program MW '!$A$35:$S$46,15,FALSE)</f>
        <v>0.4763841633591801</v>
      </c>
    </row>
    <row r="138" spans="1:8" ht="16.5" thickTop="1" thickBot="1">
      <c r="A138" s="429">
        <v>6</v>
      </c>
      <c r="B138" s="427" t="s">
        <v>20</v>
      </c>
      <c r="C138" s="442" t="s">
        <v>18</v>
      </c>
      <c r="D138" s="427" t="s">
        <v>9</v>
      </c>
      <c r="E138" s="430">
        <v>11</v>
      </c>
      <c r="F138" s="439" t="s">
        <v>37</v>
      </c>
      <c r="G138"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840</v>
      </c>
      <c r="H138" s="440">
        <f>VLOOKUP(BUReporting[[#This Row],[Program]],'Program MW '!$A$35:$S$46,15,FALSE)</f>
        <v>6.4997799396514885E-2</v>
      </c>
    </row>
    <row r="139" spans="1:8" ht="16.5" thickTop="1" thickBot="1">
      <c r="A139" s="429">
        <v>7</v>
      </c>
      <c r="B139" s="427" t="s">
        <v>21</v>
      </c>
      <c r="C139" s="442" t="s">
        <v>22</v>
      </c>
      <c r="D139" s="427" t="s">
        <v>19</v>
      </c>
      <c r="E139" s="430">
        <v>11</v>
      </c>
      <c r="F139" s="439" t="s">
        <v>37</v>
      </c>
      <c r="G139"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11426</v>
      </c>
      <c r="H139" s="440">
        <f>VLOOKUP(BUReporting[[#This Row],[Program]],'Program MW '!$A$35:$S$46,15,FALSE)</f>
        <v>0</v>
      </c>
    </row>
    <row r="140" spans="1:8" ht="16.5" thickTop="1" thickBot="1">
      <c r="A140" s="429">
        <v>8</v>
      </c>
      <c r="B140" s="427" t="s">
        <v>23</v>
      </c>
      <c r="C140" s="442" t="s">
        <v>22</v>
      </c>
      <c r="D140" s="427" t="s">
        <v>9</v>
      </c>
      <c r="E140" s="430">
        <v>11</v>
      </c>
      <c r="F140" s="439" t="s">
        <v>37</v>
      </c>
      <c r="G140"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3009</v>
      </c>
      <c r="H140" s="440">
        <f>VLOOKUP(BUReporting[[#This Row],[Program]],'Program MW '!$A$35:$S$46,15,FALSE)</f>
        <v>0</v>
      </c>
    </row>
    <row r="141" spans="1:8" ht="16.5" thickTop="1" thickBot="1">
      <c r="A141" s="429">
        <v>9</v>
      </c>
      <c r="B141" s="427" t="s">
        <v>24</v>
      </c>
      <c r="C141" s="442"/>
      <c r="D141" s="427" t="s">
        <v>9</v>
      </c>
      <c r="E141" s="430">
        <v>11</v>
      </c>
      <c r="F141" s="439" t="s">
        <v>37</v>
      </c>
      <c r="G141"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440">
        <f>VLOOKUP(BUReporting[[#This Row],[Program]],'Program MW '!$A$35:$S$46,15,FALSE)</f>
        <v>0</v>
      </c>
    </row>
    <row r="142" spans="1:8" ht="16.5" thickTop="1" thickBot="1">
      <c r="A142" s="429">
        <v>10</v>
      </c>
      <c r="B142" s="427" t="s">
        <v>25</v>
      </c>
      <c r="C142" s="442"/>
      <c r="D142" s="427" t="s">
        <v>9</v>
      </c>
      <c r="E142" s="430">
        <v>11</v>
      </c>
      <c r="F142" s="439" t="s">
        <v>37</v>
      </c>
      <c r="G142"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440">
        <f>VLOOKUP(BUReporting[[#This Row],[Program]],'Program MW '!$A$35:$S$46,15,FALSE)</f>
        <v>0</v>
      </c>
    </row>
    <row r="143" spans="1:8" ht="16.5" thickTop="1" thickBot="1">
      <c r="A143" s="429">
        <v>11</v>
      </c>
      <c r="B143" s="427" t="s">
        <v>26</v>
      </c>
      <c r="C143" s="442"/>
      <c r="D143" s="427" t="s">
        <v>9</v>
      </c>
      <c r="E143" s="430">
        <v>11</v>
      </c>
      <c r="F143" s="439" t="s">
        <v>37</v>
      </c>
      <c r="G143"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112332</v>
      </c>
      <c r="H143" s="440">
        <f>VLOOKUP(BUReporting[[#This Row],[Program]],'Program MW '!$A$35:$S$46,15,FALSE)</f>
        <v>1.4317376101724804</v>
      </c>
    </row>
    <row r="144" spans="1:8" ht="14.25" thickTop="1" thickBot="1">
      <c r="A144" s="429">
        <v>12</v>
      </c>
      <c r="B144" s="427" t="s">
        <v>27</v>
      </c>
      <c r="C144" s="426"/>
      <c r="D144" s="427" t="s">
        <v>19</v>
      </c>
      <c r="E144" s="430">
        <v>11</v>
      </c>
      <c r="F144" s="439" t="s">
        <v>37</v>
      </c>
      <c r="G144" s="42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16266</v>
      </c>
      <c r="H144" s="440">
        <f>VLOOKUP(BUReporting[[#This Row],[Program]],'Program MW '!$A$35:$S$46,15,FALSE)</f>
        <v>0.48454691666364674</v>
      </c>
    </row>
    <row r="145" spans="1:8" ht="16.5" thickTop="1" thickBot="1">
      <c r="A145" s="441">
        <v>0</v>
      </c>
      <c r="B145" s="85" t="s">
        <v>8</v>
      </c>
      <c r="C145" s="442"/>
      <c r="D145" s="432" t="s">
        <v>9</v>
      </c>
      <c r="E145" s="437">
        <v>12</v>
      </c>
      <c r="F145" s="438" t="s">
        <v>38</v>
      </c>
      <c r="G145" s="428">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440">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6.5" thickTop="1" thickBot="1">
      <c r="A146" s="429">
        <v>1</v>
      </c>
      <c r="B146" s="427" t="s">
        <v>11</v>
      </c>
      <c r="C146" s="442"/>
      <c r="D146" s="427" t="s">
        <v>9</v>
      </c>
      <c r="E146" s="430">
        <v>12</v>
      </c>
      <c r="F146" s="439" t="s">
        <v>38</v>
      </c>
      <c r="G146"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440">
        <f>VLOOKUP(BUReporting[[#This Row],[Program]],'Program MW '!$A$35:$S$46,18,FALSE)</f>
        <v>0</v>
      </c>
    </row>
    <row r="147" spans="1:8" ht="16.5" thickTop="1" thickBot="1">
      <c r="A147" s="429">
        <v>2</v>
      </c>
      <c r="B147" s="427" t="s">
        <v>12</v>
      </c>
      <c r="C147" s="442" t="s">
        <v>13</v>
      </c>
      <c r="D147" s="427" t="s">
        <v>9</v>
      </c>
      <c r="E147" s="430">
        <v>12</v>
      </c>
      <c r="F147" s="439" t="s">
        <v>38</v>
      </c>
      <c r="G147"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440" t="e">
        <f>VLOOKUP(BUReporting[[#This Row],[Program]],'Program MW '!$A$35:$S$46,18,FALSE)</f>
        <v>#N/A</v>
      </c>
    </row>
    <row r="148" spans="1:8" ht="16.5" thickTop="1" thickBot="1">
      <c r="A148" s="429">
        <v>3</v>
      </c>
      <c r="B148" s="427" t="s">
        <v>14</v>
      </c>
      <c r="C148" s="442"/>
      <c r="D148" s="427" t="s">
        <v>9</v>
      </c>
      <c r="E148" s="430">
        <v>12</v>
      </c>
      <c r="F148" s="439" t="s">
        <v>38</v>
      </c>
      <c r="G148"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440" t="e">
        <f>VLOOKUP(BUReporting[[#This Row],[Program]],'Program MW '!$A$35:$S$46,18,FALSE)</f>
        <v>#N/A</v>
      </c>
    </row>
    <row r="149" spans="1:8" ht="16.5" thickTop="1" thickBot="1">
      <c r="A149" s="429">
        <v>4</v>
      </c>
      <c r="B149" s="427" t="s">
        <v>15</v>
      </c>
      <c r="C149" s="442" t="s">
        <v>16</v>
      </c>
      <c r="D149" s="427" t="s">
        <v>9</v>
      </c>
      <c r="E149" s="430">
        <v>12</v>
      </c>
      <c r="F149" s="439" t="s">
        <v>38</v>
      </c>
      <c r="G149" s="42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440" t="e">
        <f>VLOOKUP(BUReporting[[#This Row],[Program]],'Program MW '!$A$35:$S$46,18,FALSE)</f>
        <v>#N/A</v>
      </c>
    </row>
    <row r="150" spans="1:8" ht="16.5" thickTop="1" thickBot="1">
      <c r="A150" s="429">
        <v>5</v>
      </c>
      <c r="B150" s="427" t="s">
        <v>17</v>
      </c>
      <c r="C150" s="442" t="s">
        <v>18</v>
      </c>
      <c r="D150" s="427" t="s">
        <v>19</v>
      </c>
      <c r="E150" s="430">
        <v>12</v>
      </c>
      <c r="F150" s="439" t="s">
        <v>38</v>
      </c>
      <c r="G150"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440">
        <f>VLOOKUP(BUReporting[[#This Row],[Program]],'Program MW '!$A$35:$S$46,18,FALSE)</f>
        <v>0</v>
      </c>
    </row>
    <row r="151" spans="1:8" ht="16.5" thickTop="1" thickBot="1">
      <c r="A151" s="429">
        <v>6</v>
      </c>
      <c r="B151" s="427" t="s">
        <v>20</v>
      </c>
      <c r="C151" s="442" t="s">
        <v>18</v>
      </c>
      <c r="D151" s="427" t="s">
        <v>9</v>
      </c>
      <c r="E151" s="430">
        <v>12</v>
      </c>
      <c r="F151" s="439" t="s">
        <v>38</v>
      </c>
      <c r="G151"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440">
        <f>VLOOKUP(BUReporting[[#This Row],[Program]],'Program MW '!$A$35:$S$46,18,FALSE)</f>
        <v>0</v>
      </c>
    </row>
    <row r="152" spans="1:8" ht="16.5" thickTop="1" thickBot="1">
      <c r="A152" s="429">
        <v>7</v>
      </c>
      <c r="B152" s="427" t="s">
        <v>21</v>
      </c>
      <c r="C152" s="442" t="s">
        <v>22</v>
      </c>
      <c r="D152" s="427" t="s">
        <v>19</v>
      </c>
      <c r="E152" s="430">
        <v>12</v>
      </c>
      <c r="F152" s="439" t="s">
        <v>38</v>
      </c>
      <c r="G152"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440">
        <f>VLOOKUP(BUReporting[[#This Row],[Program]],'Program MW '!$A$35:$S$46,18,FALSE)</f>
        <v>0</v>
      </c>
    </row>
    <row r="153" spans="1:8" ht="16.5" thickTop="1" thickBot="1">
      <c r="A153" s="429">
        <v>8</v>
      </c>
      <c r="B153" s="427" t="s">
        <v>23</v>
      </c>
      <c r="C153" s="442" t="s">
        <v>22</v>
      </c>
      <c r="D153" s="427" t="s">
        <v>9</v>
      </c>
      <c r="E153" s="430">
        <v>12</v>
      </c>
      <c r="F153" s="439" t="s">
        <v>38</v>
      </c>
      <c r="G153"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440">
        <f>VLOOKUP(BUReporting[[#This Row],[Program]],'Program MW '!$A$35:$S$46,18,FALSE)</f>
        <v>0</v>
      </c>
    </row>
    <row r="154" spans="1:8" ht="16.5" thickTop="1" thickBot="1">
      <c r="A154" s="429">
        <v>9</v>
      </c>
      <c r="B154" s="427" t="s">
        <v>24</v>
      </c>
      <c r="C154" s="442"/>
      <c r="D154" s="427" t="s">
        <v>9</v>
      </c>
      <c r="E154" s="430">
        <v>12</v>
      </c>
      <c r="F154" s="439" t="s">
        <v>38</v>
      </c>
      <c r="G154"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440">
        <f>VLOOKUP(BUReporting[[#This Row],[Program]],'Program MW '!$A$35:$S$46,18,FALSE)</f>
        <v>0</v>
      </c>
    </row>
    <row r="155" spans="1:8" ht="16.5" thickTop="1" thickBot="1">
      <c r="A155" s="429">
        <v>10</v>
      </c>
      <c r="B155" s="427" t="s">
        <v>25</v>
      </c>
      <c r="C155" s="442"/>
      <c r="D155" s="427" t="s">
        <v>9</v>
      </c>
      <c r="E155" s="430">
        <v>12</v>
      </c>
      <c r="F155" s="439" t="s">
        <v>38</v>
      </c>
      <c r="G155"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440">
        <f>VLOOKUP(BUReporting[[#This Row],[Program]],'Program MW '!$A$35:$S$46,18,FALSE)</f>
        <v>0</v>
      </c>
    </row>
    <row r="156" spans="1:8" ht="16.5" thickTop="1" thickBot="1">
      <c r="A156" s="429">
        <v>11</v>
      </c>
      <c r="B156" s="427" t="s">
        <v>26</v>
      </c>
      <c r="C156" s="442"/>
      <c r="D156" s="427" t="s">
        <v>9</v>
      </c>
      <c r="E156" s="430">
        <v>12</v>
      </c>
      <c r="F156" s="439" t="s">
        <v>38</v>
      </c>
      <c r="G156"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440">
        <f>VLOOKUP(BUReporting[[#This Row],[Program]],'Program MW '!$A$35:$S$46,18,FALSE)</f>
        <v>0</v>
      </c>
    </row>
    <row r="157" spans="1:8" ht="13.5" thickTop="1">
      <c r="A157" s="429">
        <v>12</v>
      </c>
      <c r="B157" s="427" t="s">
        <v>27</v>
      </c>
      <c r="C157" s="426"/>
      <c r="D157" s="427" t="s">
        <v>19</v>
      </c>
      <c r="E157" s="430">
        <v>12</v>
      </c>
      <c r="F157" s="439" t="s">
        <v>38</v>
      </c>
      <c r="G157" s="42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440">
        <f>VLOOKUP(BUReporting[[#This Row],[Program]],'Program MW '!$A$35:$S$46,18,FALSE)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193"/>
  <sheetViews>
    <sheetView topLeftCell="B4" zoomScaleNormal="100" zoomScaleSheetLayoutView="90" workbookViewId="0">
      <selection activeCell="N16" sqref="N16"/>
    </sheetView>
  </sheetViews>
  <sheetFormatPr defaultColWidth="9.28515625" defaultRowHeight="14.25" customHeight="1"/>
  <cols>
    <col min="1" max="1" width="56.7109375" style="387" customWidth="1"/>
    <col min="2" max="2" width="30" style="257" customWidth="1"/>
    <col min="3" max="3" width="15.7109375" style="389" customWidth="1"/>
    <col min="4" max="4" width="27" style="387" bestFit="1" customWidth="1"/>
    <col min="5" max="5" width="15.7109375" style="387" customWidth="1"/>
    <col min="6" max="6" width="22" style="387" customWidth="1"/>
    <col min="7" max="7" width="37" style="387" customWidth="1"/>
    <col min="8" max="16384" width="9.28515625" style="388"/>
  </cols>
  <sheetData>
    <row r="2" spans="1:14" ht="12.75">
      <c r="A2" s="646"/>
      <c r="C2" s="258" t="s">
        <v>39</v>
      </c>
      <c r="D2" s="646"/>
      <c r="E2" s="646"/>
      <c r="F2" s="646"/>
      <c r="G2" s="646"/>
      <c r="H2" s="647"/>
      <c r="I2" s="647"/>
      <c r="J2" s="647"/>
      <c r="K2" s="647"/>
      <c r="L2" s="647"/>
      <c r="M2" s="647"/>
      <c r="N2" s="647"/>
    </row>
    <row r="3" spans="1:14" ht="12.75">
      <c r="A3" s="646"/>
      <c r="C3" s="258" t="s">
        <v>228</v>
      </c>
      <c r="D3" s="646"/>
      <c r="E3" s="646"/>
      <c r="F3" s="646"/>
      <c r="G3" s="646"/>
      <c r="H3" s="647"/>
      <c r="I3" s="647"/>
      <c r="J3" s="647"/>
      <c r="K3" s="647"/>
      <c r="L3" s="647"/>
      <c r="M3" s="647"/>
      <c r="N3" s="647"/>
    </row>
    <row r="4" spans="1:14" ht="12.75">
      <c r="A4" s="646"/>
      <c r="C4" s="258" t="str">
        <f>'Program MW '!H3</f>
        <v>November 2020</v>
      </c>
      <c r="D4" s="646"/>
      <c r="E4" s="646"/>
      <c r="F4" s="646"/>
      <c r="G4" s="646"/>
      <c r="H4" s="647"/>
      <c r="I4" s="647"/>
      <c r="J4" s="647"/>
      <c r="K4" s="647"/>
      <c r="L4" s="647"/>
      <c r="M4" s="647"/>
      <c r="N4" s="647"/>
    </row>
    <row r="5" spans="1:14" ht="12.75">
      <c r="A5" s="646"/>
      <c r="C5" s="258"/>
      <c r="D5" s="646"/>
      <c r="E5" s="646"/>
      <c r="F5" s="646"/>
      <c r="G5" s="646"/>
      <c r="H5" s="647"/>
      <c r="I5" s="647"/>
      <c r="J5" s="647"/>
      <c r="K5" s="647"/>
      <c r="L5" s="647"/>
      <c r="M5" s="647"/>
      <c r="N5" s="647"/>
    </row>
    <row r="7" spans="1:14" ht="15.75">
      <c r="A7" s="692" t="s">
        <v>229</v>
      </c>
      <c r="B7" s="693"/>
      <c r="C7" s="693"/>
      <c r="D7" s="693"/>
      <c r="E7" s="693"/>
      <c r="F7" s="693"/>
      <c r="G7" s="694"/>
      <c r="H7" s="647"/>
      <c r="I7" s="647"/>
      <c r="J7" s="647"/>
      <c r="K7" s="647"/>
      <c r="L7" s="647"/>
      <c r="M7" s="647"/>
      <c r="N7" s="647"/>
    </row>
    <row r="8" spans="1:14" ht="27">
      <c r="A8" s="648" t="s">
        <v>222</v>
      </c>
      <c r="B8" s="648" t="s">
        <v>230</v>
      </c>
      <c r="C8" s="649" t="s">
        <v>225</v>
      </c>
      <c r="D8" s="648" t="s">
        <v>231</v>
      </c>
      <c r="E8" s="650" t="s">
        <v>232</v>
      </c>
      <c r="F8" s="650" t="s">
        <v>233</v>
      </c>
      <c r="G8" s="650" t="s">
        <v>234</v>
      </c>
      <c r="H8" s="647"/>
      <c r="I8" s="647"/>
      <c r="J8" s="647"/>
      <c r="K8" s="647"/>
      <c r="L8" s="647"/>
      <c r="M8" s="647"/>
      <c r="N8" s="647"/>
    </row>
    <row r="9" spans="1:14" ht="14.25" customHeight="1">
      <c r="A9" s="651" t="s">
        <v>235</v>
      </c>
      <c r="B9" s="652">
        <v>1</v>
      </c>
      <c r="C9" s="654">
        <v>43984</v>
      </c>
      <c r="D9" s="655" t="s">
        <v>236</v>
      </c>
      <c r="E9" s="656">
        <v>0.87294310536484865</v>
      </c>
      <c r="F9" s="657" t="s">
        <v>237</v>
      </c>
      <c r="G9" s="653">
        <v>2</v>
      </c>
      <c r="H9" s="647"/>
      <c r="I9" s="647"/>
      <c r="J9" s="647"/>
      <c r="K9" s="647"/>
      <c r="L9" s="647"/>
      <c r="M9" s="647"/>
      <c r="N9" s="647"/>
    </row>
    <row r="10" spans="1:14" ht="14.25" customHeight="1">
      <c r="A10" s="651" t="s">
        <v>235</v>
      </c>
      <c r="B10" s="652">
        <v>2</v>
      </c>
      <c r="C10" s="654">
        <v>43985</v>
      </c>
      <c r="D10" s="655" t="s">
        <v>236</v>
      </c>
      <c r="E10" s="656">
        <v>1.6640008917675333</v>
      </c>
      <c r="F10" s="657" t="s">
        <v>237</v>
      </c>
      <c r="G10" s="653">
        <v>4</v>
      </c>
      <c r="H10" s="647"/>
      <c r="I10" s="647"/>
      <c r="J10" s="647"/>
      <c r="K10" s="647"/>
      <c r="L10" s="647"/>
      <c r="M10" s="647"/>
      <c r="N10" s="647"/>
    </row>
    <row r="11" spans="1:14" ht="14.25" customHeight="1">
      <c r="A11" s="651" t="s">
        <v>238</v>
      </c>
      <c r="B11" s="652">
        <v>3</v>
      </c>
      <c r="C11" s="654">
        <v>43984</v>
      </c>
      <c r="D11" s="655" t="s">
        <v>239</v>
      </c>
      <c r="E11" s="656">
        <v>0.30500092296163572</v>
      </c>
      <c r="F11" s="657" t="s">
        <v>237</v>
      </c>
      <c r="G11" s="653">
        <v>2</v>
      </c>
      <c r="H11" s="647"/>
      <c r="I11" s="647"/>
      <c r="J11" s="647"/>
      <c r="K11" s="647"/>
      <c r="L11" s="647"/>
      <c r="M11" s="647"/>
      <c r="N11" s="647"/>
    </row>
    <row r="12" spans="1:14" ht="14.25" customHeight="1">
      <c r="A12" s="651" t="s">
        <v>238</v>
      </c>
      <c r="B12" s="652">
        <v>4</v>
      </c>
      <c r="C12" s="654">
        <v>43985</v>
      </c>
      <c r="D12" s="655" t="s">
        <v>239</v>
      </c>
      <c r="E12" s="656">
        <v>0.36058606179688218</v>
      </c>
      <c r="F12" s="657" t="s">
        <v>237</v>
      </c>
      <c r="G12" s="653">
        <v>4</v>
      </c>
      <c r="H12" s="647"/>
      <c r="I12" s="647"/>
      <c r="J12" s="647"/>
      <c r="K12" s="647"/>
      <c r="L12" s="647"/>
      <c r="M12" s="647"/>
      <c r="N12" s="647"/>
    </row>
    <row r="13" spans="1:14" ht="14.25" customHeight="1">
      <c r="A13" s="651" t="s">
        <v>240</v>
      </c>
      <c r="B13" s="652">
        <v>5</v>
      </c>
      <c r="C13" s="654">
        <v>43985</v>
      </c>
      <c r="D13" s="655" t="s">
        <v>239</v>
      </c>
      <c r="E13" s="656">
        <v>0.2</v>
      </c>
      <c r="F13" s="657" t="s">
        <v>241</v>
      </c>
      <c r="G13" s="653">
        <v>2</v>
      </c>
      <c r="H13" s="647"/>
      <c r="I13" s="647"/>
      <c r="J13" s="647"/>
      <c r="K13" s="647"/>
      <c r="L13" s="647"/>
      <c r="M13" s="647"/>
      <c r="N13" s="647"/>
    </row>
    <row r="14" spans="1:14" ht="18" customHeight="1">
      <c r="A14" s="651" t="s">
        <v>242</v>
      </c>
      <c r="B14" s="652">
        <v>6</v>
      </c>
      <c r="C14" s="654">
        <v>43985</v>
      </c>
      <c r="D14" s="655" t="s">
        <v>243</v>
      </c>
      <c r="E14" s="656">
        <v>2.7172703166408931</v>
      </c>
      <c r="F14" s="657" t="s">
        <v>237</v>
      </c>
      <c r="G14" s="653">
        <v>2</v>
      </c>
      <c r="H14" s="647"/>
      <c r="I14" s="647"/>
      <c r="J14" s="647"/>
      <c r="K14" s="647"/>
      <c r="L14" s="647"/>
      <c r="M14" s="647"/>
      <c r="N14" s="388" t="s">
        <v>57</v>
      </c>
    </row>
    <row r="15" spans="1:14" ht="18.75" customHeight="1">
      <c r="A15" s="651" t="s">
        <v>235</v>
      </c>
      <c r="B15" s="652">
        <v>7</v>
      </c>
      <c r="C15" s="654">
        <v>43992</v>
      </c>
      <c r="D15" s="655" t="s">
        <v>236</v>
      </c>
      <c r="E15" s="656">
        <v>0.76196803612685282</v>
      </c>
      <c r="F15" s="534" t="s">
        <v>237</v>
      </c>
      <c r="G15" s="653">
        <v>6</v>
      </c>
      <c r="H15" s="647"/>
      <c r="I15" s="647"/>
      <c r="J15" s="647"/>
      <c r="K15" s="647"/>
      <c r="L15" s="647"/>
      <c r="M15" s="647"/>
      <c r="N15" s="388" t="s">
        <v>57</v>
      </c>
    </row>
    <row r="16" spans="1:14" ht="14.25" customHeight="1">
      <c r="A16" s="651" t="s">
        <v>244</v>
      </c>
      <c r="B16" s="652">
        <v>8</v>
      </c>
      <c r="C16" s="654">
        <v>43992</v>
      </c>
      <c r="D16" s="655" t="s">
        <v>236</v>
      </c>
      <c r="E16" s="656">
        <v>5.3595040000000003</v>
      </c>
      <c r="F16" s="534" t="s">
        <v>237</v>
      </c>
      <c r="G16" s="653">
        <v>2</v>
      </c>
      <c r="H16" s="647"/>
      <c r="I16" s="647"/>
      <c r="J16" s="647"/>
      <c r="K16" s="647"/>
      <c r="L16" s="647"/>
      <c r="M16" s="647"/>
      <c r="N16" s="647"/>
    </row>
    <row r="17" spans="1:7" ht="14.25" customHeight="1">
      <c r="A17" s="651" t="s">
        <v>245</v>
      </c>
      <c r="B17" s="652">
        <v>9</v>
      </c>
      <c r="C17" s="654">
        <v>43992</v>
      </c>
      <c r="D17" s="655" t="s">
        <v>236</v>
      </c>
      <c r="E17" s="658">
        <v>0.43282929999999997</v>
      </c>
      <c r="F17" s="534" t="s">
        <v>237</v>
      </c>
      <c r="G17" s="653">
        <v>2</v>
      </c>
    </row>
    <row r="18" spans="1:7" ht="14.25" customHeight="1">
      <c r="A18" s="651" t="s">
        <v>235</v>
      </c>
      <c r="B18" s="652">
        <v>10</v>
      </c>
      <c r="C18" s="535">
        <v>44004</v>
      </c>
      <c r="D18" s="655" t="s">
        <v>236</v>
      </c>
      <c r="E18" s="658">
        <v>0.75432594725687063</v>
      </c>
      <c r="F18" s="534" t="s">
        <v>246</v>
      </c>
      <c r="G18" s="653">
        <v>8</v>
      </c>
    </row>
    <row r="19" spans="1:7" ht="14.25" customHeight="1">
      <c r="A19" s="651" t="s">
        <v>244</v>
      </c>
      <c r="B19" s="652">
        <v>11</v>
      </c>
      <c r="C19" s="535">
        <v>44004</v>
      </c>
      <c r="D19" s="655" t="s">
        <v>236</v>
      </c>
      <c r="E19" s="656">
        <v>1.43</v>
      </c>
      <c r="F19" s="534" t="s">
        <v>246</v>
      </c>
      <c r="G19" s="653">
        <v>4</v>
      </c>
    </row>
    <row r="20" spans="1:7" ht="14.25" customHeight="1">
      <c r="A20" s="651" t="s">
        <v>245</v>
      </c>
      <c r="B20" s="652">
        <v>12</v>
      </c>
      <c r="C20" s="535">
        <v>44004</v>
      </c>
      <c r="D20" s="655" t="s">
        <v>236</v>
      </c>
      <c r="E20" s="656">
        <v>0.28000000000000003</v>
      </c>
      <c r="F20" s="534" t="s">
        <v>246</v>
      </c>
      <c r="G20" s="653">
        <v>4</v>
      </c>
    </row>
    <row r="21" spans="1:7" ht="14.25" customHeight="1">
      <c r="A21" s="651" t="s">
        <v>235</v>
      </c>
      <c r="B21" s="652">
        <v>13</v>
      </c>
      <c r="C21" s="535">
        <v>44020</v>
      </c>
      <c r="D21" s="655" t="s">
        <v>236</v>
      </c>
      <c r="E21" s="656">
        <v>2.4777615653257274E-2</v>
      </c>
      <c r="F21" s="534" t="s">
        <v>247</v>
      </c>
      <c r="G21" s="653">
        <v>10</v>
      </c>
    </row>
    <row r="22" spans="1:7" ht="14.25" customHeight="1">
      <c r="A22" s="651" t="s">
        <v>244</v>
      </c>
      <c r="B22" s="652">
        <v>14</v>
      </c>
      <c r="C22" s="535">
        <v>44020</v>
      </c>
      <c r="D22" s="655" t="s">
        <v>236</v>
      </c>
      <c r="E22" s="656">
        <v>1.92</v>
      </c>
      <c r="F22" s="534" t="s">
        <v>247</v>
      </c>
      <c r="G22" s="653">
        <v>6</v>
      </c>
    </row>
    <row r="23" spans="1:7" ht="14.25" customHeight="1">
      <c r="A23" s="651" t="s">
        <v>235</v>
      </c>
      <c r="B23" s="652">
        <v>15</v>
      </c>
      <c r="C23" s="535">
        <v>44021</v>
      </c>
      <c r="D23" s="655" t="s">
        <v>236</v>
      </c>
      <c r="E23" s="656">
        <v>0.65303222578993159</v>
      </c>
      <c r="F23" s="534" t="s">
        <v>237</v>
      </c>
      <c r="G23" s="653">
        <v>12</v>
      </c>
    </row>
    <row r="24" spans="1:7" ht="14.25" customHeight="1">
      <c r="A24" s="651" t="s">
        <v>238</v>
      </c>
      <c r="B24" s="652">
        <v>16</v>
      </c>
      <c r="C24" s="535">
        <v>44022</v>
      </c>
      <c r="D24" s="655" t="s">
        <v>239</v>
      </c>
      <c r="E24" s="656">
        <v>0.17615686920676604</v>
      </c>
      <c r="F24" s="534" t="s">
        <v>237</v>
      </c>
      <c r="G24" s="653">
        <v>6</v>
      </c>
    </row>
    <row r="25" spans="1:7" ht="14.25" customHeight="1">
      <c r="A25" s="651" t="s">
        <v>242</v>
      </c>
      <c r="B25" s="652">
        <v>17</v>
      </c>
      <c r="C25" s="535">
        <v>44022</v>
      </c>
      <c r="D25" s="655" t="s">
        <v>243</v>
      </c>
      <c r="E25" s="656">
        <v>3.5406663068488209</v>
      </c>
      <c r="F25" s="534" t="s">
        <v>237</v>
      </c>
      <c r="G25" s="653">
        <v>4</v>
      </c>
    </row>
    <row r="26" spans="1:7" ht="14.25" customHeight="1">
      <c r="A26" s="651" t="s">
        <v>238</v>
      </c>
      <c r="B26" s="652">
        <v>18</v>
      </c>
      <c r="C26" s="535">
        <v>44025</v>
      </c>
      <c r="D26" s="655" t="s">
        <v>239</v>
      </c>
      <c r="E26" s="656">
        <v>0.20266879308888952</v>
      </c>
      <c r="F26" s="534" t="s">
        <v>237</v>
      </c>
      <c r="G26" s="653">
        <v>8</v>
      </c>
    </row>
    <row r="27" spans="1:7" ht="14.25" customHeight="1">
      <c r="A27" s="651" t="s">
        <v>242</v>
      </c>
      <c r="B27" s="652">
        <v>19</v>
      </c>
      <c r="C27" s="535">
        <v>44025</v>
      </c>
      <c r="D27" s="655" t="s">
        <v>243</v>
      </c>
      <c r="E27" s="656">
        <v>3.7652464934783172</v>
      </c>
      <c r="F27" s="534" t="s">
        <v>237</v>
      </c>
      <c r="G27" s="653">
        <v>6</v>
      </c>
    </row>
    <row r="28" spans="1:7" ht="14.25" customHeight="1">
      <c r="A28" s="651" t="s">
        <v>235</v>
      </c>
      <c r="B28" s="652">
        <v>20</v>
      </c>
      <c r="C28" s="535">
        <v>44022</v>
      </c>
      <c r="D28" s="655" t="s">
        <v>236</v>
      </c>
      <c r="E28" s="656">
        <v>0.65421572469126477</v>
      </c>
      <c r="F28" s="534" t="s">
        <v>237</v>
      </c>
      <c r="G28" s="653">
        <v>14</v>
      </c>
    </row>
    <row r="29" spans="1:7" ht="14.25" customHeight="1">
      <c r="A29" s="651" t="s">
        <v>244</v>
      </c>
      <c r="B29" s="652">
        <v>21</v>
      </c>
      <c r="C29" s="535">
        <v>44021</v>
      </c>
      <c r="D29" s="655" t="s">
        <v>236</v>
      </c>
      <c r="E29" s="656">
        <v>2.3199999999999998</v>
      </c>
      <c r="F29" s="534" t="s">
        <v>237</v>
      </c>
      <c r="G29" s="653">
        <v>8</v>
      </c>
    </row>
    <row r="30" spans="1:7" ht="14.25" customHeight="1">
      <c r="A30" s="651" t="s">
        <v>245</v>
      </c>
      <c r="B30" s="652">
        <v>22</v>
      </c>
      <c r="C30" s="535">
        <v>44021</v>
      </c>
      <c r="D30" s="655" t="s">
        <v>236</v>
      </c>
      <c r="E30" s="656">
        <v>0.55000000000000004</v>
      </c>
      <c r="F30" s="534" t="s">
        <v>237</v>
      </c>
      <c r="G30" s="653">
        <v>6</v>
      </c>
    </row>
    <row r="31" spans="1:7" ht="14.25" customHeight="1">
      <c r="A31" s="651" t="s">
        <v>244</v>
      </c>
      <c r="B31" s="652">
        <v>23</v>
      </c>
      <c r="C31" s="535">
        <v>44022</v>
      </c>
      <c r="D31" s="655" t="s">
        <v>236</v>
      </c>
      <c r="E31" s="656">
        <v>4.8499999999999996</v>
      </c>
      <c r="F31" s="534" t="s">
        <v>237</v>
      </c>
      <c r="G31" s="653">
        <v>10</v>
      </c>
    </row>
    <row r="32" spans="1:7" ht="14.25" customHeight="1">
      <c r="A32" s="651" t="s">
        <v>245</v>
      </c>
      <c r="B32" s="652">
        <v>24</v>
      </c>
      <c r="C32" s="535">
        <v>44022</v>
      </c>
      <c r="D32" s="655" t="s">
        <v>236</v>
      </c>
      <c r="E32" s="656">
        <v>0.56000000000000005</v>
      </c>
      <c r="F32" s="534" t="s">
        <v>237</v>
      </c>
      <c r="G32" s="653">
        <v>8</v>
      </c>
    </row>
    <row r="33" spans="1:7" ht="14.25" customHeight="1">
      <c r="A33" s="651" t="s">
        <v>245</v>
      </c>
      <c r="B33" s="652">
        <v>25</v>
      </c>
      <c r="C33" s="535">
        <v>44023</v>
      </c>
      <c r="D33" s="655" t="s">
        <v>236</v>
      </c>
      <c r="E33" s="656">
        <v>0.61</v>
      </c>
      <c r="F33" s="534" t="s">
        <v>237</v>
      </c>
      <c r="G33" s="653">
        <v>10</v>
      </c>
    </row>
    <row r="34" spans="1:7" ht="14.25" customHeight="1">
      <c r="A34" s="651" t="s">
        <v>244</v>
      </c>
      <c r="B34" s="652">
        <v>26</v>
      </c>
      <c r="C34" s="535">
        <v>44025</v>
      </c>
      <c r="D34" s="655" t="s">
        <v>236</v>
      </c>
      <c r="E34" s="656">
        <v>5.6</v>
      </c>
      <c r="F34" s="534" t="s">
        <v>237</v>
      </c>
      <c r="G34" s="653">
        <v>12</v>
      </c>
    </row>
    <row r="35" spans="1:7" ht="14.25" customHeight="1">
      <c r="A35" s="651" t="s">
        <v>245</v>
      </c>
      <c r="B35" s="652">
        <v>27</v>
      </c>
      <c r="C35" s="535">
        <v>44025</v>
      </c>
      <c r="D35" s="655" t="s">
        <v>236</v>
      </c>
      <c r="E35" s="656">
        <v>0.67</v>
      </c>
      <c r="F35" s="534" t="s">
        <v>237</v>
      </c>
      <c r="G35" s="653">
        <v>12</v>
      </c>
    </row>
    <row r="36" spans="1:7" ht="14.25" customHeight="1">
      <c r="A36" s="651" t="s">
        <v>244</v>
      </c>
      <c r="B36" s="652">
        <v>28</v>
      </c>
      <c r="C36" s="535">
        <v>44026</v>
      </c>
      <c r="D36" s="655" t="s">
        <v>236</v>
      </c>
      <c r="E36" s="656">
        <v>3.75</v>
      </c>
      <c r="F36" s="534" t="s">
        <v>237</v>
      </c>
      <c r="G36" s="653">
        <v>14</v>
      </c>
    </row>
    <row r="37" spans="1:7" ht="14.25" customHeight="1">
      <c r="A37" s="651" t="s">
        <v>235</v>
      </c>
      <c r="B37" s="652">
        <v>29</v>
      </c>
      <c r="C37" s="535">
        <v>44025</v>
      </c>
      <c r="D37" s="655" t="s">
        <v>236</v>
      </c>
      <c r="E37" s="656">
        <v>3.2607669166882296</v>
      </c>
      <c r="F37" s="534" t="s">
        <v>237</v>
      </c>
      <c r="G37" s="653">
        <v>16</v>
      </c>
    </row>
    <row r="38" spans="1:7" ht="14.25" customHeight="1">
      <c r="A38" s="651" t="s">
        <v>245</v>
      </c>
      <c r="B38" s="652">
        <v>30</v>
      </c>
      <c r="C38" s="535">
        <v>44026</v>
      </c>
      <c r="D38" s="655" t="s">
        <v>236</v>
      </c>
      <c r="E38" s="656">
        <v>0.53</v>
      </c>
      <c r="F38" s="534" t="s">
        <v>237</v>
      </c>
      <c r="G38" s="653">
        <v>14</v>
      </c>
    </row>
    <row r="39" spans="1:7" ht="14.25" customHeight="1">
      <c r="A39" s="651" t="s">
        <v>235</v>
      </c>
      <c r="B39" s="652">
        <v>31</v>
      </c>
      <c r="C39" s="535">
        <v>44039</v>
      </c>
      <c r="D39" s="655" t="s">
        <v>236</v>
      </c>
      <c r="E39" s="656">
        <v>0.97413929167736746</v>
      </c>
      <c r="F39" s="534" t="s">
        <v>237</v>
      </c>
      <c r="G39" s="653">
        <v>18</v>
      </c>
    </row>
    <row r="40" spans="1:7" ht="14.25" customHeight="1">
      <c r="A40" s="651" t="s">
        <v>235</v>
      </c>
      <c r="B40" s="652">
        <v>32</v>
      </c>
      <c r="C40" s="535">
        <v>44041</v>
      </c>
      <c r="D40" s="655" t="s">
        <v>236</v>
      </c>
      <c r="E40" s="656">
        <v>0.72716369878340181</v>
      </c>
      <c r="F40" s="534" t="s">
        <v>237</v>
      </c>
      <c r="G40" s="653">
        <v>20</v>
      </c>
    </row>
    <row r="41" spans="1:7" ht="14.25" customHeight="1">
      <c r="A41" s="651" t="s">
        <v>235</v>
      </c>
      <c r="B41" s="652">
        <v>33</v>
      </c>
      <c r="C41" s="535">
        <v>44042</v>
      </c>
      <c r="D41" s="655" t="s">
        <v>236</v>
      </c>
      <c r="E41" s="656">
        <v>1.0994028736593646</v>
      </c>
      <c r="F41" s="534" t="s">
        <v>248</v>
      </c>
      <c r="G41" s="653">
        <v>23</v>
      </c>
    </row>
    <row r="42" spans="1:7" ht="14.25" customHeight="1">
      <c r="A42" s="651" t="s">
        <v>235</v>
      </c>
      <c r="B42" s="652">
        <v>34</v>
      </c>
      <c r="C42" s="535">
        <v>44043</v>
      </c>
      <c r="D42" s="655" t="s">
        <v>236</v>
      </c>
      <c r="E42" s="656">
        <v>1.0999705377366087</v>
      </c>
      <c r="F42" s="534" t="s">
        <v>249</v>
      </c>
      <c r="G42" s="653">
        <v>26</v>
      </c>
    </row>
    <row r="43" spans="1:7" ht="14.25" customHeight="1">
      <c r="A43" s="651" t="s">
        <v>240</v>
      </c>
      <c r="B43" s="652">
        <v>35</v>
      </c>
      <c r="C43" s="535">
        <v>44041</v>
      </c>
      <c r="D43" s="655" t="s">
        <v>239</v>
      </c>
      <c r="E43" s="656">
        <v>2.6843261206185931E-3</v>
      </c>
      <c r="F43" s="534" t="s">
        <v>241</v>
      </c>
      <c r="G43" s="653">
        <v>4</v>
      </c>
    </row>
    <row r="44" spans="1:7" ht="14.25" customHeight="1">
      <c r="A44" s="651" t="s">
        <v>238</v>
      </c>
      <c r="B44" s="652">
        <v>36</v>
      </c>
      <c r="C44" s="535">
        <v>44041</v>
      </c>
      <c r="D44" s="655" t="s">
        <v>239</v>
      </c>
      <c r="E44" s="656">
        <v>0.55070926200119596</v>
      </c>
      <c r="F44" s="534" t="s">
        <v>237</v>
      </c>
      <c r="G44" s="653">
        <v>10</v>
      </c>
    </row>
    <row r="45" spans="1:7" ht="14.25" customHeight="1">
      <c r="A45" s="651" t="s">
        <v>242</v>
      </c>
      <c r="B45" s="652">
        <v>37</v>
      </c>
      <c r="C45" s="535">
        <v>44041</v>
      </c>
      <c r="D45" s="655" t="s">
        <v>243</v>
      </c>
      <c r="E45" s="656">
        <v>2.703297743777398</v>
      </c>
      <c r="F45" s="534" t="s">
        <v>237</v>
      </c>
      <c r="G45" s="653">
        <v>8</v>
      </c>
    </row>
    <row r="46" spans="1:7" ht="14.25" customHeight="1">
      <c r="A46" s="651" t="s">
        <v>240</v>
      </c>
      <c r="B46" s="652">
        <v>38</v>
      </c>
      <c r="C46" s="535">
        <v>44042</v>
      </c>
      <c r="D46" s="655" t="s">
        <v>239</v>
      </c>
      <c r="E46" s="656">
        <v>2.9115096920951516E-3</v>
      </c>
      <c r="F46" s="534" t="s">
        <v>241</v>
      </c>
      <c r="G46" s="653">
        <v>6</v>
      </c>
    </row>
    <row r="47" spans="1:7" ht="14.25" customHeight="1">
      <c r="A47" s="651" t="s">
        <v>238</v>
      </c>
      <c r="B47" s="652">
        <v>39</v>
      </c>
      <c r="C47" s="535">
        <v>44042</v>
      </c>
      <c r="D47" s="655" t="s">
        <v>239</v>
      </c>
      <c r="E47" s="656">
        <v>0.40164341113017532</v>
      </c>
      <c r="F47" s="534" t="s">
        <v>250</v>
      </c>
      <c r="G47" s="653">
        <v>14</v>
      </c>
    </row>
    <row r="48" spans="1:7" ht="14.25" customHeight="1">
      <c r="A48" s="651" t="s">
        <v>251</v>
      </c>
      <c r="B48" s="652">
        <v>40</v>
      </c>
      <c r="C48" s="535">
        <v>44042</v>
      </c>
      <c r="D48" s="655" t="s">
        <v>243</v>
      </c>
      <c r="E48" s="656">
        <v>0.70372002846344284</v>
      </c>
      <c r="F48" s="534" t="s">
        <v>241</v>
      </c>
      <c r="G48" s="653">
        <v>2</v>
      </c>
    </row>
    <row r="49" spans="1:7" ht="14.25" customHeight="1">
      <c r="A49" s="651" t="s">
        <v>242</v>
      </c>
      <c r="B49" s="652">
        <v>41</v>
      </c>
      <c r="C49" s="535">
        <v>44042</v>
      </c>
      <c r="D49" s="655" t="s">
        <v>243</v>
      </c>
      <c r="E49" s="656">
        <v>3.527342393988941</v>
      </c>
      <c r="F49" s="534" t="s">
        <v>237</v>
      </c>
      <c r="G49" s="653">
        <v>10</v>
      </c>
    </row>
    <row r="50" spans="1:7" ht="14.25" customHeight="1">
      <c r="A50" s="651" t="s">
        <v>240</v>
      </c>
      <c r="B50" s="652">
        <v>42</v>
      </c>
      <c r="C50" s="535">
        <v>44043</v>
      </c>
      <c r="D50" s="655" t="s">
        <v>239</v>
      </c>
      <c r="E50" s="656">
        <v>4.4469639950471844E-3</v>
      </c>
      <c r="F50" s="534" t="s">
        <v>241</v>
      </c>
      <c r="G50" s="653">
        <v>8</v>
      </c>
    </row>
    <row r="51" spans="1:7" ht="14.25" customHeight="1">
      <c r="A51" s="651" t="s">
        <v>238</v>
      </c>
      <c r="B51" s="652">
        <v>43</v>
      </c>
      <c r="C51" s="535">
        <v>44043</v>
      </c>
      <c r="D51" s="655" t="s">
        <v>239</v>
      </c>
      <c r="E51" s="656">
        <v>0.54681819370628615</v>
      </c>
      <c r="F51" s="534" t="s">
        <v>250</v>
      </c>
      <c r="G51" s="653">
        <v>18</v>
      </c>
    </row>
    <row r="52" spans="1:7" ht="14.25" customHeight="1">
      <c r="A52" s="651" t="s">
        <v>251</v>
      </c>
      <c r="B52" s="652">
        <v>44</v>
      </c>
      <c r="C52" s="535">
        <v>44043</v>
      </c>
      <c r="D52" s="655" t="s">
        <v>243</v>
      </c>
      <c r="E52" s="656">
        <v>0.50598413843733492</v>
      </c>
      <c r="F52" s="534" t="s">
        <v>241</v>
      </c>
      <c r="G52" s="653">
        <v>4</v>
      </c>
    </row>
    <row r="53" spans="1:7" ht="14.25" customHeight="1">
      <c r="A53" s="651" t="s">
        <v>242</v>
      </c>
      <c r="B53" s="652">
        <v>45</v>
      </c>
      <c r="C53" s="535">
        <v>44043</v>
      </c>
      <c r="D53" s="655" t="s">
        <v>243</v>
      </c>
      <c r="E53" s="656">
        <v>3.7953297506686328</v>
      </c>
      <c r="F53" s="534" t="s">
        <v>237</v>
      </c>
      <c r="G53" s="653">
        <v>12</v>
      </c>
    </row>
    <row r="54" spans="1:7" ht="14.25" customHeight="1">
      <c r="A54" s="651" t="s">
        <v>244</v>
      </c>
      <c r="B54" s="652">
        <v>46</v>
      </c>
      <c r="C54" s="535">
        <v>44041</v>
      </c>
      <c r="D54" s="655" t="s">
        <v>236</v>
      </c>
      <c r="E54" s="656">
        <v>2.6</v>
      </c>
      <c r="F54" s="534" t="s">
        <v>237</v>
      </c>
      <c r="G54" s="653">
        <v>16</v>
      </c>
    </row>
    <row r="55" spans="1:7" ht="14.25" customHeight="1">
      <c r="A55" s="651" t="s">
        <v>245</v>
      </c>
      <c r="B55" s="652">
        <v>47</v>
      </c>
      <c r="C55" s="535">
        <v>44041</v>
      </c>
      <c r="D55" s="655" t="s">
        <v>236</v>
      </c>
      <c r="E55" s="656">
        <v>0.31900000000000001</v>
      </c>
      <c r="F55" s="534" t="s">
        <v>237</v>
      </c>
      <c r="G55" s="653">
        <v>16</v>
      </c>
    </row>
    <row r="56" spans="1:7" ht="14.25" customHeight="1">
      <c r="A56" s="651" t="s">
        <v>244</v>
      </c>
      <c r="B56" s="652">
        <v>48</v>
      </c>
      <c r="C56" s="535">
        <v>44042</v>
      </c>
      <c r="D56" s="655" t="s">
        <v>236</v>
      </c>
      <c r="E56" s="656">
        <v>3.21</v>
      </c>
      <c r="F56" s="534" t="s">
        <v>248</v>
      </c>
      <c r="G56" s="653">
        <v>19</v>
      </c>
    </row>
    <row r="57" spans="1:7" ht="14.25" customHeight="1">
      <c r="A57" s="651" t="s">
        <v>245</v>
      </c>
      <c r="B57" s="652">
        <v>49</v>
      </c>
      <c r="C57" s="535">
        <v>44042</v>
      </c>
      <c r="D57" s="655" t="s">
        <v>236</v>
      </c>
      <c r="E57" s="656">
        <v>0.24299999999999999</v>
      </c>
      <c r="F57" s="534" t="s">
        <v>248</v>
      </c>
      <c r="G57" s="653">
        <v>19</v>
      </c>
    </row>
    <row r="58" spans="1:7" ht="14.25" customHeight="1">
      <c r="A58" s="651" t="s">
        <v>244</v>
      </c>
      <c r="B58" s="652">
        <v>50</v>
      </c>
      <c r="C58" s="535">
        <v>44043</v>
      </c>
      <c r="D58" s="655" t="s">
        <v>236</v>
      </c>
      <c r="E58" s="656">
        <v>4.08</v>
      </c>
      <c r="F58" s="534" t="s">
        <v>249</v>
      </c>
      <c r="G58" s="653">
        <v>22</v>
      </c>
    </row>
    <row r="59" spans="1:7" ht="14.25" customHeight="1">
      <c r="A59" s="651" t="s">
        <v>245</v>
      </c>
      <c r="B59" s="652">
        <v>51</v>
      </c>
      <c r="C59" s="535">
        <v>44043</v>
      </c>
      <c r="D59" s="655" t="s">
        <v>236</v>
      </c>
      <c r="E59" s="656">
        <v>0.61099999999999999</v>
      </c>
      <c r="F59" s="534" t="s">
        <v>249</v>
      </c>
      <c r="G59" s="653">
        <v>22</v>
      </c>
    </row>
    <row r="60" spans="1:7" ht="14.25" customHeight="1">
      <c r="A60" s="651" t="s">
        <v>244</v>
      </c>
      <c r="B60" s="652">
        <v>52</v>
      </c>
      <c r="C60" s="535">
        <v>44046</v>
      </c>
      <c r="D60" s="655" t="s">
        <v>236</v>
      </c>
      <c r="E60" s="656">
        <v>3.35</v>
      </c>
      <c r="F60" s="534" t="s">
        <v>237</v>
      </c>
      <c r="G60" s="653">
        <v>24</v>
      </c>
    </row>
    <row r="61" spans="1:7" ht="14.25" customHeight="1">
      <c r="A61" s="651" t="s">
        <v>245</v>
      </c>
      <c r="B61" s="652">
        <v>53</v>
      </c>
      <c r="C61" s="535">
        <v>44046</v>
      </c>
      <c r="D61" s="655" t="s">
        <v>236</v>
      </c>
      <c r="E61" s="656">
        <v>0.44</v>
      </c>
      <c r="F61" s="534" t="s">
        <v>237</v>
      </c>
      <c r="G61" s="653">
        <v>24</v>
      </c>
    </row>
    <row r="62" spans="1:7" ht="14.25" customHeight="1">
      <c r="A62" s="651" t="s">
        <v>238</v>
      </c>
      <c r="B62" s="652">
        <v>54</v>
      </c>
      <c r="C62" s="535">
        <v>44046</v>
      </c>
      <c r="D62" s="655" t="s">
        <v>239</v>
      </c>
      <c r="E62" s="656">
        <v>0.60808243104481741</v>
      </c>
      <c r="F62" s="534" t="s">
        <v>237</v>
      </c>
      <c r="G62" s="653">
        <v>20</v>
      </c>
    </row>
    <row r="63" spans="1:7" ht="14.25" customHeight="1">
      <c r="A63" s="651" t="s">
        <v>235</v>
      </c>
      <c r="B63" s="652">
        <v>55</v>
      </c>
      <c r="C63" s="535">
        <v>44057</v>
      </c>
      <c r="D63" s="655" t="s">
        <v>236</v>
      </c>
      <c r="E63" s="656">
        <v>2.854380904572813</v>
      </c>
      <c r="F63" s="534" t="s">
        <v>250</v>
      </c>
      <c r="G63" s="653">
        <v>30</v>
      </c>
    </row>
    <row r="64" spans="1:7" ht="14.25" customHeight="1">
      <c r="A64" s="651" t="s">
        <v>244</v>
      </c>
      <c r="B64" s="652">
        <v>56</v>
      </c>
      <c r="C64" s="535">
        <v>44057</v>
      </c>
      <c r="D64" s="655" t="s">
        <v>236</v>
      </c>
      <c r="E64" s="656">
        <v>5.16</v>
      </c>
      <c r="F64" s="534" t="s">
        <v>250</v>
      </c>
      <c r="G64" s="653">
        <v>28</v>
      </c>
    </row>
    <row r="65" spans="1:7" ht="14.25" customHeight="1">
      <c r="A65" s="651" t="s">
        <v>245</v>
      </c>
      <c r="B65" s="652">
        <v>57</v>
      </c>
      <c r="C65" s="535">
        <v>44057</v>
      </c>
      <c r="D65" s="655" t="s">
        <v>236</v>
      </c>
      <c r="E65" s="656">
        <v>2.06</v>
      </c>
      <c r="F65" s="534" t="s">
        <v>250</v>
      </c>
      <c r="G65" s="653">
        <v>28</v>
      </c>
    </row>
    <row r="66" spans="1:7" ht="14.25" customHeight="1">
      <c r="A66" s="651" t="s">
        <v>110</v>
      </c>
      <c r="B66" s="652">
        <v>58</v>
      </c>
      <c r="C66" s="535" t="s">
        <v>334</v>
      </c>
      <c r="D66" s="655" t="s">
        <v>335</v>
      </c>
      <c r="E66" s="656">
        <v>0.38195510546671452</v>
      </c>
      <c r="F66" s="534" t="s">
        <v>237</v>
      </c>
      <c r="G66" s="653">
        <v>2</v>
      </c>
    </row>
    <row r="67" spans="1:7" ht="14.25" customHeight="1">
      <c r="A67" s="651" t="s">
        <v>235</v>
      </c>
      <c r="B67" s="652">
        <v>59</v>
      </c>
      <c r="C67" s="535">
        <v>44060</v>
      </c>
      <c r="D67" s="655" t="s">
        <v>236</v>
      </c>
      <c r="E67" s="656">
        <v>3.9877592062911527</v>
      </c>
      <c r="F67" s="534" t="s">
        <v>249</v>
      </c>
      <c r="G67" s="653">
        <v>33</v>
      </c>
    </row>
    <row r="68" spans="1:7" ht="14.25" customHeight="1">
      <c r="A68" s="651" t="s">
        <v>244</v>
      </c>
      <c r="B68" s="652">
        <v>60</v>
      </c>
      <c r="C68" s="535">
        <v>44060</v>
      </c>
      <c r="D68" s="655" t="s">
        <v>236</v>
      </c>
      <c r="E68" s="656">
        <v>5.42</v>
      </c>
      <c r="F68" s="534" t="s">
        <v>249</v>
      </c>
      <c r="G68" s="653">
        <v>31</v>
      </c>
    </row>
    <row r="69" spans="1:7" ht="14.25" customHeight="1">
      <c r="A69" s="651" t="s">
        <v>245</v>
      </c>
      <c r="B69" s="652">
        <v>61</v>
      </c>
      <c r="C69" s="535">
        <v>44060</v>
      </c>
      <c r="D69" s="655" t="s">
        <v>236</v>
      </c>
      <c r="E69" s="656">
        <v>0.68</v>
      </c>
      <c r="F69" s="534" t="s">
        <v>249</v>
      </c>
      <c r="G69" s="653">
        <v>31</v>
      </c>
    </row>
    <row r="70" spans="1:7" ht="14.25" customHeight="1">
      <c r="A70" s="651" t="s">
        <v>110</v>
      </c>
      <c r="B70" s="652">
        <v>62</v>
      </c>
      <c r="C70" s="535">
        <v>44060</v>
      </c>
      <c r="D70" s="655" t="s">
        <v>335</v>
      </c>
      <c r="E70" s="656">
        <v>0.66040757306299658</v>
      </c>
      <c r="F70" s="534" t="s">
        <v>336</v>
      </c>
      <c r="G70" s="653">
        <v>4</v>
      </c>
    </row>
    <row r="71" spans="1:7" ht="14.25" customHeight="1">
      <c r="A71" s="651" t="s">
        <v>110</v>
      </c>
      <c r="B71" s="652">
        <v>63</v>
      </c>
      <c r="C71" s="535">
        <v>44061</v>
      </c>
      <c r="D71" s="655" t="s">
        <v>335</v>
      </c>
      <c r="E71" s="656">
        <v>8.4315267929227278E-2</v>
      </c>
      <c r="F71" s="534" t="s">
        <v>337</v>
      </c>
      <c r="G71" s="653">
        <v>5</v>
      </c>
    </row>
    <row r="72" spans="1:7" ht="14.25" customHeight="1">
      <c r="A72" s="651" t="s">
        <v>244</v>
      </c>
      <c r="B72" s="652">
        <v>64</v>
      </c>
      <c r="C72" s="535">
        <v>44061</v>
      </c>
      <c r="D72" s="655" t="s">
        <v>236</v>
      </c>
      <c r="E72" s="656">
        <v>6.07</v>
      </c>
      <c r="F72" s="534" t="s">
        <v>338</v>
      </c>
      <c r="G72" s="653">
        <v>35</v>
      </c>
    </row>
    <row r="73" spans="1:7" ht="14.25" customHeight="1">
      <c r="A73" s="651" t="s">
        <v>245</v>
      </c>
      <c r="B73" s="652">
        <v>65</v>
      </c>
      <c r="C73" s="535">
        <v>44061</v>
      </c>
      <c r="D73" s="655" t="s">
        <v>236</v>
      </c>
      <c r="E73" s="656">
        <v>1.0900000000000001</v>
      </c>
      <c r="F73" s="534" t="s">
        <v>338</v>
      </c>
      <c r="G73" s="653">
        <v>35</v>
      </c>
    </row>
    <row r="74" spans="1:7" ht="14.25" customHeight="1">
      <c r="A74" s="651" t="s">
        <v>240</v>
      </c>
      <c r="B74" s="652">
        <v>66</v>
      </c>
      <c r="C74" s="535">
        <v>44057</v>
      </c>
      <c r="D74" s="655" t="s">
        <v>239</v>
      </c>
      <c r="E74" s="656">
        <v>3.5143935297968199E-3</v>
      </c>
      <c r="F74" s="534" t="s">
        <v>336</v>
      </c>
      <c r="G74" s="653">
        <v>12</v>
      </c>
    </row>
    <row r="75" spans="1:7" ht="14.25" customHeight="1">
      <c r="A75" s="651" t="s">
        <v>238</v>
      </c>
      <c r="B75" s="652">
        <v>67</v>
      </c>
      <c r="C75" s="535">
        <v>44057</v>
      </c>
      <c r="D75" s="655" t="s">
        <v>239</v>
      </c>
      <c r="E75" s="656">
        <v>0.48305746408342076</v>
      </c>
      <c r="F75" s="534" t="s">
        <v>250</v>
      </c>
      <c r="G75" s="653">
        <v>24</v>
      </c>
    </row>
    <row r="76" spans="1:7" ht="14.25" customHeight="1">
      <c r="A76" s="651" t="s">
        <v>251</v>
      </c>
      <c r="B76" s="652">
        <v>68</v>
      </c>
      <c r="C76" s="535">
        <v>44057</v>
      </c>
      <c r="D76" s="655" t="s">
        <v>243</v>
      </c>
      <c r="E76" s="656">
        <v>0.3403662971957826</v>
      </c>
      <c r="F76" s="534" t="s">
        <v>336</v>
      </c>
      <c r="G76" s="653">
        <v>8</v>
      </c>
    </row>
    <row r="77" spans="1:7" ht="14.25" customHeight="1">
      <c r="A77" s="651" t="s">
        <v>242</v>
      </c>
      <c r="B77" s="652">
        <v>69</v>
      </c>
      <c r="C77" s="535">
        <v>44057</v>
      </c>
      <c r="D77" s="655" t="s">
        <v>243</v>
      </c>
      <c r="E77" s="656">
        <v>3.532358817103546</v>
      </c>
      <c r="F77" s="534" t="s">
        <v>250</v>
      </c>
      <c r="G77" s="653">
        <v>16</v>
      </c>
    </row>
    <row r="78" spans="1:7" ht="14.25" customHeight="1">
      <c r="A78" s="651" t="s">
        <v>240</v>
      </c>
      <c r="B78" s="652">
        <v>70</v>
      </c>
      <c r="C78" s="535">
        <v>44060</v>
      </c>
      <c r="D78" s="655" t="s">
        <v>239</v>
      </c>
      <c r="E78" s="656">
        <v>8.1305630342868723E-3</v>
      </c>
      <c r="F78" s="534" t="s">
        <v>336</v>
      </c>
      <c r="G78" s="653">
        <v>16</v>
      </c>
    </row>
    <row r="79" spans="1:7" ht="14.25" customHeight="1">
      <c r="A79" s="651" t="s">
        <v>238</v>
      </c>
      <c r="B79" s="652">
        <v>71</v>
      </c>
      <c r="C79" s="535">
        <v>44060</v>
      </c>
      <c r="D79" s="655" t="s">
        <v>239</v>
      </c>
      <c r="E79" s="656">
        <v>0.62492629135757327</v>
      </c>
      <c r="F79" s="534" t="s">
        <v>338</v>
      </c>
      <c r="G79" s="653">
        <v>28</v>
      </c>
    </row>
    <row r="80" spans="1:7" ht="14.25" customHeight="1">
      <c r="A80" s="651" t="s">
        <v>251</v>
      </c>
      <c r="B80" s="652">
        <v>72</v>
      </c>
      <c r="C80" s="535">
        <v>44060</v>
      </c>
      <c r="D80" s="655" t="s">
        <v>243</v>
      </c>
      <c r="E80" s="656">
        <v>0.59533208561115791</v>
      </c>
      <c r="F80" s="534" t="s">
        <v>336</v>
      </c>
      <c r="G80" s="653">
        <v>12</v>
      </c>
    </row>
    <row r="81" spans="1:7" ht="14.25" customHeight="1">
      <c r="A81" s="651" t="s">
        <v>242</v>
      </c>
      <c r="B81" s="652">
        <v>73</v>
      </c>
      <c r="C81" s="535">
        <v>44060</v>
      </c>
      <c r="D81" s="655" t="s">
        <v>243</v>
      </c>
      <c r="E81" s="656">
        <v>3.6070562349959765</v>
      </c>
      <c r="F81" s="534" t="s">
        <v>338</v>
      </c>
      <c r="G81" s="653">
        <v>20</v>
      </c>
    </row>
    <row r="82" spans="1:7" ht="14.25" customHeight="1">
      <c r="A82" s="651" t="s">
        <v>240</v>
      </c>
      <c r="B82" s="652">
        <v>74</v>
      </c>
      <c r="C82" s="535">
        <v>44061</v>
      </c>
      <c r="D82" s="655" t="s">
        <v>239</v>
      </c>
      <c r="E82" s="656">
        <v>-1.1943753209084676E-2</v>
      </c>
      <c r="F82" s="534" t="s">
        <v>336</v>
      </c>
      <c r="G82" s="653">
        <v>20</v>
      </c>
    </row>
    <row r="83" spans="1:7" ht="14.25" customHeight="1">
      <c r="A83" s="651" t="s">
        <v>238</v>
      </c>
      <c r="B83" s="652">
        <v>75</v>
      </c>
      <c r="C83" s="535">
        <v>44061</v>
      </c>
      <c r="D83" s="655" t="s">
        <v>239</v>
      </c>
      <c r="E83" s="656">
        <v>0.87264148782305384</v>
      </c>
      <c r="F83" s="534" t="s">
        <v>338</v>
      </c>
      <c r="G83" s="653">
        <v>32</v>
      </c>
    </row>
    <row r="84" spans="1:7" ht="14.25" customHeight="1">
      <c r="A84" s="651" t="s">
        <v>251</v>
      </c>
      <c r="B84" s="652">
        <v>76</v>
      </c>
      <c r="C84" s="535">
        <v>44061</v>
      </c>
      <c r="D84" s="655" t="s">
        <v>243</v>
      </c>
      <c r="E84" s="656">
        <v>0.81466310967002842</v>
      </c>
      <c r="F84" s="534" t="s">
        <v>336</v>
      </c>
      <c r="G84" s="653">
        <v>16</v>
      </c>
    </row>
    <row r="85" spans="1:7" ht="14.25" customHeight="1">
      <c r="A85" s="651" t="s">
        <v>242</v>
      </c>
      <c r="B85" s="652">
        <v>77</v>
      </c>
      <c r="C85" s="535">
        <v>44061</v>
      </c>
      <c r="D85" s="655" t="s">
        <v>243</v>
      </c>
      <c r="E85" s="656">
        <v>3.7440282784266508</v>
      </c>
      <c r="F85" s="534" t="s">
        <v>338</v>
      </c>
      <c r="G85" s="653">
        <v>24</v>
      </c>
    </row>
    <row r="86" spans="1:7" ht="14.25" customHeight="1">
      <c r="A86" s="651" t="s">
        <v>240</v>
      </c>
      <c r="B86" s="652">
        <v>78</v>
      </c>
      <c r="C86" s="535">
        <v>44062</v>
      </c>
      <c r="D86" s="655" t="s">
        <v>239</v>
      </c>
      <c r="E86" s="656">
        <v>-2.1560799552101249E-2</v>
      </c>
      <c r="F86" s="534" t="s">
        <v>336</v>
      </c>
      <c r="G86" s="653">
        <v>24</v>
      </c>
    </row>
    <row r="87" spans="1:7" ht="14.25" customHeight="1">
      <c r="A87" s="651" t="s">
        <v>238</v>
      </c>
      <c r="B87" s="652">
        <v>79</v>
      </c>
      <c r="C87" s="535">
        <v>44062</v>
      </c>
      <c r="D87" s="655" t="s">
        <v>239</v>
      </c>
      <c r="E87" s="656">
        <v>0.67758894843754369</v>
      </c>
      <c r="F87" s="534" t="s">
        <v>250</v>
      </c>
      <c r="G87" s="653">
        <v>36</v>
      </c>
    </row>
    <row r="88" spans="1:7" ht="14.25" customHeight="1">
      <c r="A88" s="651" t="s">
        <v>251</v>
      </c>
      <c r="B88" s="652">
        <v>80</v>
      </c>
      <c r="C88" s="535">
        <v>44062</v>
      </c>
      <c r="D88" s="655" t="s">
        <v>243</v>
      </c>
      <c r="E88" s="656">
        <v>0.74744128225655659</v>
      </c>
      <c r="F88" s="534" t="s">
        <v>336</v>
      </c>
      <c r="G88" s="653">
        <v>20</v>
      </c>
    </row>
    <row r="89" spans="1:7" ht="14.25" customHeight="1">
      <c r="A89" s="651" t="s">
        <v>242</v>
      </c>
      <c r="B89" s="652">
        <v>81</v>
      </c>
      <c r="C89" s="535">
        <v>44062</v>
      </c>
      <c r="D89" s="655" t="s">
        <v>243</v>
      </c>
      <c r="E89" s="656">
        <v>3.8289650431384628</v>
      </c>
      <c r="F89" s="534" t="s">
        <v>250</v>
      </c>
      <c r="G89" s="653">
        <v>28</v>
      </c>
    </row>
    <row r="90" spans="1:7" ht="14.25" customHeight="1">
      <c r="A90" s="651" t="s">
        <v>110</v>
      </c>
      <c r="B90" s="652">
        <v>82</v>
      </c>
      <c r="C90" s="535">
        <v>44062</v>
      </c>
      <c r="D90" s="655" t="s">
        <v>335</v>
      </c>
      <c r="E90" s="656">
        <v>0.30467900223224464</v>
      </c>
      <c r="F90" s="534" t="s">
        <v>237</v>
      </c>
      <c r="G90" s="653">
        <v>7</v>
      </c>
    </row>
    <row r="91" spans="1:7" ht="14.25" customHeight="1">
      <c r="A91" s="651" t="s">
        <v>235</v>
      </c>
      <c r="B91" s="652">
        <v>83</v>
      </c>
      <c r="C91" s="535">
        <v>44061</v>
      </c>
      <c r="D91" s="655" t="s">
        <v>236</v>
      </c>
      <c r="E91" s="656">
        <v>8.0637723870852867</v>
      </c>
      <c r="F91" s="534" t="s">
        <v>338</v>
      </c>
      <c r="G91" s="653">
        <v>37</v>
      </c>
    </row>
    <row r="92" spans="1:7" ht="14.25" customHeight="1">
      <c r="A92" s="651" t="s">
        <v>235</v>
      </c>
      <c r="B92" s="652">
        <v>84</v>
      </c>
      <c r="C92" s="535">
        <v>44062</v>
      </c>
      <c r="D92" s="655" t="s">
        <v>236</v>
      </c>
      <c r="E92" s="656">
        <v>4.6379533259022585</v>
      </c>
      <c r="F92" s="534" t="s">
        <v>237</v>
      </c>
      <c r="G92" s="653">
        <v>39</v>
      </c>
    </row>
    <row r="93" spans="1:7" ht="14.25" customHeight="1">
      <c r="A93" s="651" t="s">
        <v>244</v>
      </c>
      <c r="B93" s="652">
        <v>85</v>
      </c>
      <c r="C93" s="535">
        <v>44062</v>
      </c>
      <c r="D93" s="655" t="s">
        <v>236</v>
      </c>
      <c r="E93" s="656">
        <v>6.44</v>
      </c>
      <c r="F93" s="534" t="s">
        <v>237</v>
      </c>
      <c r="G93" s="653">
        <v>37</v>
      </c>
    </row>
    <row r="94" spans="1:7" ht="14.25" customHeight="1">
      <c r="A94" s="651" t="s">
        <v>245</v>
      </c>
      <c r="B94" s="652">
        <v>86</v>
      </c>
      <c r="C94" s="535">
        <v>44062</v>
      </c>
      <c r="D94" s="655" t="s">
        <v>236</v>
      </c>
      <c r="E94" s="656">
        <v>0.83</v>
      </c>
      <c r="F94" s="534" t="s">
        <v>237</v>
      </c>
      <c r="G94" s="653">
        <v>37</v>
      </c>
    </row>
    <row r="95" spans="1:7" ht="14.25" customHeight="1">
      <c r="A95" s="651" t="s">
        <v>235</v>
      </c>
      <c r="B95" s="652">
        <v>87</v>
      </c>
      <c r="C95" s="535">
        <v>44064</v>
      </c>
      <c r="D95" s="655" t="s">
        <v>236</v>
      </c>
      <c r="E95" s="656">
        <v>4.2462326480807189</v>
      </c>
      <c r="F95" s="534" t="s">
        <v>237</v>
      </c>
      <c r="G95" s="653">
        <v>41</v>
      </c>
    </row>
    <row r="96" spans="1:7" ht="14.25" customHeight="1">
      <c r="A96" s="651" t="s">
        <v>110</v>
      </c>
      <c r="B96" s="652">
        <v>88</v>
      </c>
      <c r="C96" s="535">
        <v>44063</v>
      </c>
      <c r="D96" s="655" t="s">
        <v>335</v>
      </c>
      <c r="E96" s="656">
        <v>0.25115609125783694</v>
      </c>
      <c r="F96" s="534" t="s">
        <v>237</v>
      </c>
      <c r="G96" s="653">
        <v>9</v>
      </c>
    </row>
    <row r="97" spans="1:7" ht="14.25" customHeight="1">
      <c r="A97" s="651" t="s">
        <v>240</v>
      </c>
      <c r="B97" s="652">
        <v>89</v>
      </c>
      <c r="C97" s="535">
        <v>44064</v>
      </c>
      <c r="D97" s="655" t="s">
        <v>239</v>
      </c>
      <c r="E97" s="656">
        <v>1.6726649026147327E-2</v>
      </c>
      <c r="F97" s="534" t="s">
        <v>241</v>
      </c>
      <c r="G97" s="653">
        <v>26</v>
      </c>
    </row>
    <row r="98" spans="1:7" ht="14.25" customHeight="1">
      <c r="A98" s="651" t="s">
        <v>238</v>
      </c>
      <c r="B98" s="652">
        <v>90</v>
      </c>
      <c r="C98" s="535">
        <v>44064</v>
      </c>
      <c r="D98" s="655" t="s">
        <v>239</v>
      </c>
      <c r="E98" s="656">
        <v>0.38677621589732009</v>
      </c>
      <c r="F98" s="534" t="s">
        <v>250</v>
      </c>
      <c r="G98" s="653">
        <v>40</v>
      </c>
    </row>
    <row r="99" spans="1:7" ht="14.25" customHeight="1">
      <c r="A99" s="651" t="s">
        <v>251</v>
      </c>
      <c r="B99" s="652">
        <v>91</v>
      </c>
      <c r="C99" s="535">
        <v>44064</v>
      </c>
      <c r="D99" s="655" t="s">
        <v>243</v>
      </c>
      <c r="E99" s="656">
        <v>0.36444113687432766</v>
      </c>
      <c r="F99" s="534" t="s">
        <v>241</v>
      </c>
      <c r="G99" s="653">
        <v>22</v>
      </c>
    </row>
    <row r="100" spans="1:7" ht="14.25" customHeight="1">
      <c r="A100" s="651" t="s">
        <v>242</v>
      </c>
      <c r="B100" s="652">
        <v>92</v>
      </c>
      <c r="C100" s="535">
        <v>44064</v>
      </c>
      <c r="D100" s="655" t="s">
        <v>243</v>
      </c>
      <c r="E100" s="656">
        <v>5.3244683282538627</v>
      </c>
      <c r="F100" s="534" t="s">
        <v>237</v>
      </c>
      <c r="G100" s="653">
        <v>30</v>
      </c>
    </row>
    <row r="101" spans="1:7" ht="14.25" customHeight="1">
      <c r="A101" s="651" t="s">
        <v>244</v>
      </c>
      <c r="B101" s="652">
        <v>93</v>
      </c>
      <c r="C101" s="535">
        <v>44064</v>
      </c>
      <c r="D101" s="655" t="s">
        <v>236</v>
      </c>
      <c r="E101" s="656">
        <v>7.49</v>
      </c>
      <c r="F101" s="534" t="s">
        <v>237</v>
      </c>
      <c r="G101" s="653">
        <v>39</v>
      </c>
    </row>
    <row r="102" spans="1:7" ht="14.25" customHeight="1">
      <c r="A102" s="651" t="s">
        <v>245</v>
      </c>
      <c r="B102" s="652">
        <v>94</v>
      </c>
      <c r="C102" s="535">
        <v>44064</v>
      </c>
      <c r="D102" s="655" t="s">
        <v>236</v>
      </c>
      <c r="E102" s="656">
        <v>1.2</v>
      </c>
      <c r="F102" s="534" t="s">
        <v>237</v>
      </c>
      <c r="G102" s="653">
        <v>39</v>
      </c>
    </row>
    <row r="103" spans="1:7" ht="14.25" customHeight="1">
      <c r="A103" s="651" t="s">
        <v>339</v>
      </c>
      <c r="B103" s="652">
        <v>95</v>
      </c>
      <c r="C103" s="535">
        <v>44060</v>
      </c>
      <c r="D103" s="655" t="s">
        <v>335</v>
      </c>
      <c r="E103" s="656">
        <v>2.2200000000000002</v>
      </c>
      <c r="F103" s="534" t="s">
        <v>340</v>
      </c>
      <c r="G103" s="653">
        <v>4</v>
      </c>
    </row>
    <row r="104" spans="1:7" ht="14.25" customHeight="1">
      <c r="A104" s="651" t="s">
        <v>341</v>
      </c>
      <c r="B104" s="652">
        <v>96</v>
      </c>
      <c r="C104" s="535">
        <v>44060</v>
      </c>
      <c r="D104" s="655" t="s">
        <v>335</v>
      </c>
      <c r="E104" s="656">
        <v>5.3</v>
      </c>
      <c r="F104" s="534" t="s">
        <v>340</v>
      </c>
      <c r="G104" s="653">
        <v>4</v>
      </c>
    </row>
    <row r="105" spans="1:7" ht="14.25" customHeight="1">
      <c r="A105" s="651" t="s">
        <v>339</v>
      </c>
      <c r="B105" s="652">
        <v>97</v>
      </c>
      <c r="C105" s="535">
        <v>44061</v>
      </c>
      <c r="D105" s="655" t="s">
        <v>335</v>
      </c>
      <c r="E105" s="656">
        <v>1.78</v>
      </c>
      <c r="F105" s="534" t="s">
        <v>340</v>
      </c>
      <c r="G105" s="653">
        <v>8</v>
      </c>
    </row>
    <row r="106" spans="1:7" ht="14.25" customHeight="1">
      <c r="A106" s="651" t="s">
        <v>341</v>
      </c>
      <c r="B106" s="652">
        <v>98</v>
      </c>
      <c r="C106" s="535">
        <v>44061</v>
      </c>
      <c r="D106" s="655" t="s">
        <v>335</v>
      </c>
      <c r="E106" s="656">
        <v>2.29</v>
      </c>
      <c r="F106" s="534" t="s">
        <v>340</v>
      </c>
      <c r="G106" s="653">
        <v>8</v>
      </c>
    </row>
    <row r="107" spans="1:7" ht="14.25" customHeight="1">
      <c r="A107" s="651" t="s">
        <v>342</v>
      </c>
      <c r="B107" s="652">
        <v>99</v>
      </c>
      <c r="C107" s="535">
        <v>44060</v>
      </c>
      <c r="D107" s="655" t="s">
        <v>335</v>
      </c>
      <c r="E107" s="656">
        <v>-17.089616186330144</v>
      </c>
      <c r="F107" s="534" t="s">
        <v>340</v>
      </c>
      <c r="G107" s="653">
        <v>4</v>
      </c>
    </row>
    <row r="108" spans="1:7" ht="14.25" customHeight="1">
      <c r="A108" s="651" t="s">
        <v>342</v>
      </c>
      <c r="B108" s="652">
        <v>100</v>
      </c>
      <c r="C108" s="535">
        <v>44061</v>
      </c>
      <c r="D108" s="655" t="s">
        <v>335</v>
      </c>
      <c r="E108" s="656">
        <v>29.720372228383138</v>
      </c>
      <c r="F108" s="534" t="s">
        <v>340</v>
      </c>
      <c r="G108" s="653">
        <v>8</v>
      </c>
    </row>
    <row r="109" spans="1:7" ht="14.25" customHeight="1">
      <c r="A109" s="651" t="s">
        <v>342</v>
      </c>
      <c r="B109" s="652">
        <v>101</v>
      </c>
      <c r="C109" s="535">
        <v>44062</v>
      </c>
      <c r="D109" s="655" t="s">
        <v>335</v>
      </c>
      <c r="E109" s="656">
        <v>10.760503335870698</v>
      </c>
      <c r="F109" s="534" t="s">
        <v>340</v>
      </c>
      <c r="G109" s="653">
        <v>12</v>
      </c>
    </row>
    <row r="110" spans="1:7" ht="14.25" customHeight="1">
      <c r="A110" s="651" t="s">
        <v>343</v>
      </c>
      <c r="B110" s="652">
        <v>102</v>
      </c>
      <c r="C110" s="535">
        <v>44063</v>
      </c>
      <c r="D110" s="655" t="s">
        <v>335</v>
      </c>
      <c r="E110" s="656">
        <v>14.91623568930865</v>
      </c>
      <c r="F110" s="534" t="s">
        <v>340</v>
      </c>
      <c r="G110" s="653">
        <v>16</v>
      </c>
    </row>
    <row r="111" spans="1:7" ht="14.25" customHeight="1">
      <c r="A111" s="651" t="s">
        <v>339</v>
      </c>
      <c r="B111" s="652">
        <v>103</v>
      </c>
      <c r="C111" s="535">
        <v>44062</v>
      </c>
      <c r="D111" s="655" t="s">
        <v>335</v>
      </c>
      <c r="E111" s="656">
        <v>1.84</v>
      </c>
      <c r="F111" s="534" t="s">
        <v>340</v>
      </c>
      <c r="G111" s="653">
        <v>12</v>
      </c>
    </row>
    <row r="112" spans="1:7" ht="14.25" customHeight="1">
      <c r="A112" s="651" t="s">
        <v>341</v>
      </c>
      <c r="B112" s="652">
        <v>104</v>
      </c>
      <c r="C112" s="535">
        <v>44062</v>
      </c>
      <c r="D112" s="655" t="s">
        <v>335</v>
      </c>
      <c r="E112" s="656">
        <v>5.89</v>
      </c>
      <c r="F112" s="534" t="s">
        <v>340</v>
      </c>
      <c r="G112" s="653">
        <v>12</v>
      </c>
    </row>
    <row r="113" spans="1:7" ht="14.25" customHeight="1">
      <c r="A113" s="651" t="s">
        <v>339</v>
      </c>
      <c r="B113" s="652">
        <v>105</v>
      </c>
      <c r="C113" s="535">
        <v>44063</v>
      </c>
      <c r="D113" s="655" t="s">
        <v>335</v>
      </c>
      <c r="E113" s="656">
        <v>2.34</v>
      </c>
      <c r="F113" s="534" t="s">
        <v>340</v>
      </c>
      <c r="G113" s="653">
        <v>16</v>
      </c>
    </row>
    <row r="114" spans="1:7" ht="14.25" customHeight="1">
      <c r="A114" s="651" t="s">
        <v>341</v>
      </c>
      <c r="B114" s="652">
        <v>106</v>
      </c>
      <c r="C114" s="535">
        <v>44063</v>
      </c>
      <c r="D114" s="655" t="s">
        <v>335</v>
      </c>
      <c r="E114" s="656">
        <v>4.78</v>
      </c>
      <c r="F114" s="534" t="s">
        <v>340</v>
      </c>
      <c r="G114" s="653">
        <v>16</v>
      </c>
    </row>
    <row r="115" spans="1:7" ht="14.25" customHeight="1">
      <c r="A115" s="651" t="s">
        <v>244</v>
      </c>
      <c r="B115" s="652">
        <v>107</v>
      </c>
      <c r="C115" s="535">
        <v>44070</v>
      </c>
      <c r="D115" s="655" t="s">
        <v>236</v>
      </c>
      <c r="E115" s="656">
        <v>7.12</v>
      </c>
      <c r="F115" s="534" t="s">
        <v>237</v>
      </c>
      <c r="G115" s="653">
        <v>41</v>
      </c>
    </row>
    <row r="116" spans="1:7" ht="14.25" customHeight="1">
      <c r="A116" s="651" t="s">
        <v>245</v>
      </c>
      <c r="B116" s="652">
        <v>108</v>
      </c>
      <c r="C116" s="535">
        <v>44070</v>
      </c>
      <c r="D116" s="655" t="s">
        <v>236</v>
      </c>
      <c r="E116" s="656">
        <v>0.84</v>
      </c>
      <c r="F116" s="534" t="s">
        <v>237</v>
      </c>
      <c r="G116" s="653">
        <v>41</v>
      </c>
    </row>
    <row r="117" spans="1:7" ht="14.25" customHeight="1">
      <c r="A117" s="651" t="s">
        <v>240</v>
      </c>
      <c r="B117" s="652">
        <v>109</v>
      </c>
      <c r="C117" s="535">
        <v>44070</v>
      </c>
      <c r="D117" s="655" t="s">
        <v>239</v>
      </c>
      <c r="E117" s="656">
        <v>2.3829604028014376E-2</v>
      </c>
      <c r="F117" s="534" t="s">
        <v>344</v>
      </c>
      <c r="G117" s="653">
        <v>29</v>
      </c>
    </row>
    <row r="118" spans="1:7" ht="14.25" customHeight="1">
      <c r="A118" s="651" t="s">
        <v>251</v>
      </c>
      <c r="B118" s="652">
        <v>110</v>
      </c>
      <c r="C118" s="535">
        <v>44070</v>
      </c>
      <c r="D118" s="655" t="s">
        <v>243</v>
      </c>
      <c r="E118" s="656">
        <v>0.36444113687432766</v>
      </c>
      <c r="F118" s="534" t="s">
        <v>241</v>
      </c>
      <c r="G118" s="653">
        <v>24</v>
      </c>
    </row>
    <row r="119" spans="1:7" ht="14.25" customHeight="1">
      <c r="A119" s="651" t="s">
        <v>242</v>
      </c>
      <c r="B119" s="652">
        <v>111</v>
      </c>
      <c r="C119" s="535">
        <v>44070</v>
      </c>
      <c r="D119" s="655" t="s">
        <v>243</v>
      </c>
      <c r="E119" s="656">
        <v>3.6722575752587105</v>
      </c>
      <c r="F119" s="534" t="s">
        <v>249</v>
      </c>
      <c r="G119" s="653">
        <v>33</v>
      </c>
    </row>
    <row r="120" spans="1:7" ht="14.25" customHeight="1">
      <c r="A120" s="651" t="s">
        <v>235</v>
      </c>
      <c r="B120" s="652">
        <v>112</v>
      </c>
      <c r="C120" s="535">
        <v>44070</v>
      </c>
      <c r="D120" s="655" t="s">
        <v>236</v>
      </c>
      <c r="E120" s="656">
        <v>0.62922827592359865</v>
      </c>
      <c r="F120" s="534" t="s">
        <v>237</v>
      </c>
      <c r="G120" s="653">
        <v>43</v>
      </c>
    </row>
    <row r="121" spans="1:7" ht="14.25" customHeight="1">
      <c r="A121" s="651" t="s">
        <v>235</v>
      </c>
      <c r="B121" s="652">
        <v>113</v>
      </c>
      <c r="C121" s="535">
        <v>44079</v>
      </c>
      <c r="D121" s="655" t="s">
        <v>236</v>
      </c>
      <c r="E121" s="656">
        <v>4.0996693379037161</v>
      </c>
      <c r="F121" s="534" t="s">
        <v>249</v>
      </c>
      <c r="G121" s="653">
        <v>47</v>
      </c>
    </row>
    <row r="122" spans="1:7" ht="14.25" customHeight="1">
      <c r="A122" s="651" t="s">
        <v>235</v>
      </c>
      <c r="B122" s="652">
        <v>114</v>
      </c>
      <c r="C122" s="535">
        <v>44080</v>
      </c>
      <c r="D122" s="655" t="s">
        <v>236</v>
      </c>
      <c r="E122" s="656">
        <v>4.2173957057670446</v>
      </c>
      <c r="F122" s="534" t="s">
        <v>249</v>
      </c>
      <c r="G122" s="653">
        <v>50</v>
      </c>
    </row>
    <row r="123" spans="1:7" ht="14.25" customHeight="1">
      <c r="A123" s="651" t="s">
        <v>345</v>
      </c>
      <c r="B123" s="652">
        <v>115</v>
      </c>
      <c r="C123" s="535">
        <v>44079</v>
      </c>
      <c r="D123" s="655" t="s">
        <v>335</v>
      </c>
      <c r="E123" s="656">
        <v>-21.3343964978076</v>
      </c>
      <c r="F123" s="534" t="s">
        <v>340</v>
      </c>
      <c r="G123" s="653">
        <v>20</v>
      </c>
    </row>
    <row r="124" spans="1:7" ht="14.25" customHeight="1">
      <c r="A124" s="651" t="s">
        <v>345</v>
      </c>
      <c r="B124" s="652">
        <v>116</v>
      </c>
      <c r="C124" s="535">
        <v>44080</v>
      </c>
      <c r="D124" s="655" t="s">
        <v>335</v>
      </c>
      <c r="E124" s="656">
        <v>-4.710705179765144</v>
      </c>
      <c r="F124" s="534" t="s">
        <v>340</v>
      </c>
      <c r="G124" s="653">
        <v>24</v>
      </c>
    </row>
    <row r="125" spans="1:7" ht="14.25" customHeight="1">
      <c r="A125" s="651" t="s">
        <v>345</v>
      </c>
      <c r="B125" s="652">
        <v>117</v>
      </c>
      <c r="C125" s="535">
        <v>44081</v>
      </c>
      <c r="D125" s="655" t="s">
        <v>335</v>
      </c>
      <c r="E125" s="656">
        <v>-4.4485812331972987</v>
      </c>
      <c r="F125" s="534" t="s">
        <v>340</v>
      </c>
      <c r="G125" s="653">
        <v>28</v>
      </c>
    </row>
    <row r="126" spans="1:7" ht="14.25" customHeight="1">
      <c r="A126" s="651" t="s">
        <v>240</v>
      </c>
      <c r="B126" s="652">
        <v>118</v>
      </c>
      <c r="C126" s="535">
        <v>44078</v>
      </c>
      <c r="D126" s="655" t="s">
        <v>239</v>
      </c>
      <c r="E126" s="656">
        <v>4.9206839192544862E-3</v>
      </c>
      <c r="F126" s="534" t="s">
        <v>344</v>
      </c>
      <c r="G126" s="653">
        <v>32</v>
      </c>
    </row>
    <row r="127" spans="1:7" ht="14.25" customHeight="1">
      <c r="A127" s="651" t="s">
        <v>238</v>
      </c>
      <c r="B127" s="652">
        <v>119</v>
      </c>
      <c r="C127" s="535">
        <v>44078</v>
      </c>
      <c r="D127" s="655" t="s">
        <v>239</v>
      </c>
      <c r="E127" s="656">
        <v>0.19002659816839002</v>
      </c>
      <c r="F127" s="534" t="s">
        <v>338</v>
      </c>
      <c r="G127" s="653">
        <v>44</v>
      </c>
    </row>
    <row r="128" spans="1:7" ht="14.25" customHeight="1">
      <c r="A128" s="651" t="s">
        <v>251</v>
      </c>
      <c r="B128" s="652">
        <v>120</v>
      </c>
      <c r="C128" s="535">
        <v>44078</v>
      </c>
      <c r="D128" s="655" t="s">
        <v>243</v>
      </c>
      <c r="E128" s="656">
        <v>0.16525999586400214</v>
      </c>
      <c r="F128" s="534" t="s">
        <v>241</v>
      </c>
      <c r="G128" s="653">
        <v>26</v>
      </c>
    </row>
    <row r="129" spans="1:7" ht="14.25" customHeight="1">
      <c r="A129" s="651" t="s">
        <v>242</v>
      </c>
      <c r="B129" s="652">
        <v>121</v>
      </c>
      <c r="C129" s="535">
        <v>44078</v>
      </c>
      <c r="D129" s="655" t="s">
        <v>243</v>
      </c>
      <c r="E129" s="656">
        <v>2.3945523872609296</v>
      </c>
      <c r="F129" s="534" t="s">
        <v>249</v>
      </c>
      <c r="G129" s="653">
        <v>37</v>
      </c>
    </row>
    <row r="130" spans="1:7" ht="14.25" customHeight="1">
      <c r="A130" s="651" t="s">
        <v>240</v>
      </c>
      <c r="B130" s="652">
        <v>122</v>
      </c>
      <c r="C130" s="535">
        <v>44082</v>
      </c>
      <c r="D130" s="655" t="s">
        <v>239</v>
      </c>
      <c r="E130" s="656">
        <v>5.4155346930986822E-3</v>
      </c>
      <c r="F130" s="534" t="s">
        <v>344</v>
      </c>
      <c r="G130" s="653">
        <v>35</v>
      </c>
    </row>
    <row r="131" spans="1:7" ht="14.25" customHeight="1">
      <c r="A131" s="651" t="s">
        <v>238</v>
      </c>
      <c r="B131" s="652">
        <v>123</v>
      </c>
      <c r="C131" s="535">
        <v>44082</v>
      </c>
      <c r="D131" s="655" t="s">
        <v>239</v>
      </c>
      <c r="E131" s="656">
        <v>4.1651728402507887E-2</v>
      </c>
      <c r="F131" s="534" t="s">
        <v>346</v>
      </c>
      <c r="G131" s="653">
        <v>48</v>
      </c>
    </row>
    <row r="132" spans="1:7" ht="14.25" customHeight="1">
      <c r="A132" s="651" t="s">
        <v>251</v>
      </c>
      <c r="B132" s="652">
        <v>124</v>
      </c>
      <c r="C132" s="535">
        <v>44082</v>
      </c>
      <c r="D132" s="655" t="s">
        <v>243</v>
      </c>
      <c r="E132" s="656">
        <v>0.67366887456407187</v>
      </c>
      <c r="F132" s="534" t="s">
        <v>344</v>
      </c>
      <c r="G132" s="653">
        <v>29</v>
      </c>
    </row>
    <row r="133" spans="1:7" ht="14.25" customHeight="1">
      <c r="A133" s="651" t="s">
        <v>242</v>
      </c>
      <c r="B133" s="652">
        <v>125</v>
      </c>
      <c r="C133" s="535">
        <v>44082</v>
      </c>
      <c r="D133" s="655" t="s">
        <v>243</v>
      </c>
      <c r="E133" s="656">
        <v>4.1417658049623904</v>
      </c>
      <c r="F133" s="534" t="s">
        <v>250</v>
      </c>
      <c r="G133" s="653">
        <v>41</v>
      </c>
    </row>
    <row r="134" spans="1:7" ht="14.25" customHeight="1">
      <c r="A134" s="651" t="s">
        <v>238</v>
      </c>
      <c r="B134" s="652">
        <v>126</v>
      </c>
      <c r="C134" s="535">
        <v>44083</v>
      </c>
      <c r="D134" s="655" t="s">
        <v>239</v>
      </c>
      <c r="E134" s="656">
        <v>0.28999999999999998</v>
      </c>
      <c r="F134" s="534" t="s">
        <v>237</v>
      </c>
      <c r="G134" s="653">
        <v>50</v>
      </c>
    </row>
    <row r="135" spans="1:7" ht="14.25" customHeight="1">
      <c r="A135" s="651" t="s">
        <v>339</v>
      </c>
      <c r="B135" s="652">
        <v>127</v>
      </c>
      <c r="C135" s="535">
        <v>44079</v>
      </c>
      <c r="D135" s="655" t="s">
        <v>335</v>
      </c>
      <c r="E135" s="656">
        <v>2.09</v>
      </c>
      <c r="F135" s="534" t="s">
        <v>340</v>
      </c>
      <c r="G135" s="653">
        <v>20</v>
      </c>
    </row>
    <row r="136" spans="1:7" ht="14.25" customHeight="1">
      <c r="A136" s="651" t="s">
        <v>341</v>
      </c>
      <c r="B136" s="652">
        <v>128</v>
      </c>
      <c r="C136" s="535">
        <v>44079</v>
      </c>
      <c r="D136" s="655" t="s">
        <v>335</v>
      </c>
      <c r="E136" s="656">
        <v>5.2</v>
      </c>
      <c r="F136" s="534" t="s">
        <v>340</v>
      </c>
      <c r="G136" s="653">
        <v>20</v>
      </c>
    </row>
    <row r="137" spans="1:7" ht="14.25" customHeight="1">
      <c r="A137" s="651" t="s">
        <v>339</v>
      </c>
      <c r="B137" s="652">
        <v>129</v>
      </c>
      <c r="C137" s="535">
        <v>44080</v>
      </c>
      <c r="D137" s="655" t="s">
        <v>335</v>
      </c>
      <c r="E137" s="656">
        <v>2.56</v>
      </c>
      <c r="F137" s="534" t="s">
        <v>340</v>
      </c>
      <c r="G137" s="653">
        <v>24</v>
      </c>
    </row>
    <row r="138" spans="1:7" ht="14.25" customHeight="1">
      <c r="A138" s="651" t="s">
        <v>341</v>
      </c>
      <c r="B138" s="652">
        <v>130</v>
      </c>
      <c r="C138" s="535">
        <v>44080</v>
      </c>
      <c r="D138" s="655" t="s">
        <v>335</v>
      </c>
      <c r="E138" s="656">
        <v>3.9</v>
      </c>
      <c r="F138" s="534" t="s">
        <v>340</v>
      </c>
      <c r="G138" s="653">
        <v>24</v>
      </c>
    </row>
    <row r="139" spans="1:7" ht="14.25" customHeight="1">
      <c r="A139" s="651" t="s">
        <v>339</v>
      </c>
      <c r="B139" s="652">
        <v>131</v>
      </c>
      <c r="C139" s="535">
        <v>44081</v>
      </c>
      <c r="D139" s="655" t="s">
        <v>335</v>
      </c>
      <c r="E139" s="656">
        <v>2.2799999999999998</v>
      </c>
      <c r="F139" s="534" t="s">
        <v>340</v>
      </c>
      <c r="G139" s="653">
        <v>28</v>
      </c>
    </row>
    <row r="140" spans="1:7" ht="14.25" customHeight="1">
      <c r="A140" s="651" t="s">
        <v>341</v>
      </c>
      <c r="B140" s="652">
        <v>132</v>
      </c>
      <c r="C140" s="535">
        <v>44081</v>
      </c>
      <c r="D140" s="655" t="s">
        <v>335</v>
      </c>
      <c r="E140" s="656">
        <v>4.07</v>
      </c>
      <c r="F140" s="534" t="s">
        <v>340</v>
      </c>
      <c r="G140" s="653">
        <v>28</v>
      </c>
    </row>
    <row r="141" spans="1:7" ht="14.25" customHeight="1">
      <c r="A141" s="651" t="s">
        <v>244</v>
      </c>
      <c r="B141" s="652">
        <v>133</v>
      </c>
      <c r="C141" s="535">
        <v>44079</v>
      </c>
      <c r="D141" s="655" t="s">
        <v>236</v>
      </c>
      <c r="E141" s="656">
        <v>7.63</v>
      </c>
      <c r="F141" s="534" t="s">
        <v>249</v>
      </c>
      <c r="G141" s="653">
        <v>44</v>
      </c>
    </row>
    <row r="142" spans="1:7" ht="14.25" customHeight="1">
      <c r="A142" s="651" t="s">
        <v>245</v>
      </c>
      <c r="B142" s="652">
        <v>134</v>
      </c>
      <c r="C142" s="535">
        <v>44079</v>
      </c>
      <c r="D142" s="655" t="s">
        <v>236</v>
      </c>
      <c r="E142" s="656">
        <v>0.64</v>
      </c>
      <c r="F142" s="534" t="s">
        <v>249</v>
      </c>
      <c r="G142" s="653">
        <v>44</v>
      </c>
    </row>
    <row r="143" spans="1:7" ht="14.25" customHeight="1">
      <c r="A143" s="651" t="s">
        <v>244</v>
      </c>
      <c r="B143" s="652">
        <v>135</v>
      </c>
      <c r="C143" s="535">
        <v>44080</v>
      </c>
      <c r="D143" s="655" t="s">
        <v>236</v>
      </c>
      <c r="E143" s="656">
        <v>8.7799999999999994</v>
      </c>
      <c r="F143" s="534" t="s">
        <v>249</v>
      </c>
      <c r="G143" s="653">
        <v>47</v>
      </c>
    </row>
    <row r="144" spans="1:7" ht="14.25" customHeight="1">
      <c r="A144" s="651" t="s">
        <v>245</v>
      </c>
      <c r="B144" s="652">
        <v>136</v>
      </c>
      <c r="C144" s="535">
        <v>44080</v>
      </c>
      <c r="D144" s="655" t="s">
        <v>236</v>
      </c>
      <c r="E144" s="656">
        <v>0.56000000000000005</v>
      </c>
      <c r="F144" s="534" t="s">
        <v>249</v>
      </c>
      <c r="G144" s="653">
        <v>47</v>
      </c>
    </row>
    <row r="145" spans="1:7" ht="14.25" customHeight="1">
      <c r="A145" s="651" t="s">
        <v>244</v>
      </c>
      <c r="B145" s="652">
        <v>137</v>
      </c>
      <c r="C145" s="535">
        <v>44081</v>
      </c>
      <c r="D145" s="655" t="s">
        <v>236</v>
      </c>
      <c r="E145" s="656">
        <v>7.11</v>
      </c>
      <c r="F145" s="534" t="s">
        <v>249</v>
      </c>
      <c r="G145" s="653">
        <v>50</v>
      </c>
    </row>
    <row r="146" spans="1:7" ht="14.25" customHeight="1">
      <c r="A146" s="651" t="s">
        <v>245</v>
      </c>
      <c r="B146" s="652">
        <v>138</v>
      </c>
      <c r="C146" s="535">
        <v>44081</v>
      </c>
      <c r="D146" s="655" t="s">
        <v>236</v>
      </c>
      <c r="E146" s="656">
        <v>0.66</v>
      </c>
      <c r="F146" s="534" t="s">
        <v>249</v>
      </c>
      <c r="G146" s="653">
        <v>50</v>
      </c>
    </row>
    <row r="147" spans="1:7" ht="14.25" customHeight="1">
      <c r="A147" s="651" t="s">
        <v>240</v>
      </c>
      <c r="B147" s="652">
        <v>139</v>
      </c>
      <c r="C147" s="535">
        <v>44090</v>
      </c>
      <c r="D147" s="655" t="s">
        <v>239</v>
      </c>
      <c r="E147" s="656">
        <v>-0.14960537146723596</v>
      </c>
      <c r="F147" s="534" t="s">
        <v>241</v>
      </c>
      <c r="G147" s="653">
        <v>37</v>
      </c>
    </row>
    <row r="148" spans="1:7" ht="14.25" customHeight="1">
      <c r="A148" s="651" t="s">
        <v>238</v>
      </c>
      <c r="B148" s="652">
        <v>140</v>
      </c>
      <c r="C148" s="535">
        <v>44090</v>
      </c>
      <c r="D148" s="655" t="s">
        <v>239</v>
      </c>
      <c r="E148" s="656">
        <v>0.46124666015400706</v>
      </c>
      <c r="F148" s="534" t="s">
        <v>237</v>
      </c>
      <c r="G148" s="653">
        <v>52</v>
      </c>
    </row>
    <row r="149" spans="1:7" ht="14.25" customHeight="1">
      <c r="A149" s="651" t="s">
        <v>240</v>
      </c>
      <c r="B149" s="652">
        <v>141</v>
      </c>
      <c r="C149" s="535">
        <v>44091</v>
      </c>
      <c r="D149" s="655" t="s">
        <v>239</v>
      </c>
      <c r="E149" s="656">
        <v>-0.17774939174320623</v>
      </c>
      <c r="F149" s="534" t="s">
        <v>344</v>
      </c>
      <c r="G149" s="653">
        <v>40</v>
      </c>
    </row>
    <row r="150" spans="1:7" ht="14.25" customHeight="1">
      <c r="A150" s="651" t="s">
        <v>238</v>
      </c>
      <c r="B150" s="652">
        <v>142</v>
      </c>
      <c r="C150" s="535">
        <v>44091</v>
      </c>
      <c r="D150" s="655" t="s">
        <v>239</v>
      </c>
      <c r="E150" s="656">
        <v>0.42998584542886831</v>
      </c>
      <c r="F150" s="534" t="s">
        <v>344</v>
      </c>
      <c r="G150" s="653">
        <v>55</v>
      </c>
    </row>
    <row r="151" spans="1:7" ht="14.25" customHeight="1">
      <c r="A151" s="651" t="s">
        <v>240</v>
      </c>
      <c r="B151" s="652">
        <v>143</v>
      </c>
      <c r="C151" s="535">
        <v>44092</v>
      </c>
      <c r="D151" s="655" t="s">
        <v>239</v>
      </c>
      <c r="E151" s="656">
        <v>-0.1738742965822366</v>
      </c>
      <c r="F151" s="534" t="s">
        <v>347</v>
      </c>
      <c r="G151" s="653">
        <v>42</v>
      </c>
    </row>
    <row r="152" spans="1:7" ht="14.25" customHeight="1">
      <c r="A152" s="651" t="s">
        <v>238</v>
      </c>
      <c r="B152" s="652">
        <v>144</v>
      </c>
      <c r="C152" s="535">
        <v>44092</v>
      </c>
      <c r="D152" s="655" t="s">
        <v>239</v>
      </c>
      <c r="E152" s="656">
        <v>0.45235961498710187</v>
      </c>
      <c r="F152" s="534" t="s">
        <v>347</v>
      </c>
      <c r="G152" s="653">
        <v>57</v>
      </c>
    </row>
    <row r="153" spans="1:7" ht="14.25" customHeight="1">
      <c r="A153" s="651" t="s">
        <v>348</v>
      </c>
      <c r="B153" s="652">
        <v>145</v>
      </c>
      <c r="C153" s="535">
        <v>44104</v>
      </c>
      <c r="D153" s="655" t="s">
        <v>335</v>
      </c>
      <c r="E153" s="656">
        <v>-14.386930855307975</v>
      </c>
      <c r="F153" s="534" t="s">
        <v>340</v>
      </c>
      <c r="G153" s="653">
        <v>32</v>
      </c>
    </row>
    <row r="154" spans="1:7" ht="14.25" customHeight="1">
      <c r="A154" s="651" t="s">
        <v>251</v>
      </c>
      <c r="B154" s="652">
        <v>146</v>
      </c>
      <c r="C154" s="535">
        <v>44103</v>
      </c>
      <c r="D154" s="655" t="s">
        <v>243</v>
      </c>
      <c r="E154" s="656">
        <v>0.60792338893481357</v>
      </c>
      <c r="F154" s="534" t="s">
        <v>336</v>
      </c>
      <c r="G154" s="653">
        <v>33</v>
      </c>
    </row>
    <row r="155" spans="1:7" ht="14.25" customHeight="1">
      <c r="A155" s="651" t="s">
        <v>242</v>
      </c>
      <c r="B155" s="652">
        <v>147</v>
      </c>
      <c r="C155" s="535">
        <v>44103</v>
      </c>
      <c r="D155" s="655" t="s">
        <v>243</v>
      </c>
      <c r="E155" s="656">
        <v>3.3815606810373011</v>
      </c>
      <c r="F155" s="534" t="s">
        <v>249</v>
      </c>
      <c r="G155" s="653">
        <v>44</v>
      </c>
    </row>
    <row r="156" spans="1:7" ht="14.25" customHeight="1">
      <c r="A156" s="651" t="s">
        <v>251</v>
      </c>
      <c r="B156" s="652">
        <v>148</v>
      </c>
      <c r="C156" s="535">
        <v>44104</v>
      </c>
      <c r="D156" s="655" t="s">
        <v>243</v>
      </c>
      <c r="E156" s="656">
        <v>0.81694009957919378</v>
      </c>
      <c r="F156" s="534" t="s">
        <v>336</v>
      </c>
      <c r="G156" s="653">
        <v>37</v>
      </c>
    </row>
    <row r="157" spans="1:7" ht="14.25" customHeight="1">
      <c r="A157" s="651" t="s">
        <v>242</v>
      </c>
      <c r="B157" s="652">
        <v>149</v>
      </c>
      <c r="C157" s="535">
        <v>44104</v>
      </c>
      <c r="D157" s="655" t="s">
        <v>243</v>
      </c>
      <c r="E157" s="656">
        <v>3.8856185626775375</v>
      </c>
      <c r="F157" s="534" t="s">
        <v>338</v>
      </c>
      <c r="G157" s="653">
        <v>48</v>
      </c>
    </row>
    <row r="158" spans="1:7" ht="14.25" customHeight="1">
      <c r="A158" s="651" t="s">
        <v>240</v>
      </c>
      <c r="B158" s="652">
        <v>150</v>
      </c>
      <c r="C158" s="535">
        <v>44104</v>
      </c>
      <c r="D158" s="655" t="s">
        <v>239</v>
      </c>
      <c r="E158" s="656">
        <v>-3.4773771539475737E-2</v>
      </c>
      <c r="F158" s="534" t="s">
        <v>336</v>
      </c>
      <c r="G158" s="653">
        <v>46</v>
      </c>
    </row>
    <row r="159" spans="1:7" ht="14.25" customHeight="1">
      <c r="A159" s="651" t="s">
        <v>339</v>
      </c>
      <c r="B159" s="652">
        <v>151</v>
      </c>
      <c r="C159" s="535">
        <v>44104</v>
      </c>
      <c r="D159" s="655" t="s">
        <v>335</v>
      </c>
      <c r="E159" s="656">
        <v>2.77</v>
      </c>
      <c r="F159" s="534" t="s">
        <v>340</v>
      </c>
      <c r="G159" s="653">
        <v>32</v>
      </c>
    </row>
    <row r="160" spans="1:7" ht="14.25" customHeight="1">
      <c r="A160" s="651" t="s">
        <v>341</v>
      </c>
      <c r="B160" s="652">
        <v>152</v>
      </c>
      <c r="C160" s="535">
        <v>44104</v>
      </c>
      <c r="D160" s="655" t="s">
        <v>335</v>
      </c>
      <c r="E160" s="656">
        <v>5.8</v>
      </c>
      <c r="F160" s="534" t="s">
        <v>340</v>
      </c>
      <c r="G160" s="653">
        <v>32</v>
      </c>
    </row>
    <row r="161" spans="1:7" ht="14.25" customHeight="1">
      <c r="A161" s="651" t="s">
        <v>339</v>
      </c>
      <c r="B161" s="653">
        <v>153</v>
      </c>
      <c r="C161" s="535">
        <v>44105</v>
      </c>
      <c r="D161" s="655" t="s">
        <v>335</v>
      </c>
      <c r="E161" s="656">
        <v>1.89</v>
      </c>
      <c r="F161" s="534" t="s">
        <v>340</v>
      </c>
      <c r="G161" s="653">
        <v>36</v>
      </c>
    </row>
    <row r="162" spans="1:7" ht="14.25" customHeight="1">
      <c r="A162" s="651" t="s">
        <v>341</v>
      </c>
      <c r="B162" s="653">
        <v>154</v>
      </c>
      <c r="C162" s="535">
        <v>44105</v>
      </c>
      <c r="D162" s="655" t="s">
        <v>335</v>
      </c>
      <c r="E162" s="656">
        <v>4.42</v>
      </c>
      <c r="F162" s="534" t="s">
        <v>340</v>
      </c>
      <c r="G162" s="653">
        <v>36</v>
      </c>
    </row>
    <row r="163" spans="1:7" ht="14.25" customHeight="1">
      <c r="A163" s="651" t="s">
        <v>251</v>
      </c>
      <c r="B163" s="653">
        <v>155</v>
      </c>
      <c r="C163" s="535">
        <v>44105</v>
      </c>
      <c r="D163" s="655" t="s">
        <v>243</v>
      </c>
      <c r="E163" s="656">
        <v>0.71336653939370376</v>
      </c>
      <c r="F163" s="534" t="s">
        <v>336</v>
      </c>
      <c r="G163" s="653">
        <v>41</v>
      </c>
    </row>
    <row r="164" spans="1:7" ht="14.25" customHeight="1">
      <c r="A164" s="651" t="s">
        <v>242</v>
      </c>
      <c r="B164" s="653">
        <v>156</v>
      </c>
      <c r="C164" s="535">
        <v>44105</v>
      </c>
      <c r="D164" s="655" t="s">
        <v>243</v>
      </c>
      <c r="E164" s="656">
        <v>2.5930866817860458</v>
      </c>
      <c r="F164" s="534" t="s">
        <v>338</v>
      </c>
      <c r="G164" s="653">
        <v>52</v>
      </c>
    </row>
    <row r="165" spans="1:7" ht="14.25" customHeight="1">
      <c r="A165" s="651" t="s">
        <v>348</v>
      </c>
      <c r="B165" s="653">
        <v>157</v>
      </c>
      <c r="C165" s="535">
        <v>44105</v>
      </c>
      <c r="D165" s="655" t="s">
        <v>335</v>
      </c>
      <c r="E165" s="656">
        <v>-4.0622605006262349</v>
      </c>
      <c r="F165" s="534" t="s">
        <v>340</v>
      </c>
      <c r="G165" s="653">
        <v>36</v>
      </c>
    </row>
    <row r="166" spans="1:7" ht="14.25" customHeight="1">
      <c r="A166" s="651" t="s">
        <v>238</v>
      </c>
      <c r="B166" s="653">
        <v>158</v>
      </c>
      <c r="C166" s="535">
        <v>44105</v>
      </c>
      <c r="D166" s="655" t="s">
        <v>239</v>
      </c>
      <c r="E166" s="656">
        <v>0.33693800498627702</v>
      </c>
      <c r="F166" s="534" t="s">
        <v>338</v>
      </c>
      <c r="G166" s="653">
        <v>61</v>
      </c>
    </row>
    <row r="167" spans="1:7" ht="14.25" customHeight="1">
      <c r="A167" s="651" t="s">
        <v>238</v>
      </c>
      <c r="B167" s="653">
        <v>159</v>
      </c>
      <c r="C167" s="535">
        <v>44106</v>
      </c>
      <c r="D167" s="655" t="s">
        <v>239</v>
      </c>
      <c r="E167" s="656">
        <v>0.26405754145958898</v>
      </c>
      <c r="F167" s="534" t="s">
        <v>336</v>
      </c>
      <c r="G167" s="653">
        <v>65</v>
      </c>
    </row>
    <row r="168" spans="1:7" ht="14.25" customHeight="1">
      <c r="A168" s="651" t="s">
        <v>238</v>
      </c>
      <c r="B168" s="653">
        <v>160</v>
      </c>
      <c r="C168" s="535">
        <v>44109</v>
      </c>
      <c r="D168" s="655" t="s">
        <v>239</v>
      </c>
      <c r="E168" s="656">
        <v>0.26307893555685152</v>
      </c>
      <c r="F168" s="534" t="s">
        <v>241</v>
      </c>
      <c r="G168" s="653">
        <v>67</v>
      </c>
    </row>
    <row r="169" spans="1:7" ht="14.25" customHeight="1">
      <c r="A169" s="651" t="s">
        <v>238</v>
      </c>
      <c r="B169" s="653">
        <v>161</v>
      </c>
      <c r="C169" s="535">
        <v>44110</v>
      </c>
      <c r="D169" s="655" t="s">
        <v>239</v>
      </c>
      <c r="E169" s="656">
        <v>0.10301302982522452</v>
      </c>
      <c r="F169" s="534" t="s">
        <v>241</v>
      </c>
      <c r="G169" s="653">
        <v>69</v>
      </c>
    </row>
    <row r="170" spans="1:7" ht="14.25" customHeight="1">
      <c r="A170" s="651" t="s">
        <v>251</v>
      </c>
      <c r="B170" s="653">
        <v>162</v>
      </c>
      <c r="C170" s="535">
        <v>44110</v>
      </c>
      <c r="D170" s="655" t="s">
        <v>243</v>
      </c>
      <c r="E170" s="656">
        <v>0.77658295398614663</v>
      </c>
      <c r="F170" s="534" t="s">
        <v>241</v>
      </c>
      <c r="G170" s="653">
        <v>43</v>
      </c>
    </row>
    <row r="171" spans="1:7" ht="14.25" customHeight="1">
      <c r="A171" s="651" t="s">
        <v>242</v>
      </c>
      <c r="B171" s="653">
        <v>163</v>
      </c>
      <c r="C171" s="535">
        <v>44110</v>
      </c>
      <c r="D171" s="655" t="s">
        <v>243</v>
      </c>
      <c r="E171" s="656">
        <v>3.651970084619486</v>
      </c>
      <c r="F171" s="534" t="s">
        <v>241</v>
      </c>
      <c r="G171" s="653">
        <v>54</v>
      </c>
    </row>
    <row r="172" spans="1:7" ht="12.75">
      <c r="A172" s="651" t="s">
        <v>238</v>
      </c>
      <c r="B172" s="653">
        <v>164</v>
      </c>
      <c r="C172" s="535">
        <v>44111</v>
      </c>
      <c r="D172" s="655" t="s">
        <v>239</v>
      </c>
      <c r="E172" s="656">
        <v>0.21001244367286631</v>
      </c>
      <c r="F172" s="534" t="s">
        <v>344</v>
      </c>
      <c r="G172" s="653">
        <v>72</v>
      </c>
    </row>
    <row r="173" spans="1:7" ht="14.25" customHeight="1">
      <c r="A173" s="651" t="s">
        <v>251</v>
      </c>
      <c r="B173" s="653">
        <v>165</v>
      </c>
      <c r="C173" s="535">
        <v>44116</v>
      </c>
      <c r="D173" s="655" t="s">
        <v>243</v>
      </c>
      <c r="E173" s="656">
        <v>0.91861193042446254</v>
      </c>
      <c r="F173" s="534" t="s">
        <v>241</v>
      </c>
      <c r="G173" s="653">
        <v>45</v>
      </c>
    </row>
    <row r="174" spans="1:7" ht="14.25" customHeight="1">
      <c r="A174" s="651" t="s">
        <v>251</v>
      </c>
      <c r="B174" s="653">
        <v>166</v>
      </c>
      <c r="C174" s="535">
        <v>44117</v>
      </c>
      <c r="D174" s="655" t="s">
        <v>243</v>
      </c>
      <c r="E174" s="656">
        <v>1.0379009730610695</v>
      </c>
      <c r="F174" s="534" t="s">
        <v>336</v>
      </c>
      <c r="G174" s="653">
        <v>49</v>
      </c>
    </row>
    <row r="175" spans="1:7" ht="14.25" customHeight="1">
      <c r="A175" s="651" t="s">
        <v>242</v>
      </c>
      <c r="B175" s="653">
        <v>167</v>
      </c>
      <c r="C175" s="535">
        <v>44117</v>
      </c>
      <c r="D175" s="655" t="s">
        <v>243</v>
      </c>
      <c r="E175" s="656">
        <v>2.2050188581550496</v>
      </c>
      <c r="F175" s="534" t="s">
        <v>344</v>
      </c>
      <c r="G175" s="653">
        <v>57</v>
      </c>
    </row>
    <row r="176" spans="1:7" ht="14.25" customHeight="1">
      <c r="A176" s="651" t="s">
        <v>238</v>
      </c>
      <c r="B176" s="653">
        <v>168</v>
      </c>
      <c r="C176" s="535">
        <v>44117</v>
      </c>
      <c r="D176" s="655" t="s">
        <v>239</v>
      </c>
      <c r="E176" s="656">
        <v>0.43035155918305046</v>
      </c>
      <c r="F176" s="534" t="s">
        <v>336</v>
      </c>
      <c r="G176" s="653">
        <v>76</v>
      </c>
    </row>
    <row r="177" spans="1:7" ht="14.25" customHeight="1">
      <c r="A177" s="651" t="s">
        <v>251</v>
      </c>
      <c r="B177" s="653">
        <v>169</v>
      </c>
      <c r="C177" s="535">
        <v>44118</v>
      </c>
      <c r="D177" s="655" t="s">
        <v>243</v>
      </c>
      <c r="E177" s="656">
        <v>0.70568391269299469</v>
      </c>
      <c r="F177" s="534" t="s">
        <v>336</v>
      </c>
      <c r="G177" s="653">
        <v>53</v>
      </c>
    </row>
    <row r="178" spans="1:7" ht="14.25" customHeight="1">
      <c r="A178" s="651" t="s">
        <v>242</v>
      </c>
      <c r="B178" s="653">
        <v>170</v>
      </c>
      <c r="C178" s="535">
        <v>44118</v>
      </c>
      <c r="D178" s="655" t="s">
        <v>243</v>
      </c>
      <c r="E178" s="656">
        <v>0.78242887177757325</v>
      </c>
      <c r="F178" s="534" t="s">
        <v>336</v>
      </c>
      <c r="G178" s="653">
        <v>61</v>
      </c>
    </row>
    <row r="179" spans="1:7" ht="14.25" customHeight="1">
      <c r="A179" s="651" t="s">
        <v>242</v>
      </c>
      <c r="B179" s="653">
        <v>171</v>
      </c>
      <c r="C179" s="535">
        <v>44119</v>
      </c>
      <c r="D179" s="655" t="s">
        <v>243</v>
      </c>
      <c r="E179" s="656">
        <v>1.6434425313324221</v>
      </c>
      <c r="F179" s="534" t="s">
        <v>336</v>
      </c>
      <c r="G179" s="653">
        <v>65</v>
      </c>
    </row>
    <row r="180" spans="1:7" ht="14.25" customHeight="1">
      <c r="A180" s="651" t="s">
        <v>251</v>
      </c>
      <c r="B180" s="653">
        <v>172</v>
      </c>
      <c r="C180" s="535">
        <v>44123</v>
      </c>
      <c r="D180" s="655" t="s">
        <v>243</v>
      </c>
      <c r="E180" s="656">
        <v>1.0581464051272005</v>
      </c>
      <c r="F180" s="534" t="s">
        <v>241</v>
      </c>
      <c r="G180" s="653">
        <v>55</v>
      </c>
    </row>
    <row r="181" spans="1:7" ht="14.25" customHeight="1">
      <c r="A181" s="651" t="s">
        <v>242</v>
      </c>
      <c r="B181" s="653">
        <v>173</v>
      </c>
      <c r="C181" s="535">
        <v>44124</v>
      </c>
      <c r="D181" s="655" t="s">
        <v>243</v>
      </c>
      <c r="E181" s="656">
        <v>0.59281787306885736</v>
      </c>
      <c r="F181" s="534" t="s">
        <v>241</v>
      </c>
      <c r="G181" s="653">
        <v>67</v>
      </c>
    </row>
    <row r="182" spans="1:7" ht="14.25" customHeight="1">
      <c r="A182"/>
      <c r="B182" s="659"/>
      <c r="C182" s="660"/>
      <c r="D182" s="646"/>
      <c r="E182" s="661"/>
      <c r="F182" s="662"/>
      <c r="G182" s="659"/>
    </row>
    <row r="183" spans="1:7" ht="14.25" customHeight="1">
      <c r="A183"/>
      <c r="B183" s="659"/>
      <c r="C183" s="660"/>
      <c r="D183" s="646"/>
      <c r="E183" s="661"/>
      <c r="F183" s="662"/>
      <c r="G183" s="659"/>
    </row>
    <row r="184" spans="1:7" ht="14.25" customHeight="1">
      <c r="A184"/>
      <c r="B184" s="659"/>
      <c r="C184" s="660"/>
      <c r="D184" s="646"/>
      <c r="E184" s="661"/>
      <c r="F184" s="662"/>
      <c r="G184" s="659"/>
    </row>
    <row r="185" spans="1:7" ht="14.25" customHeight="1">
      <c r="A185" s="663"/>
      <c r="C185" s="664"/>
      <c r="D185" s="646"/>
      <c r="E185" s="646"/>
      <c r="F185" s="646"/>
      <c r="G185" s="646"/>
    </row>
    <row r="186" spans="1:7" ht="14.25" customHeight="1">
      <c r="A186" s="665"/>
      <c r="C186" s="664"/>
      <c r="D186" s="646"/>
      <c r="E186" s="646"/>
      <c r="F186" s="646"/>
      <c r="G186" s="646"/>
    </row>
    <row r="187" spans="1:7" ht="14.25" customHeight="1">
      <c r="A187" s="665"/>
      <c r="C187" s="664"/>
      <c r="D187" s="646"/>
      <c r="E187" s="646"/>
      <c r="F187" s="646"/>
      <c r="G187" s="646"/>
    </row>
    <row r="188" spans="1:7" ht="14.25" customHeight="1">
      <c r="A188" s="666" t="s">
        <v>66</v>
      </c>
      <c r="C188" s="664"/>
      <c r="D188" s="646"/>
      <c r="E188" s="646"/>
      <c r="F188" s="646"/>
      <c r="G188" s="646"/>
    </row>
    <row r="189" spans="1:7" ht="14.25" customHeight="1">
      <c r="A189" s="529" t="s">
        <v>252</v>
      </c>
      <c r="C189" s="664"/>
      <c r="D189" s="646"/>
      <c r="E189" s="646"/>
      <c r="F189" s="646"/>
      <c r="G189" s="646"/>
    </row>
    <row r="190" spans="1:7" ht="14.25" customHeight="1">
      <c r="A190" s="668" t="s">
        <v>253</v>
      </c>
      <c r="C190" s="664"/>
      <c r="D190" s="646"/>
      <c r="E190" s="646"/>
      <c r="F190" s="646"/>
      <c r="G190" s="646"/>
    </row>
    <row r="191" spans="1:7" ht="14.25" customHeight="1">
      <c r="A191" s="667"/>
      <c r="C191" s="664"/>
      <c r="D191" s="646"/>
      <c r="E191" s="646"/>
      <c r="F191" s="646"/>
      <c r="G191" s="646"/>
    </row>
    <row r="192" spans="1:7" ht="14.25" customHeight="1">
      <c r="A192" s="497" t="s">
        <v>73</v>
      </c>
      <c r="C192" s="664"/>
      <c r="D192" s="646"/>
      <c r="E192" s="646"/>
      <c r="F192" s="646"/>
      <c r="G192" s="646"/>
    </row>
    <row r="193" spans="1:7" ht="14.25" customHeight="1">
      <c r="A193" s="370"/>
      <c r="C193" s="664"/>
      <c r="D193" s="646"/>
      <c r="E193" s="646"/>
      <c r="F193" s="646"/>
      <c r="G193" s="646"/>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zoomScale="120" zoomScaleNormal="120" zoomScaleSheetLayoutView="75" workbookViewId="0">
      <pane xSplit="1" ySplit="8" topLeftCell="B9" activePane="bottomRight" state="frozen"/>
      <selection pane="topRight" activeCell="B1" sqref="B1"/>
      <selection pane="bottomLeft" activeCell="A9" sqref="A9"/>
      <selection pane="bottomRight" activeCell="E18" sqref="E18"/>
    </sheetView>
  </sheetViews>
  <sheetFormatPr defaultColWidth="17" defaultRowHeight="12"/>
  <cols>
    <col min="1" max="1" width="46.28515625" style="215" customWidth="1"/>
    <col min="2" max="3" width="11.7109375" style="215" customWidth="1"/>
    <col min="4" max="4" width="15.5703125" style="215" customWidth="1"/>
    <col min="5" max="7" width="11.7109375" style="215" customWidth="1"/>
    <col min="8" max="8" width="14.7109375" style="215" customWidth="1"/>
    <col min="9" max="9" width="11.7109375" style="215" customWidth="1"/>
    <col min="10" max="10" width="11.7109375" style="216" customWidth="1"/>
    <col min="11" max="11" width="11.7109375" style="215" customWidth="1"/>
    <col min="12" max="12" width="12.28515625" style="215" customWidth="1"/>
    <col min="13" max="13" width="11.7109375" style="215" customWidth="1"/>
    <col min="14" max="14" width="12.7109375" style="215" customWidth="1"/>
    <col min="15" max="16" width="0" style="215" hidden="1" customWidth="1"/>
    <col min="17" max="16384" width="17" style="215"/>
  </cols>
  <sheetData>
    <row r="1" spans="1:16">
      <c r="A1" s="215" t="s">
        <v>57</v>
      </c>
      <c r="E1" s="213" t="s">
        <v>39</v>
      </c>
    </row>
    <row r="2" spans="1:16">
      <c r="E2" s="213" t="s">
        <v>254</v>
      </c>
    </row>
    <row r="3" spans="1:16">
      <c r="D3" s="217"/>
      <c r="E3" s="218" t="str">
        <f>'Program MW '!H3</f>
        <v>November 2020</v>
      </c>
      <c r="F3" s="217"/>
    </row>
    <row r="4" spans="1:16" ht="12.75" thickBot="1"/>
    <row r="5" spans="1:16">
      <c r="A5" s="219"/>
      <c r="B5" s="220"/>
      <c r="C5" s="220"/>
      <c r="D5" s="220"/>
      <c r="E5" s="220"/>
      <c r="F5" s="220"/>
      <c r="G5" s="220"/>
      <c r="H5" s="220"/>
      <c r="I5" s="220"/>
      <c r="J5" s="221"/>
      <c r="K5" s="220"/>
      <c r="L5" s="220"/>
      <c r="M5" s="220"/>
      <c r="N5" s="544"/>
    </row>
    <row r="6" spans="1:16" ht="24">
      <c r="A6" s="222" t="s">
        <v>255</v>
      </c>
      <c r="B6" s="520" t="s">
        <v>41</v>
      </c>
      <c r="C6" s="520" t="s">
        <v>42</v>
      </c>
      <c r="D6" s="520" t="s">
        <v>43</v>
      </c>
      <c r="E6" s="520" t="s">
        <v>44</v>
      </c>
      <c r="F6" s="520" t="s">
        <v>31</v>
      </c>
      <c r="G6" s="520" t="s">
        <v>45</v>
      </c>
      <c r="H6" s="520" t="s">
        <v>60</v>
      </c>
      <c r="I6" s="520" t="s">
        <v>75</v>
      </c>
      <c r="J6" s="521" t="s">
        <v>76</v>
      </c>
      <c r="K6" s="520" t="s">
        <v>62</v>
      </c>
      <c r="L6" s="520" t="s">
        <v>77</v>
      </c>
      <c r="M6" s="520" t="s">
        <v>63</v>
      </c>
      <c r="N6" s="545" t="s">
        <v>256</v>
      </c>
    </row>
    <row r="7" spans="1:16">
      <c r="A7" s="223"/>
      <c r="B7" s="224"/>
      <c r="C7" s="224"/>
      <c r="D7" s="224"/>
      <c r="E7" s="224"/>
      <c r="F7" s="224"/>
      <c r="G7" s="224"/>
      <c r="H7" s="513"/>
      <c r="I7" s="224"/>
      <c r="J7" s="225"/>
      <c r="K7" s="224"/>
      <c r="L7" s="224"/>
      <c r="M7" s="491"/>
      <c r="N7" s="546"/>
    </row>
    <row r="8" spans="1:16">
      <c r="A8" s="226" t="s">
        <v>257</v>
      </c>
      <c r="B8" s="224"/>
      <c r="C8" s="224"/>
      <c r="D8" s="224"/>
      <c r="E8" s="224"/>
      <c r="F8" s="224"/>
      <c r="G8" s="224"/>
      <c r="H8" s="513"/>
      <c r="I8" s="224"/>
      <c r="J8" s="225"/>
      <c r="K8" s="224"/>
      <c r="L8" s="224"/>
      <c r="M8" s="491"/>
      <c r="N8" s="547"/>
    </row>
    <row r="9" spans="1:16">
      <c r="A9" s="333" t="s">
        <v>258</v>
      </c>
      <c r="B9" s="399">
        <v>2.42</v>
      </c>
      <c r="C9" s="400">
        <v>4.0709999999999997</v>
      </c>
      <c r="D9" s="400">
        <v>10.975</v>
      </c>
      <c r="E9" s="400">
        <v>10.145</v>
      </c>
      <c r="F9" s="400">
        <v>10.202999999999999</v>
      </c>
      <c r="G9" s="400">
        <v>10.260999999999999</v>
      </c>
      <c r="H9" s="514">
        <v>13.167999999999999</v>
      </c>
      <c r="I9" s="400">
        <v>4.9809999999999999</v>
      </c>
      <c r="J9" s="400">
        <v>10.16</v>
      </c>
      <c r="K9" s="400">
        <v>7.8789999999999996</v>
      </c>
      <c r="L9" s="400">
        <v>6.8070000000000004</v>
      </c>
      <c r="M9" s="400">
        <v>0</v>
      </c>
      <c r="N9" s="548">
        <f t="shared" ref="N9:N33" si="0">SUM(B9:M9)</f>
        <v>91.070000000000007</v>
      </c>
      <c r="O9" s="400">
        <v>0</v>
      </c>
      <c r="P9" s="400">
        <v>0</v>
      </c>
    </row>
    <row r="10" spans="1:16" ht="13.5">
      <c r="A10" s="333" t="s">
        <v>259</v>
      </c>
      <c r="B10" s="331">
        <v>40.151000000000003</v>
      </c>
      <c r="C10" s="397">
        <v>45.033000000000001</v>
      </c>
      <c r="D10" s="397">
        <v>46.11</v>
      </c>
      <c r="E10" s="397">
        <v>47.1</v>
      </c>
      <c r="F10" s="397">
        <v>13.055</v>
      </c>
      <c r="G10" s="397">
        <v>78.293999999999997</v>
      </c>
      <c r="H10" s="515">
        <v>48.43</v>
      </c>
      <c r="I10" s="397">
        <v>37.692</v>
      </c>
      <c r="J10" s="397">
        <v>44.982999999999997</v>
      </c>
      <c r="K10" s="397">
        <v>13.173</v>
      </c>
      <c r="L10" s="397">
        <v>79.096999999999994</v>
      </c>
      <c r="M10" s="397">
        <v>0</v>
      </c>
      <c r="N10" s="548">
        <f t="shared" si="0"/>
        <v>493.11799999999999</v>
      </c>
    </row>
    <row r="11" spans="1:16" ht="14.25" customHeight="1">
      <c r="A11" s="333" t="s">
        <v>260</v>
      </c>
      <c r="B11" s="331">
        <v>1.5580000000000001</v>
      </c>
      <c r="C11" s="397">
        <v>7.5540000000000003</v>
      </c>
      <c r="D11" s="397">
        <v>12.093</v>
      </c>
      <c r="E11" s="397">
        <v>10.016</v>
      </c>
      <c r="F11" s="397">
        <v>5.6139999999999999</v>
      </c>
      <c r="G11" s="397">
        <v>7.6859999999999999</v>
      </c>
      <c r="H11" s="515">
        <v>11.066000000000001</v>
      </c>
      <c r="I11" s="397">
        <v>7.3049999999999997</v>
      </c>
      <c r="J11" s="397">
        <v>8.0129999999999999</v>
      </c>
      <c r="K11" s="397">
        <v>6.3570000000000002</v>
      </c>
      <c r="L11" s="397">
        <v>6.2329999999999997</v>
      </c>
      <c r="M11" s="397">
        <v>0</v>
      </c>
      <c r="N11" s="548">
        <f t="shared" si="0"/>
        <v>83.495000000000005</v>
      </c>
    </row>
    <row r="12" spans="1:16">
      <c r="A12" s="333" t="s">
        <v>261</v>
      </c>
      <c r="B12" s="331">
        <v>0</v>
      </c>
      <c r="C12" s="397">
        <v>0</v>
      </c>
      <c r="D12" s="397">
        <v>0</v>
      </c>
      <c r="E12" s="397">
        <v>0</v>
      </c>
      <c r="F12" s="397">
        <v>0</v>
      </c>
      <c r="G12" s="397">
        <v>0</v>
      </c>
      <c r="H12" s="515">
        <v>0</v>
      </c>
      <c r="I12" s="397">
        <v>0</v>
      </c>
      <c r="J12" s="397">
        <v>0</v>
      </c>
      <c r="K12" s="397">
        <v>0</v>
      </c>
      <c r="L12" s="397">
        <v>0</v>
      </c>
      <c r="M12" s="397">
        <v>0</v>
      </c>
      <c r="N12" s="548">
        <f t="shared" si="0"/>
        <v>0</v>
      </c>
    </row>
    <row r="13" spans="1:16">
      <c r="A13" s="333" t="s">
        <v>262</v>
      </c>
      <c r="B13" s="331">
        <v>12.635999999999999</v>
      </c>
      <c r="C13" s="397">
        <v>12.25</v>
      </c>
      <c r="D13" s="397">
        <v>11.862</v>
      </c>
      <c r="E13" s="397">
        <v>12.1</v>
      </c>
      <c r="F13" s="397">
        <v>11.029</v>
      </c>
      <c r="G13" s="397">
        <v>10.164</v>
      </c>
      <c r="H13" s="515">
        <v>13.281000000000001</v>
      </c>
      <c r="I13" s="397">
        <v>7.5270000000000001</v>
      </c>
      <c r="J13" s="397">
        <v>10.542999999999999</v>
      </c>
      <c r="K13" s="397">
        <v>11.06</v>
      </c>
      <c r="L13" s="397">
        <v>10.574999999999999</v>
      </c>
      <c r="M13" s="397">
        <v>0</v>
      </c>
      <c r="N13" s="548">
        <f t="shared" si="0"/>
        <v>123.027</v>
      </c>
    </row>
    <row r="14" spans="1:16">
      <c r="A14" s="333" t="s">
        <v>263</v>
      </c>
      <c r="B14" s="331">
        <v>4.7030000000000003</v>
      </c>
      <c r="C14" s="397">
        <v>2.9460000000000002</v>
      </c>
      <c r="D14" s="397">
        <v>3.258</v>
      </c>
      <c r="E14" s="397">
        <v>11.784000000000001</v>
      </c>
      <c r="F14" s="397">
        <v>3.01</v>
      </c>
      <c r="G14" s="397">
        <v>3.01</v>
      </c>
      <c r="H14" s="515">
        <v>8.8260000000000005</v>
      </c>
      <c r="I14" s="397">
        <v>5.6470000000000002</v>
      </c>
      <c r="J14" s="397">
        <v>24.146999999999998</v>
      </c>
      <c r="K14" s="397">
        <v>3.1659999999999999</v>
      </c>
      <c r="L14" s="397">
        <v>12.712</v>
      </c>
      <c r="M14" s="397">
        <v>0</v>
      </c>
      <c r="N14" s="548">
        <f t="shared" si="0"/>
        <v>83.208999999999989</v>
      </c>
    </row>
    <row r="15" spans="1:16">
      <c r="A15" s="333" t="s">
        <v>264</v>
      </c>
      <c r="B15" s="331">
        <v>40.1</v>
      </c>
      <c r="C15" s="397">
        <v>64.043999999999997</v>
      </c>
      <c r="D15" s="397">
        <v>6.5949999999999998</v>
      </c>
      <c r="E15" s="397">
        <v>6.9660000000000002</v>
      </c>
      <c r="F15" s="397">
        <v>11.64</v>
      </c>
      <c r="G15" s="397">
        <v>67.468000000000004</v>
      </c>
      <c r="H15" s="515">
        <v>29.908999999999999</v>
      </c>
      <c r="I15" s="397">
        <v>16.457000000000001</v>
      </c>
      <c r="J15" s="397">
        <v>79.489999999999995</v>
      </c>
      <c r="K15" s="397">
        <v>45.085999999999999</v>
      </c>
      <c r="L15" s="397">
        <v>66.14</v>
      </c>
      <c r="M15" s="397">
        <v>0</v>
      </c>
      <c r="N15" s="548">
        <f t="shared" si="0"/>
        <v>433.89499999999998</v>
      </c>
    </row>
    <row r="16" spans="1:16">
      <c r="A16" s="333" t="s">
        <v>199</v>
      </c>
      <c r="B16" s="331">
        <v>12.237</v>
      </c>
      <c r="C16" s="397">
        <v>14.420999999999999</v>
      </c>
      <c r="D16" s="397">
        <v>18.376999999999999</v>
      </c>
      <c r="E16" s="397">
        <v>17.422999999999998</v>
      </c>
      <c r="F16" s="397">
        <v>15.94</v>
      </c>
      <c r="G16" s="397">
        <v>15.221</v>
      </c>
      <c r="H16" s="515">
        <v>19.05</v>
      </c>
      <c r="I16" s="397">
        <v>8.5389999999999997</v>
      </c>
      <c r="J16" s="397">
        <v>14.686999999999999</v>
      </c>
      <c r="K16" s="397">
        <v>15.444000000000001</v>
      </c>
      <c r="L16" s="397">
        <v>14.73</v>
      </c>
      <c r="M16" s="397">
        <v>0</v>
      </c>
      <c r="N16" s="548">
        <f t="shared" si="0"/>
        <v>166.06899999999999</v>
      </c>
    </row>
    <row r="17" spans="1:15">
      <c r="A17" s="333" t="s">
        <v>200</v>
      </c>
      <c r="B17" s="331">
        <v>19.221</v>
      </c>
      <c r="C17" s="397">
        <v>19.606000000000002</v>
      </c>
      <c r="D17" s="397">
        <v>19.474</v>
      </c>
      <c r="E17" s="397">
        <v>97.182000000000002</v>
      </c>
      <c r="F17" s="397">
        <v>65.554000000000002</v>
      </c>
      <c r="G17" s="397">
        <v>16.420999999999999</v>
      </c>
      <c r="H17" s="515">
        <v>25.366</v>
      </c>
      <c r="I17" s="397">
        <v>43.206000000000003</v>
      </c>
      <c r="J17" s="397">
        <v>17.190999999999999</v>
      </c>
      <c r="K17" s="397">
        <v>24.797999999999998</v>
      </c>
      <c r="L17" s="397">
        <v>15.802</v>
      </c>
      <c r="M17" s="397">
        <v>0</v>
      </c>
      <c r="N17" s="548">
        <f t="shared" si="0"/>
        <v>363.82100000000003</v>
      </c>
    </row>
    <row r="18" spans="1:15">
      <c r="A18" s="333" t="s">
        <v>265</v>
      </c>
      <c r="B18" s="331">
        <v>0</v>
      </c>
      <c r="C18" s="397">
        <v>0</v>
      </c>
      <c r="D18" s="397">
        <v>0</v>
      </c>
      <c r="E18" s="397">
        <v>0</v>
      </c>
      <c r="F18" s="397">
        <v>0</v>
      </c>
      <c r="G18" s="397">
        <v>0</v>
      </c>
      <c r="H18" s="515">
        <v>0</v>
      </c>
      <c r="I18" s="397">
        <v>0</v>
      </c>
      <c r="J18" s="397">
        <v>0</v>
      </c>
      <c r="K18" s="397">
        <v>0</v>
      </c>
      <c r="L18" s="397">
        <v>0</v>
      </c>
      <c r="M18" s="397">
        <v>0</v>
      </c>
      <c r="N18" s="548">
        <f t="shared" si="0"/>
        <v>0</v>
      </c>
    </row>
    <row r="19" spans="1:15" ht="13.5">
      <c r="A19" s="333" t="s">
        <v>266</v>
      </c>
      <c r="B19" s="331">
        <v>1.411</v>
      </c>
      <c r="C19" s="397">
        <v>1.6040000000000001</v>
      </c>
      <c r="D19" s="397">
        <v>74.418999999999997</v>
      </c>
      <c r="E19" s="397">
        <v>3.1349999999999998</v>
      </c>
      <c r="F19" s="397">
        <v>3.7890000000000001</v>
      </c>
      <c r="G19" s="397">
        <v>3.9350000000000001</v>
      </c>
      <c r="H19" s="515">
        <v>5.34</v>
      </c>
      <c r="I19" s="397">
        <v>3.0459999999999998</v>
      </c>
      <c r="J19" s="397">
        <v>2.2280000000000002</v>
      </c>
      <c r="K19" s="397">
        <v>3.0760000000000001</v>
      </c>
      <c r="L19" s="397">
        <v>80.415000000000006</v>
      </c>
      <c r="M19" s="397">
        <v>0</v>
      </c>
      <c r="N19" s="548">
        <f t="shared" si="0"/>
        <v>182.39800000000002</v>
      </c>
    </row>
    <row r="20" spans="1:15" s="217" customFormat="1">
      <c r="A20" s="450" t="s">
        <v>161</v>
      </c>
      <c r="B20" s="331">
        <v>0</v>
      </c>
      <c r="C20" s="397">
        <v>0</v>
      </c>
      <c r="D20" s="397">
        <v>0</v>
      </c>
      <c r="E20" s="397">
        <v>0</v>
      </c>
      <c r="F20" s="397">
        <v>0</v>
      </c>
      <c r="G20" s="397">
        <v>0</v>
      </c>
      <c r="H20" s="515">
        <v>0</v>
      </c>
      <c r="I20" s="397">
        <v>0</v>
      </c>
      <c r="J20" s="397">
        <v>0</v>
      </c>
      <c r="K20" s="397">
        <v>0</v>
      </c>
      <c r="L20" s="397">
        <v>0</v>
      </c>
      <c r="M20" s="397">
        <v>0</v>
      </c>
      <c r="N20" s="549">
        <f t="shared" si="0"/>
        <v>0</v>
      </c>
    </row>
    <row r="21" spans="1:15">
      <c r="A21" s="450" t="s">
        <v>267</v>
      </c>
      <c r="B21" s="331">
        <v>0</v>
      </c>
      <c r="C21" s="397">
        <v>0.25700000000000001</v>
      </c>
      <c r="D21" s="397">
        <v>2.1309999999999998</v>
      </c>
      <c r="E21" s="397">
        <v>1.9430000000000001</v>
      </c>
      <c r="F21" s="397">
        <v>1.67</v>
      </c>
      <c r="G21" s="397">
        <v>1.8460000000000001</v>
      </c>
      <c r="H21" s="515">
        <v>2.226</v>
      </c>
      <c r="I21" s="397">
        <v>1.284</v>
      </c>
      <c r="J21" s="397">
        <v>0.34200000000000003</v>
      </c>
      <c r="K21" s="397">
        <v>2.3969999999999998</v>
      </c>
      <c r="L21" s="397">
        <v>1.5329999999999999</v>
      </c>
      <c r="M21" s="397">
        <v>0</v>
      </c>
      <c r="N21" s="548">
        <f t="shared" si="0"/>
        <v>15.629000000000001</v>
      </c>
    </row>
    <row r="22" spans="1:15" ht="14.25">
      <c r="A22" s="333" t="s">
        <v>268</v>
      </c>
      <c r="B22" s="331">
        <v>5.6070000000000002</v>
      </c>
      <c r="C22" s="397">
        <v>5.0679999999999996</v>
      </c>
      <c r="D22" s="397">
        <v>-1.2949999999999999</v>
      </c>
      <c r="E22" s="397">
        <v>12.69</v>
      </c>
      <c r="F22" s="397">
        <v>31.27</v>
      </c>
      <c r="G22" s="397">
        <v>131.03100000000001</v>
      </c>
      <c r="H22" s="515">
        <v>-12.682</v>
      </c>
      <c r="I22" s="397">
        <v>246.24600000000001</v>
      </c>
      <c r="J22" s="397">
        <v>418.86900000000003</v>
      </c>
      <c r="K22" s="397">
        <v>80.894999999999996</v>
      </c>
      <c r="L22" s="397">
        <v>59.344999999999999</v>
      </c>
      <c r="M22" s="397">
        <v>0</v>
      </c>
      <c r="N22" s="548">
        <f t="shared" si="0"/>
        <v>977.0440000000001</v>
      </c>
    </row>
    <row r="23" spans="1:15">
      <c r="A23" s="333" t="s">
        <v>269</v>
      </c>
      <c r="B23" s="331">
        <v>28.658000000000001</v>
      </c>
      <c r="C23" s="397">
        <v>29.536999999999999</v>
      </c>
      <c r="D23" s="397">
        <v>49.59</v>
      </c>
      <c r="E23" s="397">
        <v>50.043999999999997</v>
      </c>
      <c r="F23" s="397">
        <v>46.54</v>
      </c>
      <c r="G23" s="397">
        <v>48.784999999999997</v>
      </c>
      <c r="H23" s="515">
        <v>53.305999999999997</v>
      </c>
      <c r="I23" s="397">
        <v>23.317</v>
      </c>
      <c r="J23" s="397">
        <v>45.426000000000002</v>
      </c>
      <c r="K23" s="397">
        <v>49.42</v>
      </c>
      <c r="L23" s="397">
        <v>48.390999999999998</v>
      </c>
      <c r="M23" s="397">
        <v>0</v>
      </c>
      <c r="N23" s="548">
        <f t="shared" si="0"/>
        <v>473.01400000000001</v>
      </c>
    </row>
    <row r="24" spans="1:15" ht="13.5">
      <c r="A24" s="333" t="s">
        <v>270</v>
      </c>
      <c r="B24" s="331">
        <v>40.093000000000004</v>
      </c>
      <c r="C24" s="397">
        <v>309.64999999999998</v>
      </c>
      <c r="D24" s="397">
        <v>241.07599999999999</v>
      </c>
      <c r="E24" s="397">
        <v>-126.678</v>
      </c>
      <c r="F24" s="397">
        <v>120.194</v>
      </c>
      <c r="G24" s="397">
        <v>321.84899999999999</v>
      </c>
      <c r="H24" s="515">
        <v>107.306</v>
      </c>
      <c r="I24" s="397">
        <v>137.304</v>
      </c>
      <c r="J24" s="397">
        <v>102.59</v>
      </c>
      <c r="K24" s="397">
        <v>156.62299999999999</v>
      </c>
      <c r="L24" s="397">
        <v>309.233</v>
      </c>
      <c r="M24" s="397">
        <v>0</v>
      </c>
      <c r="N24" s="548">
        <f t="shared" si="0"/>
        <v>1719.24</v>
      </c>
    </row>
    <row r="25" spans="1:15" ht="13.5">
      <c r="A25" s="333" t="s">
        <v>271</v>
      </c>
      <c r="B25" s="331">
        <v>76.793999999999997</v>
      </c>
      <c r="C25" s="397">
        <v>100.941</v>
      </c>
      <c r="D25" s="397">
        <v>74.772999999999996</v>
      </c>
      <c r="E25" s="397">
        <v>-10.866</v>
      </c>
      <c r="F25" s="397">
        <v>87.84</v>
      </c>
      <c r="G25" s="397">
        <v>32.978000000000002</v>
      </c>
      <c r="H25" s="515">
        <v>38.279000000000003</v>
      </c>
      <c r="I25" s="397">
        <v>21.382999999999999</v>
      </c>
      <c r="J25" s="397">
        <v>29.306000000000001</v>
      </c>
      <c r="K25" s="397">
        <v>34.622</v>
      </c>
      <c r="L25" s="397">
        <v>25.844999999999999</v>
      </c>
      <c r="M25" s="397">
        <v>0</v>
      </c>
      <c r="N25" s="548">
        <f t="shared" si="0"/>
        <v>511.89499999999998</v>
      </c>
    </row>
    <row r="26" spans="1:15" s="228" customFormat="1">
      <c r="A26" s="333" t="s">
        <v>213</v>
      </c>
      <c r="B26" s="331">
        <v>0</v>
      </c>
      <c r="C26" s="397">
        <v>0</v>
      </c>
      <c r="D26" s="397">
        <v>0</v>
      </c>
      <c r="E26" s="397">
        <v>22.346</v>
      </c>
      <c r="F26" s="397">
        <v>0</v>
      </c>
      <c r="G26" s="397">
        <v>0</v>
      </c>
      <c r="H26" s="515">
        <v>0</v>
      </c>
      <c r="I26" s="397">
        <v>0</v>
      </c>
      <c r="J26" s="397">
        <v>0</v>
      </c>
      <c r="K26" s="397">
        <v>0</v>
      </c>
      <c r="L26" s="397">
        <v>0</v>
      </c>
      <c r="M26" s="397">
        <v>0</v>
      </c>
      <c r="N26" s="548">
        <f t="shared" si="0"/>
        <v>22.346</v>
      </c>
      <c r="O26" s="215"/>
    </row>
    <row r="27" spans="1:15" s="228" customFormat="1">
      <c r="A27" s="453" t="s">
        <v>272</v>
      </c>
      <c r="B27" s="331">
        <v>0</v>
      </c>
      <c r="C27" s="397">
        <v>7.3730000000000002</v>
      </c>
      <c r="D27" s="397">
        <v>19.39</v>
      </c>
      <c r="E27" s="397">
        <v>7.3730000000000002</v>
      </c>
      <c r="F27" s="397">
        <v>9.2159999999999993</v>
      </c>
      <c r="G27" s="397">
        <v>12.901999999999999</v>
      </c>
      <c r="H27" s="515">
        <v>0</v>
      </c>
      <c r="I27" s="397">
        <v>81.831999999999994</v>
      </c>
      <c r="J27" s="397">
        <v>0</v>
      </c>
      <c r="K27" s="397">
        <v>0</v>
      </c>
      <c r="L27" s="397">
        <v>62.676000000000002</v>
      </c>
      <c r="M27" s="397">
        <v>0</v>
      </c>
      <c r="N27" s="548">
        <f t="shared" si="0"/>
        <v>200.762</v>
      </c>
      <c r="O27" s="215"/>
    </row>
    <row r="28" spans="1:15" s="228" customFormat="1" ht="14.65" customHeight="1">
      <c r="A28" s="333" t="s">
        <v>273</v>
      </c>
      <c r="B28" s="331">
        <v>-64.463999999999999</v>
      </c>
      <c r="C28" s="397">
        <v>16.844999999999999</v>
      </c>
      <c r="D28" s="397">
        <v>38.131</v>
      </c>
      <c r="E28" s="397">
        <v>1.5489999999999999</v>
      </c>
      <c r="F28" s="397">
        <v>3.161</v>
      </c>
      <c r="G28" s="397">
        <v>8.1129999999999995</v>
      </c>
      <c r="H28" s="515">
        <v>1.6279999999999999</v>
      </c>
      <c r="I28" s="397">
        <v>5.8789999999999996</v>
      </c>
      <c r="J28" s="397">
        <v>2.5489999999999999</v>
      </c>
      <c r="K28" s="397">
        <v>5.1559999999999997</v>
      </c>
      <c r="L28" s="397">
        <v>13.47</v>
      </c>
      <c r="M28" s="397">
        <v>0</v>
      </c>
      <c r="N28" s="548">
        <f t="shared" si="0"/>
        <v>32.016999999999996</v>
      </c>
    </row>
    <row r="29" spans="1:15" s="228" customFormat="1" ht="13.5">
      <c r="A29" s="333" t="s">
        <v>274</v>
      </c>
      <c r="B29" s="331">
        <v>-40.746000000000002</v>
      </c>
      <c r="C29" s="397">
        <v>0</v>
      </c>
      <c r="D29" s="397">
        <v>0</v>
      </c>
      <c r="E29" s="397">
        <v>38.137999999999998</v>
      </c>
      <c r="F29" s="397">
        <v>0</v>
      </c>
      <c r="G29" s="397">
        <v>3.577</v>
      </c>
      <c r="H29" s="515">
        <v>0</v>
      </c>
      <c r="I29" s="397">
        <v>0</v>
      </c>
      <c r="J29" s="397">
        <v>0</v>
      </c>
      <c r="K29" s="397">
        <v>0</v>
      </c>
      <c r="L29" s="397">
        <v>0</v>
      </c>
      <c r="M29" s="397">
        <v>0</v>
      </c>
      <c r="N29" s="548">
        <f t="shared" si="0"/>
        <v>0.96899999999999586</v>
      </c>
    </row>
    <row r="30" spans="1:15" s="228" customFormat="1" ht="13.5">
      <c r="A30" s="333" t="s">
        <v>275</v>
      </c>
      <c r="B30" s="331">
        <v>0</v>
      </c>
      <c r="C30" s="397">
        <v>0</v>
      </c>
      <c r="D30" s="397">
        <v>0</v>
      </c>
      <c r="E30" s="397">
        <v>0</v>
      </c>
      <c r="F30" s="397">
        <v>0</v>
      </c>
      <c r="G30" s="397">
        <v>0</v>
      </c>
      <c r="H30" s="515">
        <v>0</v>
      </c>
      <c r="I30" s="397">
        <v>0</v>
      </c>
      <c r="J30" s="397">
        <v>0</v>
      </c>
      <c r="K30" s="397">
        <v>0</v>
      </c>
      <c r="L30" s="397">
        <v>0</v>
      </c>
      <c r="M30" s="397">
        <v>0</v>
      </c>
      <c r="N30" s="548">
        <f t="shared" si="0"/>
        <v>0</v>
      </c>
    </row>
    <row r="31" spans="1:15" s="228" customFormat="1">
      <c r="A31" s="333" t="s">
        <v>276</v>
      </c>
      <c r="B31" s="331">
        <v>14.26</v>
      </c>
      <c r="C31" s="397">
        <v>38.618000000000002</v>
      </c>
      <c r="D31" s="397">
        <v>65.924999999999997</v>
      </c>
      <c r="E31" s="397">
        <v>60.545999999999999</v>
      </c>
      <c r="F31" s="397">
        <v>28.181999999999999</v>
      </c>
      <c r="G31" s="397">
        <v>27.408999999999999</v>
      </c>
      <c r="H31" s="515">
        <v>29.41</v>
      </c>
      <c r="I31" s="397">
        <v>24.716999999999999</v>
      </c>
      <c r="J31" s="397">
        <v>35.061</v>
      </c>
      <c r="K31" s="397">
        <v>31.388999999999999</v>
      </c>
      <c r="L31" s="397">
        <v>37.954999999999998</v>
      </c>
      <c r="M31" s="397">
        <v>0</v>
      </c>
      <c r="N31" s="548">
        <f t="shared" si="0"/>
        <v>393.47199999999992</v>
      </c>
    </row>
    <row r="32" spans="1:15" s="228" customFormat="1" ht="13.5">
      <c r="A32" s="333" t="s">
        <v>277</v>
      </c>
      <c r="B32" s="331">
        <v>0</v>
      </c>
      <c r="C32" s="397">
        <v>0</v>
      </c>
      <c r="D32" s="397">
        <v>0</v>
      </c>
      <c r="E32" s="397">
        <v>29.76</v>
      </c>
      <c r="F32" s="397">
        <v>-0.66800000000000004</v>
      </c>
      <c r="G32" s="397">
        <v>80.459000000000003</v>
      </c>
      <c r="H32" s="515">
        <v>0</v>
      </c>
      <c r="I32" s="397">
        <v>0</v>
      </c>
      <c r="J32" s="397">
        <v>124.857</v>
      </c>
      <c r="K32" s="397">
        <v>13.13</v>
      </c>
      <c r="L32" s="397">
        <v>80.763000000000005</v>
      </c>
      <c r="M32" s="397">
        <v>0</v>
      </c>
      <c r="N32" s="548">
        <f t="shared" si="0"/>
        <v>328.30100000000004</v>
      </c>
    </row>
    <row r="33" spans="1:15" s="228" customFormat="1" ht="13.5">
      <c r="A33" s="333" t="s">
        <v>278</v>
      </c>
      <c r="B33" s="401">
        <v>8.4019999999999992</v>
      </c>
      <c r="C33" s="402">
        <v>108.336</v>
      </c>
      <c r="D33" s="402">
        <v>349.84399999999999</v>
      </c>
      <c r="E33" s="402">
        <v>-87.331000000000003</v>
      </c>
      <c r="F33" s="402">
        <v>62.57</v>
      </c>
      <c r="G33" s="402">
        <v>74.480999999999995</v>
      </c>
      <c r="H33" s="516">
        <v>62.57</v>
      </c>
      <c r="I33" s="402">
        <v>62.57</v>
      </c>
      <c r="J33" s="402">
        <v>83.661000000000001</v>
      </c>
      <c r="K33" s="402">
        <v>62.57</v>
      </c>
      <c r="L33" s="402">
        <v>62.57</v>
      </c>
      <c r="M33" s="402">
        <v>0</v>
      </c>
      <c r="N33" s="548">
        <f t="shared" si="0"/>
        <v>850.24300000000017</v>
      </c>
    </row>
    <row r="34" spans="1:15" ht="12.75" thickBot="1">
      <c r="A34" s="341" t="s">
        <v>279</v>
      </c>
      <c r="B34" s="454">
        <f t="shared" ref="B34:M34" si="1">SUM(B9:B33)</f>
        <v>203.04099999999997</v>
      </c>
      <c r="C34" s="455">
        <f t="shared" si="1"/>
        <v>788.15400000000011</v>
      </c>
      <c r="D34" s="455">
        <f t="shared" si="1"/>
        <v>1042.7279999999998</v>
      </c>
      <c r="E34" s="455">
        <f t="shared" si="1"/>
        <v>215.36500000000001</v>
      </c>
      <c r="F34" s="455">
        <f t="shared" si="1"/>
        <v>529.80899999999997</v>
      </c>
      <c r="G34" s="455">
        <f t="shared" si="1"/>
        <v>955.88999999999987</v>
      </c>
      <c r="H34" s="517">
        <f t="shared" si="1"/>
        <v>456.47899999999998</v>
      </c>
      <c r="I34" s="455">
        <f t="shared" si="1"/>
        <v>738.93200000000013</v>
      </c>
      <c r="J34" s="455">
        <f t="shared" si="1"/>
        <v>1054.1030000000001</v>
      </c>
      <c r="K34" s="455">
        <f t="shared" si="1"/>
        <v>566.2410000000001</v>
      </c>
      <c r="L34" s="455">
        <f t="shared" si="1"/>
        <v>994.29200000000026</v>
      </c>
      <c r="M34" s="455">
        <f t="shared" si="1"/>
        <v>0</v>
      </c>
      <c r="N34" s="550">
        <f>SUM(N9:N33)</f>
        <v>7545.0339999999987</v>
      </c>
    </row>
    <row r="35" spans="1:15">
      <c r="A35" s="333"/>
      <c r="B35" s="331"/>
      <c r="C35" s="227"/>
      <c r="D35" s="227"/>
      <c r="E35" s="227"/>
      <c r="F35" s="227"/>
      <c r="G35" s="227"/>
      <c r="H35" s="518"/>
      <c r="I35" s="227"/>
      <c r="J35" s="227"/>
      <c r="K35" s="227"/>
      <c r="L35" s="227"/>
      <c r="M35" s="227"/>
      <c r="N35" s="548"/>
    </row>
    <row r="36" spans="1:15" s="228" customFormat="1">
      <c r="A36" s="332" t="s">
        <v>280</v>
      </c>
      <c r="B36" s="331"/>
      <c r="C36" s="227"/>
      <c r="D36" s="227"/>
      <c r="E36" s="227"/>
      <c r="F36" s="227"/>
      <c r="G36" s="227"/>
      <c r="H36" s="518"/>
      <c r="I36" s="227"/>
      <c r="J36" s="227"/>
      <c r="K36" s="227"/>
      <c r="L36" s="227"/>
      <c r="M36" s="227"/>
      <c r="N36" s="551"/>
      <c r="O36" s="215"/>
    </row>
    <row r="37" spans="1:15">
      <c r="A37" s="333" t="s">
        <v>258</v>
      </c>
      <c r="B37" s="399">
        <v>0</v>
      </c>
      <c r="C37" s="400">
        <v>0</v>
      </c>
      <c r="D37" s="400">
        <v>0</v>
      </c>
      <c r="E37" s="400">
        <v>0</v>
      </c>
      <c r="F37" s="400">
        <v>0</v>
      </c>
      <c r="G37" s="533">
        <v>0.02</v>
      </c>
      <c r="H37" s="514">
        <v>0</v>
      </c>
      <c r="I37" s="400">
        <v>0</v>
      </c>
      <c r="J37" s="400">
        <v>0</v>
      </c>
      <c r="K37" s="400">
        <v>0</v>
      </c>
      <c r="L37" s="400">
        <v>0</v>
      </c>
      <c r="M37" s="400">
        <v>0</v>
      </c>
      <c r="N37" s="548">
        <f t="shared" ref="N37:N46" si="2">SUM(B37:M37)</f>
        <v>0.02</v>
      </c>
    </row>
    <row r="38" spans="1:15" s="217" customFormat="1" ht="14.25">
      <c r="A38" s="334" t="s">
        <v>281</v>
      </c>
      <c r="B38" s="458">
        <v>4.1000000000000002E-2</v>
      </c>
      <c r="C38" s="397">
        <v>0.68400000000000005</v>
      </c>
      <c r="D38" s="397">
        <v>0</v>
      </c>
      <c r="E38" s="397">
        <v>0</v>
      </c>
      <c r="F38" s="397">
        <v>0</v>
      </c>
      <c r="G38" s="397">
        <v>0</v>
      </c>
      <c r="H38" s="515">
        <v>0.127</v>
      </c>
      <c r="I38" s="397">
        <v>0</v>
      </c>
      <c r="J38" s="397">
        <v>0</v>
      </c>
      <c r="K38" s="397">
        <v>0</v>
      </c>
      <c r="L38" s="397">
        <v>0</v>
      </c>
      <c r="M38" s="397">
        <v>0</v>
      </c>
      <c r="N38" s="548">
        <f t="shared" si="2"/>
        <v>0.85200000000000009</v>
      </c>
    </row>
    <row r="39" spans="1:15">
      <c r="A39" s="333" t="s">
        <v>188</v>
      </c>
      <c r="B39" s="331">
        <v>7.4930000000000003</v>
      </c>
      <c r="C39" s="397">
        <v>9.1129999999999995</v>
      </c>
      <c r="D39" s="397">
        <v>8.7270000000000003</v>
      </c>
      <c r="E39" s="397">
        <v>5.1609999999999996</v>
      </c>
      <c r="F39" s="397">
        <v>5.5590000000000002</v>
      </c>
      <c r="G39" s="397">
        <v>5.8609999999999998</v>
      </c>
      <c r="H39" s="515">
        <v>8.8420000000000005</v>
      </c>
      <c r="I39" s="397">
        <v>0</v>
      </c>
      <c r="J39" s="397">
        <v>8.5489999999999995</v>
      </c>
      <c r="K39" s="397">
        <v>17.251999999999999</v>
      </c>
      <c r="L39" s="397">
        <v>0</v>
      </c>
      <c r="M39" s="397">
        <v>0</v>
      </c>
      <c r="N39" s="548">
        <f t="shared" si="2"/>
        <v>76.556999999999988</v>
      </c>
    </row>
    <row r="40" spans="1:15">
      <c r="A40" s="333" t="s">
        <v>282</v>
      </c>
      <c r="B40" s="331">
        <v>0</v>
      </c>
      <c r="C40" s="397">
        <v>0</v>
      </c>
      <c r="D40" s="397">
        <v>0</v>
      </c>
      <c r="E40" s="397">
        <v>0</v>
      </c>
      <c r="F40" s="397">
        <v>0</v>
      </c>
      <c r="G40" s="397">
        <v>0</v>
      </c>
      <c r="H40" s="515">
        <v>29.338999999999999</v>
      </c>
      <c r="I40" s="397">
        <v>0</v>
      </c>
      <c r="J40" s="397">
        <v>107.94199999999999</v>
      </c>
      <c r="K40" s="397">
        <v>37.351999999999997</v>
      </c>
      <c r="L40" s="397">
        <v>3.347</v>
      </c>
      <c r="M40" s="397">
        <v>0</v>
      </c>
      <c r="N40" s="548">
        <f t="shared" si="2"/>
        <v>177.98000000000002</v>
      </c>
    </row>
    <row r="41" spans="1:15" ht="13.5">
      <c r="A41" s="333" t="s">
        <v>283</v>
      </c>
      <c r="B41" s="331">
        <v>20.731999999999999</v>
      </c>
      <c r="C41" s="397">
        <v>137.51900000000001</v>
      </c>
      <c r="D41" s="397">
        <v>154.41499999999999</v>
      </c>
      <c r="E41" s="397">
        <v>135.97900000000001</v>
      </c>
      <c r="F41" s="397">
        <v>12.586</v>
      </c>
      <c r="G41" s="397">
        <v>37.682000000000002</v>
      </c>
      <c r="H41" s="515">
        <v>-37.682000000000002</v>
      </c>
      <c r="I41" s="397">
        <v>198.59399999999999</v>
      </c>
      <c r="J41" s="397">
        <v>72.522000000000006</v>
      </c>
      <c r="K41" s="397">
        <v>94.126000000000005</v>
      </c>
      <c r="L41" s="397">
        <v>115.474</v>
      </c>
      <c r="M41" s="397">
        <v>0</v>
      </c>
      <c r="N41" s="548">
        <f t="shared" si="2"/>
        <v>941.94700000000012</v>
      </c>
    </row>
    <row r="42" spans="1:15">
      <c r="A42" s="334" t="s">
        <v>284</v>
      </c>
      <c r="B42" s="331">
        <v>20</v>
      </c>
      <c r="C42" s="397">
        <v>20.3</v>
      </c>
      <c r="D42" s="397">
        <v>5.65</v>
      </c>
      <c r="E42" s="397">
        <v>12.8</v>
      </c>
      <c r="F42" s="397">
        <v>26.1</v>
      </c>
      <c r="G42" s="397">
        <v>30.75</v>
      </c>
      <c r="H42" s="515">
        <v>27.3</v>
      </c>
      <c r="I42" s="397">
        <v>29.6</v>
      </c>
      <c r="J42" s="397">
        <v>21.5</v>
      </c>
      <c r="K42" s="397">
        <v>60.6</v>
      </c>
      <c r="L42" s="397">
        <v>60.15</v>
      </c>
      <c r="M42" s="397">
        <v>0</v>
      </c>
      <c r="N42" s="548">
        <f t="shared" si="2"/>
        <v>314.75</v>
      </c>
    </row>
    <row r="43" spans="1:15">
      <c r="A43" s="333" t="s">
        <v>200</v>
      </c>
      <c r="B43" s="331">
        <v>0</v>
      </c>
      <c r="C43" s="397">
        <v>0.27600000000000002</v>
      </c>
      <c r="D43" s="397">
        <v>0</v>
      </c>
      <c r="E43" s="397">
        <v>0</v>
      </c>
      <c r="F43" s="397">
        <v>0</v>
      </c>
      <c r="G43" s="397">
        <v>0</v>
      </c>
      <c r="H43" s="515">
        <v>0</v>
      </c>
      <c r="I43" s="397">
        <v>0</v>
      </c>
      <c r="J43" s="397">
        <v>0</v>
      </c>
      <c r="K43" s="397">
        <v>1.5</v>
      </c>
      <c r="L43" s="397">
        <v>0</v>
      </c>
      <c r="M43" s="397">
        <v>0</v>
      </c>
      <c r="N43" s="548">
        <f t="shared" si="2"/>
        <v>1.776</v>
      </c>
    </row>
    <row r="44" spans="1:15">
      <c r="A44" s="333" t="s">
        <v>265</v>
      </c>
      <c r="B44" s="331">
        <v>0</v>
      </c>
      <c r="C44" s="397">
        <v>0</v>
      </c>
      <c r="D44" s="397">
        <v>0</v>
      </c>
      <c r="E44" s="397">
        <v>0</v>
      </c>
      <c r="F44" s="397">
        <v>0</v>
      </c>
      <c r="G44" s="397">
        <v>0</v>
      </c>
      <c r="H44" s="515">
        <v>0</v>
      </c>
      <c r="I44" s="397">
        <v>0</v>
      </c>
      <c r="J44" s="397">
        <v>0</v>
      </c>
      <c r="K44" s="397">
        <v>0</v>
      </c>
      <c r="L44" s="397">
        <v>0</v>
      </c>
      <c r="M44" s="397">
        <v>0</v>
      </c>
      <c r="N44" s="548">
        <f t="shared" si="2"/>
        <v>0</v>
      </c>
    </row>
    <row r="45" spans="1:15">
      <c r="A45" s="450" t="s">
        <v>285</v>
      </c>
      <c r="B45" s="331">
        <v>0</v>
      </c>
      <c r="C45" s="397">
        <v>0</v>
      </c>
      <c r="D45" s="397">
        <v>0</v>
      </c>
      <c r="E45" s="397">
        <v>0</v>
      </c>
      <c r="F45" s="397">
        <v>0</v>
      </c>
      <c r="G45" s="397">
        <v>0</v>
      </c>
      <c r="H45" s="515">
        <v>0</v>
      </c>
      <c r="I45" s="397">
        <v>0</v>
      </c>
      <c r="J45" s="397">
        <v>0</v>
      </c>
      <c r="K45" s="397">
        <v>0</v>
      </c>
      <c r="L45" s="397">
        <v>0</v>
      </c>
      <c r="M45" s="397">
        <v>0</v>
      </c>
      <c r="N45" s="548">
        <f t="shared" si="2"/>
        <v>0</v>
      </c>
    </row>
    <row r="46" spans="1:15">
      <c r="A46" s="333" t="s">
        <v>286</v>
      </c>
      <c r="B46" s="331">
        <v>0</v>
      </c>
      <c r="C46" s="397">
        <v>0</v>
      </c>
      <c r="D46" s="397">
        <v>0</v>
      </c>
      <c r="E46" s="397">
        <v>0</v>
      </c>
      <c r="F46" s="397">
        <v>0</v>
      </c>
      <c r="G46" s="397">
        <v>0</v>
      </c>
      <c r="H46" s="515">
        <v>0</v>
      </c>
      <c r="I46" s="397">
        <v>0</v>
      </c>
      <c r="J46" s="397">
        <v>0</v>
      </c>
      <c r="K46" s="397">
        <v>0</v>
      </c>
      <c r="L46" s="397">
        <v>0</v>
      </c>
      <c r="M46" s="397">
        <v>0</v>
      </c>
      <c r="N46" s="548">
        <f t="shared" si="2"/>
        <v>0</v>
      </c>
    </row>
    <row r="47" spans="1:15">
      <c r="A47" s="456" t="s">
        <v>287</v>
      </c>
      <c r="B47" s="555">
        <f t="shared" ref="B47:M47" si="3">SUM(B37:B46)</f>
        <v>48.265999999999998</v>
      </c>
      <c r="C47" s="556">
        <f t="shared" si="3"/>
        <v>167.89200000000002</v>
      </c>
      <c r="D47" s="556">
        <f t="shared" si="3"/>
        <v>168.792</v>
      </c>
      <c r="E47" s="556">
        <f t="shared" si="3"/>
        <v>153.94000000000003</v>
      </c>
      <c r="F47" s="556">
        <f t="shared" si="3"/>
        <v>44.245000000000005</v>
      </c>
      <c r="G47" s="556">
        <f t="shared" si="3"/>
        <v>74.313000000000002</v>
      </c>
      <c r="H47" s="557">
        <f t="shared" si="3"/>
        <v>27.925999999999998</v>
      </c>
      <c r="I47" s="556">
        <f t="shared" si="3"/>
        <v>228.19399999999999</v>
      </c>
      <c r="J47" s="556">
        <f t="shared" si="3"/>
        <v>210.51299999999998</v>
      </c>
      <c r="K47" s="556">
        <f t="shared" si="3"/>
        <v>210.83</v>
      </c>
      <c r="L47" s="556">
        <f t="shared" si="3"/>
        <v>178.971</v>
      </c>
      <c r="M47" s="556">
        <f t="shared" si="3"/>
        <v>0</v>
      </c>
      <c r="N47" s="558">
        <f>SUM(N37:N46)</f>
        <v>1513.8820000000003</v>
      </c>
    </row>
    <row r="48" spans="1:15" ht="20.25" customHeight="1" thickBot="1">
      <c r="A48" s="229" t="s">
        <v>288</v>
      </c>
      <c r="B48" s="559">
        <f t="shared" ref="B48:M48" si="4">B47+B34</f>
        <v>251.30699999999996</v>
      </c>
      <c r="C48" s="560">
        <f t="shared" si="4"/>
        <v>956.04600000000016</v>
      </c>
      <c r="D48" s="560">
        <f t="shared" si="4"/>
        <v>1211.5199999999998</v>
      </c>
      <c r="E48" s="560">
        <f t="shared" si="4"/>
        <v>369.30500000000006</v>
      </c>
      <c r="F48" s="560">
        <f t="shared" si="4"/>
        <v>574.05399999999997</v>
      </c>
      <c r="G48" s="560">
        <f t="shared" si="4"/>
        <v>1030.203</v>
      </c>
      <c r="H48" s="561">
        <f t="shared" si="4"/>
        <v>484.40499999999997</v>
      </c>
      <c r="I48" s="560">
        <f t="shared" si="4"/>
        <v>967.12600000000009</v>
      </c>
      <c r="J48" s="560">
        <f t="shared" si="4"/>
        <v>1264.616</v>
      </c>
      <c r="K48" s="560">
        <f t="shared" si="4"/>
        <v>777.07100000000014</v>
      </c>
      <c r="L48" s="560">
        <f t="shared" si="4"/>
        <v>1173.2630000000004</v>
      </c>
      <c r="M48" s="560">
        <f t="shared" si="4"/>
        <v>0</v>
      </c>
      <c r="N48" s="562">
        <f>N47+N34</f>
        <v>9058.9159999999993</v>
      </c>
    </row>
    <row r="49" spans="1:14" ht="16.5" customHeight="1">
      <c r="A49" s="230"/>
      <c r="B49" s="335"/>
      <c r="C49" s="335"/>
      <c r="D49" s="335"/>
      <c r="E49" s="335"/>
      <c r="F49" s="335"/>
      <c r="G49" s="335"/>
      <c r="H49" s="517"/>
      <c r="I49" s="335"/>
      <c r="J49" s="554"/>
      <c r="K49" s="335"/>
      <c r="L49" s="335"/>
      <c r="M49" s="335"/>
      <c r="N49" s="552"/>
    </row>
    <row r="50" spans="1:14" ht="30.75" customHeight="1" thickBot="1">
      <c r="A50" s="231" t="s">
        <v>289</v>
      </c>
      <c r="B50" s="232">
        <f>B48+0.2</f>
        <v>251.50699999999995</v>
      </c>
      <c r="C50" s="233">
        <f>C48+0.961</f>
        <v>957.00700000000018</v>
      </c>
      <c r="D50" s="233">
        <f>D48+2.359</f>
        <v>1213.8789999999997</v>
      </c>
      <c r="E50" s="367">
        <f>E48+3.129</f>
        <v>372.43400000000008</v>
      </c>
      <c r="F50" s="233">
        <f>F48+2.518</f>
        <v>576.572</v>
      </c>
      <c r="G50" s="233">
        <f>G48+0.907</f>
        <v>1031.1099999999999</v>
      </c>
      <c r="H50" s="519">
        <f>H48+0.697</f>
        <v>485.10199999999998</v>
      </c>
      <c r="I50" s="233">
        <f>I48+0.627</f>
        <v>967.75300000000004</v>
      </c>
      <c r="J50" s="233">
        <f>J48+0.649</f>
        <v>1265.2649999999999</v>
      </c>
      <c r="K50" s="233">
        <f>K48+0.751</f>
        <v>777.82200000000012</v>
      </c>
      <c r="L50" s="233">
        <f>L48+0.778</f>
        <v>1174.0410000000004</v>
      </c>
      <c r="M50" s="233">
        <v>0</v>
      </c>
      <c r="N50" s="553">
        <f>SUM(B50:M50)</f>
        <v>9072.4920000000002</v>
      </c>
    </row>
    <row r="51" spans="1:14" ht="12.75" customHeight="1">
      <c r="A51" s="265"/>
      <c r="B51" s="266"/>
      <c r="C51" s="266"/>
      <c r="D51" s="266"/>
      <c r="E51" s="266"/>
      <c r="F51" s="266"/>
      <c r="G51" s="266"/>
      <c r="H51" s="266"/>
      <c r="I51" s="266"/>
      <c r="J51" s="266"/>
      <c r="K51" s="266"/>
      <c r="L51" s="266"/>
      <c r="M51" s="266"/>
      <c r="N51" s="267"/>
    </row>
    <row r="52" spans="1:14" ht="12.75" customHeight="1">
      <c r="A52" s="467" t="s">
        <v>98</v>
      </c>
      <c r="B52" s="266"/>
      <c r="C52" s="266"/>
      <c r="D52" s="266"/>
      <c r="E52" s="266"/>
      <c r="F52" s="266"/>
      <c r="G52" s="266"/>
      <c r="H52" s="266"/>
      <c r="I52" s="266"/>
      <c r="J52" s="266"/>
      <c r="K52" s="266"/>
      <c r="L52" s="266"/>
      <c r="M52" s="266"/>
      <c r="N52" s="267"/>
    </row>
    <row r="53" spans="1:14" s="228" customFormat="1" ht="16.5">
      <c r="A53" s="443" t="s">
        <v>290</v>
      </c>
      <c r="G53" s="227"/>
      <c r="H53" s="227"/>
      <c r="J53" s="291"/>
    </row>
    <row r="54" spans="1:14" s="228" customFormat="1" ht="16.5" customHeight="1">
      <c r="A54" s="338" t="s">
        <v>352</v>
      </c>
      <c r="G54" s="227"/>
      <c r="H54" s="227"/>
      <c r="J54" s="291"/>
    </row>
    <row r="55" spans="1:14" s="228" customFormat="1" ht="16.5" customHeight="1">
      <c r="A55" s="338" t="s">
        <v>291</v>
      </c>
      <c r="G55" s="227"/>
      <c r="H55" s="227"/>
      <c r="J55" s="291"/>
    </row>
    <row r="56" spans="1:14" s="526" customFormat="1" ht="16.5">
      <c r="A56" s="338" t="s">
        <v>292</v>
      </c>
      <c r="J56" s="527"/>
    </row>
    <row r="57" spans="1:14" ht="16.5">
      <c r="A57" s="338" t="s">
        <v>293</v>
      </c>
      <c r="B57" s="130"/>
      <c r="C57" s="130"/>
      <c r="D57" s="130"/>
      <c r="E57" s="130"/>
      <c r="F57" s="130"/>
    </row>
    <row r="58" spans="1:14" s="217" customFormat="1" ht="16.5">
      <c r="A58" s="530" t="s">
        <v>294</v>
      </c>
      <c r="B58" s="201"/>
      <c r="C58" s="201"/>
      <c r="D58" s="201"/>
      <c r="E58" s="201"/>
      <c r="F58" s="201"/>
      <c r="J58" s="531"/>
    </row>
    <row r="59" spans="1:14" ht="16.5">
      <c r="A59" s="338" t="s">
        <v>220</v>
      </c>
    </row>
    <row r="60" spans="1:14" ht="16.5">
      <c r="A60" s="338" t="s">
        <v>295</v>
      </c>
    </row>
    <row r="61" spans="1:14" ht="15">
      <c r="A61" s="243" t="s">
        <v>73</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heetViews>
  <sheetFormatPr defaultColWidth="9.28515625" defaultRowHeight="12.75"/>
  <cols>
    <col min="1" max="1" width="39.42578125" style="16" customWidth="1"/>
    <col min="2" max="2" width="11" style="16" customWidth="1"/>
    <col min="3" max="3" width="9.7109375" style="16" customWidth="1"/>
    <col min="4" max="4" width="15.5703125" style="16" customWidth="1"/>
    <col min="5" max="5" width="11.7109375" style="16" customWidth="1"/>
    <col min="6" max="8" width="11" style="16" customWidth="1"/>
    <col min="9" max="9" width="10.28515625" style="16" bestFit="1" customWidth="1"/>
    <col min="10" max="13" width="11" style="16" customWidth="1"/>
    <col min="14" max="14" width="15.7109375" style="16" bestFit="1" customWidth="1"/>
    <col min="15" max="15" width="9.7109375" style="16" bestFit="1" customWidth="1"/>
    <col min="16" max="16" width="9.28515625" style="16"/>
    <col min="17" max="17" width="22.28515625" style="16" customWidth="1"/>
    <col min="18" max="16384" width="9.28515625" style="16"/>
  </cols>
  <sheetData>
    <row r="2" spans="1:14">
      <c r="E2" s="149" t="s">
        <v>39</v>
      </c>
    </row>
    <row r="3" spans="1:14">
      <c r="C3" s="161"/>
      <c r="D3" s="161"/>
      <c r="E3" s="162" t="s">
        <v>296</v>
      </c>
      <c r="F3" s="161"/>
      <c r="G3" s="161"/>
    </row>
    <row r="4" spans="1:14">
      <c r="A4" s="22"/>
      <c r="D4" s="161"/>
      <c r="E4" s="152" t="str">
        <f>'Program MW '!H3</f>
        <v>November 2020</v>
      </c>
      <c r="F4" s="161"/>
    </row>
    <row r="5" spans="1:14">
      <c r="A5" s="459"/>
      <c r="E5" s="152"/>
    </row>
    <row r="6" spans="1:14" ht="13.5" thickBot="1">
      <c r="A6" s="22"/>
      <c r="E6" s="152"/>
    </row>
    <row r="7" spans="1:14" ht="32.25" customHeight="1">
      <c r="A7" s="23" t="s">
        <v>255</v>
      </c>
      <c r="B7" s="24" t="s">
        <v>41</v>
      </c>
      <c r="C7" s="24" t="s">
        <v>42</v>
      </c>
      <c r="D7" s="24" t="s">
        <v>43</v>
      </c>
      <c r="E7" s="24" t="s">
        <v>44</v>
      </c>
      <c r="F7" s="24" t="s">
        <v>31</v>
      </c>
      <c r="G7" s="24" t="s">
        <v>45</v>
      </c>
      <c r="H7" s="24" t="s">
        <v>60</v>
      </c>
      <c r="I7" s="24" t="s">
        <v>75</v>
      </c>
      <c r="J7" s="24" t="s">
        <v>76</v>
      </c>
      <c r="K7" s="24" t="s">
        <v>62</v>
      </c>
      <c r="L7" s="24" t="s">
        <v>77</v>
      </c>
      <c r="M7" s="24" t="s">
        <v>63</v>
      </c>
      <c r="N7" s="537" t="s">
        <v>297</v>
      </c>
    </row>
    <row r="8" spans="1:14" ht="16.5">
      <c r="A8" s="25" t="s">
        <v>298</v>
      </c>
      <c r="N8" s="345"/>
    </row>
    <row r="9" spans="1:14" ht="6" customHeight="1">
      <c r="A9" s="26"/>
      <c r="N9" s="345"/>
    </row>
    <row r="10" spans="1:14">
      <c r="A10" s="26" t="s">
        <v>257</v>
      </c>
      <c r="N10" s="345"/>
    </row>
    <row r="11" spans="1:14" ht="14.25" customHeight="1">
      <c r="A11" s="27" t="s">
        <v>299</v>
      </c>
      <c r="B11" s="244">
        <v>2.2410000000000001</v>
      </c>
      <c r="C11" s="244">
        <v>2.25</v>
      </c>
      <c r="D11" s="244">
        <v>2.7269999999999999</v>
      </c>
      <c r="E11" s="244">
        <v>2.7210000000000001</v>
      </c>
      <c r="F11" s="244">
        <v>2.5259999999999998</v>
      </c>
      <c r="G11" s="244">
        <v>2.597</v>
      </c>
      <c r="H11" s="244">
        <v>2.6890000000000001</v>
      </c>
      <c r="I11" s="244">
        <v>2.2069999999999999</v>
      </c>
      <c r="J11" s="244">
        <v>1.829</v>
      </c>
      <c r="K11" s="244">
        <v>3.0070000000000001</v>
      </c>
      <c r="L11" s="244">
        <v>2.4860000000000002</v>
      </c>
      <c r="M11" s="244">
        <v>0</v>
      </c>
      <c r="N11" s="539">
        <f>SUM(B11:M11)</f>
        <v>27.28</v>
      </c>
    </row>
    <row r="12" spans="1:14">
      <c r="A12" s="27" t="s">
        <v>111</v>
      </c>
      <c r="B12" s="244">
        <v>0</v>
      </c>
      <c r="C12" s="244">
        <v>0</v>
      </c>
      <c r="D12" s="244">
        <v>0</v>
      </c>
      <c r="E12" s="244">
        <v>0</v>
      </c>
      <c r="F12" s="244">
        <v>0</v>
      </c>
      <c r="G12" s="244">
        <v>0</v>
      </c>
      <c r="H12" s="244">
        <v>0</v>
      </c>
      <c r="I12" s="244">
        <v>0</v>
      </c>
      <c r="J12" s="244">
        <v>0</v>
      </c>
      <c r="K12" s="244">
        <v>0</v>
      </c>
      <c r="L12" s="244">
        <v>0</v>
      </c>
      <c r="M12" s="244">
        <v>0</v>
      </c>
      <c r="N12" s="539">
        <f>SUM(B12:M12)</f>
        <v>0</v>
      </c>
    </row>
    <row r="13" spans="1:14">
      <c r="A13" s="27" t="s">
        <v>300</v>
      </c>
      <c r="B13" s="244">
        <v>0</v>
      </c>
      <c r="C13" s="244">
        <v>0</v>
      </c>
      <c r="D13" s="244">
        <v>0</v>
      </c>
      <c r="E13" s="244">
        <v>0</v>
      </c>
      <c r="F13" s="244">
        <v>0</v>
      </c>
      <c r="G13" s="244">
        <v>0</v>
      </c>
      <c r="H13" s="244">
        <v>0</v>
      </c>
      <c r="I13" s="244">
        <v>0</v>
      </c>
      <c r="J13" s="244">
        <v>0</v>
      </c>
      <c r="K13" s="244">
        <v>0</v>
      </c>
      <c r="L13" s="244">
        <v>0</v>
      </c>
      <c r="M13" s="244">
        <v>0</v>
      </c>
      <c r="N13" s="539">
        <f>SUM(B13:M13)</f>
        <v>0</v>
      </c>
    </row>
    <row r="14" spans="1:14">
      <c r="A14" s="20" t="s">
        <v>301</v>
      </c>
      <c r="B14" s="245">
        <f t="shared" ref="B14:M14" si="0">SUM(B11:B13)</f>
        <v>2.2410000000000001</v>
      </c>
      <c r="C14" s="245">
        <f t="shared" si="0"/>
        <v>2.25</v>
      </c>
      <c r="D14" s="245">
        <f t="shared" si="0"/>
        <v>2.7269999999999999</v>
      </c>
      <c r="E14" s="245">
        <f t="shared" si="0"/>
        <v>2.7210000000000001</v>
      </c>
      <c r="F14" s="245">
        <f t="shared" si="0"/>
        <v>2.5259999999999998</v>
      </c>
      <c r="G14" s="245">
        <f t="shared" si="0"/>
        <v>2.597</v>
      </c>
      <c r="H14" s="245">
        <f t="shared" si="0"/>
        <v>2.6890000000000001</v>
      </c>
      <c r="I14" s="245">
        <f t="shared" si="0"/>
        <v>2.2069999999999999</v>
      </c>
      <c r="J14" s="245">
        <f t="shared" si="0"/>
        <v>1.829</v>
      </c>
      <c r="K14" s="245">
        <f t="shared" si="0"/>
        <v>3.0070000000000001</v>
      </c>
      <c r="L14" s="245">
        <f t="shared" si="0"/>
        <v>2.4860000000000002</v>
      </c>
      <c r="M14" s="245">
        <f t="shared" si="0"/>
        <v>0</v>
      </c>
      <c r="N14" s="540">
        <f>SUM(B14:M14)</f>
        <v>27.28</v>
      </c>
    </row>
    <row r="15" spans="1:14">
      <c r="A15" s="27"/>
      <c r="B15" s="244"/>
      <c r="C15" s="244"/>
      <c r="D15" s="244"/>
      <c r="E15" s="244"/>
      <c r="F15" s="244"/>
      <c r="G15" s="244"/>
      <c r="H15" s="244"/>
      <c r="I15" s="244"/>
      <c r="J15" s="244"/>
      <c r="K15" s="244"/>
      <c r="L15" s="244"/>
      <c r="M15" s="244"/>
      <c r="N15" s="539"/>
    </row>
    <row r="16" spans="1:14">
      <c r="A16" s="26" t="s">
        <v>302</v>
      </c>
      <c r="B16" s="244"/>
      <c r="C16" s="244"/>
      <c r="D16" s="244"/>
      <c r="E16" s="244"/>
      <c r="F16" s="244"/>
      <c r="G16" s="244"/>
      <c r="H16" s="244"/>
      <c r="I16" s="244"/>
      <c r="J16" s="244"/>
      <c r="K16" s="244"/>
      <c r="L16" s="244"/>
      <c r="M16" s="244"/>
      <c r="N16" s="539"/>
    </row>
    <row r="17" spans="1:19" ht="14.25">
      <c r="A17" s="27" t="s">
        <v>303</v>
      </c>
      <c r="B17" s="244">
        <v>0</v>
      </c>
      <c r="C17" s="244">
        <v>0</v>
      </c>
      <c r="D17" s="244">
        <v>0</v>
      </c>
      <c r="E17" s="244">
        <v>0</v>
      </c>
      <c r="F17" s="244">
        <v>0</v>
      </c>
      <c r="G17" s="244">
        <v>0</v>
      </c>
      <c r="H17" s="250">
        <v>0</v>
      </c>
      <c r="I17" s="250">
        <v>0</v>
      </c>
      <c r="J17" s="250">
        <v>0</v>
      </c>
      <c r="K17" s="250">
        <v>0</v>
      </c>
      <c r="L17" s="250">
        <v>0</v>
      </c>
      <c r="M17" s="250">
        <v>0</v>
      </c>
      <c r="N17" s="539">
        <f>SUM(B17:M17)</f>
        <v>0</v>
      </c>
    </row>
    <row r="18" spans="1:19">
      <c r="A18" s="20" t="s">
        <v>304</v>
      </c>
      <c r="B18" s="245">
        <f t="shared" ref="B18:M18" si="1">SUM(B17:B17)</f>
        <v>0</v>
      </c>
      <c r="C18" s="245">
        <f t="shared" si="1"/>
        <v>0</v>
      </c>
      <c r="D18" s="245">
        <f t="shared" si="1"/>
        <v>0</v>
      </c>
      <c r="E18" s="245">
        <f t="shared" si="1"/>
        <v>0</v>
      </c>
      <c r="F18" s="245">
        <f t="shared" si="1"/>
        <v>0</v>
      </c>
      <c r="G18" s="245">
        <f t="shared" si="1"/>
        <v>0</v>
      </c>
      <c r="H18" s="245">
        <f t="shared" si="1"/>
        <v>0</v>
      </c>
      <c r="I18" s="245">
        <f t="shared" si="1"/>
        <v>0</v>
      </c>
      <c r="J18" s="245">
        <f t="shared" si="1"/>
        <v>0</v>
      </c>
      <c r="K18" s="245">
        <f t="shared" si="1"/>
        <v>0</v>
      </c>
      <c r="L18" s="245">
        <f t="shared" si="1"/>
        <v>0</v>
      </c>
      <c r="M18" s="245">
        <f t="shared" si="1"/>
        <v>0</v>
      </c>
      <c r="N18" s="540">
        <f>SUM(B18:M18)</f>
        <v>0</v>
      </c>
    </row>
    <row r="19" spans="1:19">
      <c r="A19" s="29"/>
      <c r="B19" s="244"/>
      <c r="C19" s="244"/>
      <c r="D19" s="244"/>
      <c r="E19" s="244"/>
      <c r="F19" s="244"/>
      <c r="G19" s="244"/>
      <c r="H19" s="244"/>
      <c r="I19" s="244"/>
      <c r="J19" s="244"/>
      <c r="K19" s="244"/>
      <c r="L19" s="244"/>
      <c r="M19" s="244"/>
      <c r="N19" s="539"/>
    </row>
    <row r="20" spans="1:19">
      <c r="A20" s="26" t="s">
        <v>305</v>
      </c>
      <c r="B20" s="244" t="s">
        <v>57</v>
      </c>
      <c r="C20" s="244" t="s">
        <v>57</v>
      </c>
      <c r="D20" s="244" t="s">
        <v>57</v>
      </c>
      <c r="E20" s="244"/>
      <c r="F20" s="244" t="s">
        <v>57</v>
      </c>
      <c r="G20" s="251"/>
      <c r="H20" s="244" t="s">
        <v>57</v>
      </c>
      <c r="I20" s="244" t="s">
        <v>57</v>
      </c>
      <c r="J20" s="244" t="s">
        <v>57</v>
      </c>
      <c r="K20" s="244" t="s">
        <v>57</v>
      </c>
      <c r="L20" s="244" t="s">
        <v>57</v>
      </c>
      <c r="M20" s="244" t="s">
        <v>57</v>
      </c>
      <c r="N20" s="539" t="s">
        <v>57</v>
      </c>
    </row>
    <row r="21" spans="1:19">
      <c r="A21" s="27" t="s">
        <v>306</v>
      </c>
      <c r="B21" s="244">
        <v>0</v>
      </c>
      <c r="C21" s="244">
        <v>0</v>
      </c>
      <c r="D21" s="244">
        <v>0</v>
      </c>
      <c r="E21" s="244">
        <v>0</v>
      </c>
      <c r="F21" s="244">
        <v>0</v>
      </c>
      <c r="G21" s="244">
        <v>0</v>
      </c>
      <c r="H21" s="250">
        <v>0</v>
      </c>
      <c r="I21" s="250">
        <v>0</v>
      </c>
      <c r="J21" s="250">
        <v>0</v>
      </c>
      <c r="K21" s="250">
        <v>0</v>
      </c>
      <c r="L21" s="250">
        <v>0</v>
      </c>
      <c r="M21" s="250">
        <v>0</v>
      </c>
      <c r="N21" s="539">
        <f>SUM(B21:M21)</f>
        <v>0</v>
      </c>
    </row>
    <row r="22" spans="1:19">
      <c r="A22" s="211" t="s">
        <v>307</v>
      </c>
      <c r="B22" s="245">
        <f t="shared" ref="B22:M22" si="2">SUM(B21:B21)</f>
        <v>0</v>
      </c>
      <c r="C22" s="245">
        <f t="shared" si="2"/>
        <v>0</v>
      </c>
      <c r="D22" s="245">
        <f t="shared" si="2"/>
        <v>0</v>
      </c>
      <c r="E22" s="245">
        <f t="shared" si="2"/>
        <v>0</v>
      </c>
      <c r="F22" s="245">
        <f t="shared" si="2"/>
        <v>0</v>
      </c>
      <c r="G22" s="245">
        <f t="shared" si="2"/>
        <v>0</v>
      </c>
      <c r="H22" s="245">
        <f t="shared" si="2"/>
        <v>0</v>
      </c>
      <c r="I22" s="245">
        <f t="shared" si="2"/>
        <v>0</v>
      </c>
      <c r="J22" s="245">
        <f t="shared" si="2"/>
        <v>0</v>
      </c>
      <c r="K22" s="245">
        <f t="shared" si="2"/>
        <v>0</v>
      </c>
      <c r="L22" s="245">
        <f t="shared" si="2"/>
        <v>0</v>
      </c>
      <c r="M22" s="245">
        <f t="shared" si="2"/>
        <v>0</v>
      </c>
      <c r="N22" s="540">
        <f>SUM(B22:M22)</f>
        <v>0</v>
      </c>
    </row>
    <row r="23" spans="1:19">
      <c r="A23" s="31"/>
      <c r="B23" s="244"/>
      <c r="C23" s="244"/>
      <c r="D23" s="244"/>
      <c r="E23" s="244"/>
      <c r="F23" s="244"/>
      <c r="G23" s="246"/>
      <c r="H23" s="244"/>
      <c r="I23" s="246"/>
      <c r="J23" s="244"/>
      <c r="K23" s="244"/>
      <c r="L23" s="246"/>
      <c r="M23" s="244"/>
      <c r="N23" s="539"/>
    </row>
    <row r="24" spans="1:19">
      <c r="A24" s="32" t="s">
        <v>280</v>
      </c>
      <c r="B24" s="244"/>
      <c r="C24" s="244"/>
      <c r="D24" s="244"/>
      <c r="E24" s="244"/>
      <c r="F24" s="244"/>
      <c r="G24" s="244"/>
      <c r="H24" s="244"/>
      <c r="I24" s="244"/>
      <c r="J24" s="244"/>
      <c r="K24" s="244"/>
      <c r="L24" s="244"/>
      <c r="M24" s="244"/>
      <c r="N24" s="539"/>
    </row>
    <row r="25" spans="1:19">
      <c r="A25" s="27" t="s">
        <v>110</v>
      </c>
      <c r="B25" s="244">
        <v>0</v>
      </c>
      <c r="C25" s="244">
        <v>0</v>
      </c>
      <c r="D25" s="244">
        <v>0</v>
      </c>
      <c r="E25" s="244">
        <v>0</v>
      </c>
      <c r="F25" s="244">
        <v>0</v>
      </c>
      <c r="G25" s="244">
        <v>0</v>
      </c>
      <c r="H25" s="250">
        <v>0</v>
      </c>
      <c r="I25" s="250">
        <v>0</v>
      </c>
      <c r="J25" s="250">
        <v>0</v>
      </c>
      <c r="K25" s="250">
        <v>0</v>
      </c>
      <c r="L25" s="250">
        <v>0</v>
      </c>
      <c r="M25" s="250">
        <v>0</v>
      </c>
      <c r="N25" s="539">
        <f>SUM(B25:M25)</f>
        <v>0</v>
      </c>
    </row>
    <row r="26" spans="1:19">
      <c r="A26" s="27" t="s">
        <v>111</v>
      </c>
      <c r="B26" s="244">
        <v>0</v>
      </c>
      <c r="C26" s="244">
        <v>0</v>
      </c>
      <c r="D26" s="244">
        <v>0</v>
      </c>
      <c r="E26" s="244">
        <v>0</v>
      </c>
      <c r="F26" s="244">
        <v>0</v>
      </c>
      <c r="G26" s="244">
        <v>0</v>
      </c>
      <c r="H26" s="250">
        <v>0</v>
      </c>
      <c r="I26" s="250">
        <v>0</v>
      </c>
      <c r="J26" s="250">
        <v>0</v>
      </c>
      <c r="K26" s="250">
        <v>0</v>
      </c>
      <c r="L26" s="250">
        <v>0</v>
      </c>
      <c r="M26" s="250">
        <v>0</v>
      </c>
      <c r="N26" s="539">
        <f>SUM(B26:M26)</f>
        <v>0</v>
      </c>
    </row>
    <row r="27" spans="1:19">
      <c r="A27" s="27" t="s">
        <v>300</v>
      </c>
      <c r="B27" s="244">
        <v>0</v>
      </c>
      <c r="C27" s="244">
        <v>0</v>
      </c>
      <c r="D27" s="244">
        <v>0</v>
      </c>
      <c r="E27" s="244">
        <v>0</v>
      </c>
      <c r="F27" s="244">
        <v>0</v>
      </c>
      <c r="G27" s="244">
        <v>0</v>
      </c>
      <c r="H27" s="250">
        <v>0</v>
      </c>
      <c r="I27" s="250">
        <v>0</v>
      </c>
      <c r="J27" s="250">
        <v>0</v>
      </c>
      <c r="K27" s="250">
        <v>0</v>
      </c>
      <c r="L27" s="250">
        <v>0</v>
      </c>
      <c r="M27" s="252">
        <v>0</v>
      </c>
      <c r="N27" s="539">
        <f>SUM(B27:M27)</f>
        <v>0</v>
      </c>
    </row>
    <row r="28" spans="1:19">
      <c r="A28" s="33" t="s">
        <v>287</v>
      </c>
      <c r="B28" s="245">
        <f t="shared" ref="B28:H28" si="3">SUM(B25:B27)</f>
        <v>0</v>
      </c>
      <c r="C28" s="245">
        <f t="shared" si="3"/>
        <v>0</v>
      </c>
      <c r="D28" s="245">
        <f t="shared" si="3"/>
        <v>0</v>
      </c>
      <c r="E28" s="245">
        <f t="shared" si="3"/>
        <v>0</v>
      </c>
      <c r="F28" s="245">
        <f t="shared" si="3"/>
        <v>0</v>
      </c>
      <c r="G28" s="245">
        <f t="shared" si="3"/>
        <v>0</v>
      </c>
      <c r="H28" s="245">
        <f t="shared" si="3"/>
        <v>0</v>
      </c>
      <c r="I28" s="245">
        <f>SUM(I24:I27)</f>
        <v>0</v>
      </c>
      <c r="J28" s="245">
        <f>SUM(J25:J27)</f>
        <v>0</v>
      </c>
      <c r="K28" s="245">
        <f>SUM(K25:K27)</f>
        <v>0</v>
      </c>
      <c r="L28" s="245">
        <f>SUM(L25:L27)</f>
        <v>0</v>
      </c>
      <c r="M28" s="245">
        <f>SUM(M25:M27)</f>
        <v>0</v>
      </c>
      <c r="N28" s="540">
        <f>SUM(B28:M28)</f>
        <v>0</v>
      </c>
      <c r="O28" s="28"/>
    </row>
    <row r="29" spans="1:19" ht="10.5" customHeight="1">
      <c r="A29" s="34"/>
      <c r="B29" s="246"/>
      <c r="C29" s="246"/>
      <c r="D29" s="246"/>
      <c r="E29" s="246"/>
      <c r="F29" s="246"/>
      <c r="G29" s="246"/>
      <c r="H29" s="246"/>
      <c r="I29" s="246"/>
      <c r="J29" s="246"/>
      <c r="K29" s="246"/>
      <c r="L29" s="246"/>
      <c r="M29" s="246"/>
      <c r="N29" s="541"/>
    </row>
    <row r="30" spans="1:19" ht="15" customHeight="1">
      <c r="A30" s="20" t="s">
        <v>308</v>
      </c>
      <c r="B30" s="247">
        <v>0</v>
      </c>
      <c r="C30" s="247">
        <v>0</v>
      </c>
      <c r="D30" s="247">
        <v>0</v>
      </c>
      <c r="E30" s="247">
        <v>0</v>
      </c>
      <c r="F30" s="247">
        <v>0</v>
      </c>
      <c r="G30" s="247">
        <v>0</v>
      </c>
      <c r="H30" s="247">
        <v>0</v>
      </c>
      <c r="I30" s="247">
        <v>0</v>
      </c>
      <c r="J30" s="245">
        <v>0</v>
      </c>
      <c r="K30" s="245">
        <v>0</v>
      </c>
      <c r="L30" s="247">
        <v>0</v>
      </c>
      <c r="M30" s="247">
        <v>0</v>
      </c>
      <c r="N30" s="542">
        <f>SUM(B30:M30)</f>
        <v>0</v>
      </c>
      <c r="O30" s="30"/>
      <c r="P30" s="30"/>
      <c r="Q30" s="30"/>
      <c r="R30" s="30"/>
      <c r="S30" s="35"/>
    </row>
    <row r="31" spans="1:19" ht="28.5" customHeight="1" thickBot="1">
      <c r="A31" s="21" t="s">
        <v>309</v>
      </c>
      <c r="B31" s="248">
        <f t="shared" ref="B31:M31" si="4">B14+B18+B22+B28+B30</f>
        <v>2.2410000000000001</v>
      </c>
      <c r="C31" s="248">
        <f t="shared" si="4"/>
        <v>2.25</v>
      </c>
      <c r="D31" s="248">
        <f t="shared" si="4"/>
        <v>2.7269999999999999</v>
      </c>
      <c r="E31" s="248">
        <f t="shared" si="4"/>
        <v>2.7210000000000001</v>
      </c>
      <c r="F31" s="248">
        <f t="shared" si="4"/>
        <v>2.5259999999999998</v>
      </c>
      <c r="G31" s="248">
        <f t="shared" si="4"/>
        <v>2.597</v>
      </c>
      <c r="H31" s="248">
        <f t="shared" si="4"/>
        <v>2.6890000000000001</v>
      </c>
      <c r="I31" s="248">
        <f t="shared" si="4"/>
        <v>2.2069999999999999</v>
      </c>
      <c r="J31" s="248">
        <f t="shared" si="4"/>
        <v>1.829</v>
      </c>
      <c r="K31" s="248">
        <f t="shared" si="4"/>
        <v>3.0070000000000001</v>
      </c>
      <c r="L31" s="248">
        <f t="shared" si="4"/>
        <v>2.4860000000000002</v>
      </c>
      <c r="M31" s="248">
        <f t="shared" si="4"/>
        <v>0</v>
      </c>
      <c r="N31" s="543">
        <f>SUM(B31:M31)</f>
        <v>27.28</v>
      </c>
      <c r="O31" s="28"/>
    </row>
    <row r="32" spans="1:19" ht="12" customHeight="1">
      <c r="A32" s="36"/>
      <c r="B32" s="37"/>
      <c r="C32" s="37"/>
      <c r="D32" s="249"/>
      <c r="E32" s="37"/>
      <c r="F32" s="37"/>
      <c r="G32" s="37"/>
      <c r="H32" s="37"/>
      <c r="I32" s="249"/>
      <c r="J32" s="249"/>
      <c r="K32" s="249"/>
      <c r="L32" s="249"/>
      <c r="M32" s="249"/>
      <c r="N32" s="37"/>
    </row>
    <row r="33" spans="1:14" ht="14.25">
      <c r="A33" s="498"/>
    </row>
    <row r="34" spans="1:14" ht="12" customHeight="1">
      <c r="A34" s="243" t="s">
        <v>73</v>
      </c>
      <c r="B34" s="28"/>
      <c r="C34" s="28"/>
      <c r="D34" s="28"/>
      <c r="E34" s="28"/>
      <c r="F34" s="28"/>
      <c r="G34" s="28"/>
      <c r="H34" s="28"/>
      <c r="I34" s="28"/>
      <c r="J34" s="28"/>
      <c r="K34" s="28"/>
      <c r="L34" s="28"/>
      <c r="M34" s="28"/>
      <c r="N34" s="28"/>
    </row>
    <row r="35" spans="1:14" ht="14.25" customHeight="1">
      <c r="A35" s="695"/>
      <c r="B35" s="695"/>
      <c r="C35" s="695"/>
      <c r="D35" s="695"/>
      <c r="E35" s="695"/>
      <c r="F35" s="695"/>
      <c r="G35" s="695"/>
      <c r="H35" s="695"/>
      <c r="I35" s="695"/>
      <c r="J35" s="695"/>
      <c r="K35" s="695"/>
      <c r="L35" s="695"/>
      <c r="M35" s="695"/>
      <c r="N35" s="695"/>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46"/>
  <sheetViews>
    <sheetView showGridLines="0" topLeftCell="B1" zoomScaleNormal="100" zoomScaleSheetLayoutView="75" workbookViewId="0">
      <selection activeCell="J1" sqref="J1"/>
    </sheetView>
  </sheetViews>
  <sheetFormatPr defaultColWidth="9.28515625" defaultRowHeight="12.75"/>
  <cols>
    <col min="1" max="1" width="53.42578125" style="16" customWidth="1"/>
    <col min="2" max="2" width="11" style="16" customWidth="1"/>
    <col min="3" max="3" width="9.7109375" style="16" customWidth="1"/>
    <col min="4" max="4" width="15.5703125" style="16" customWidth="1"/>
    <col min="5" max="5" width="11.7109375" style="16" customWidth="1"/>
    <col min="6" max="8" width="11" style="16" customWidth="1"/>
    <col min="9" max="9" width="10.28515625" style="16" bestFit="1" customWidth="1"/>
    <col min="10" max="10" width="11" style="16" customWidth="1"/>
    <col min="11" max="11" width="11.5703125" style="16" customWidth="1"/>
    <col min="12" max="12" width="11" style="16" customWidth="1"/>
    <col min="13" max="13" width="12.28515625" style="16" bestFit="1" customWidth="1"/>
    <col min="14" max="14" width="15.7109375" style="16" bestFit="1" customWidth="1"/>
    <col min="15" max="15" width="9.7109375" style="16" bestFit="1" customWidth="1"/>
    <col min="16" max="16" width="22.7109375" style="16" bestFit="1" customWidth="1"/>
    <col min="17" max="17" width="22.28515625" style="16" customWidth="1"/>
    <col min="18" max="16384" width="9.28515625" style="16"/>
  </cols>
  <sheetData>
    <row r="1" spans="1:16" ht="15">
      <c r="A1" s="670"/>
    </row>
    <row r="3" spans="1:16">
      <c r="E3" s="149" t="s">
        <v>39</v>
      </c>
    </row>
    <row r="4" spans="1:16">
      <c r="C4" s="161"/>
      <c r="D4" s="161"/>
      <c r="E4" s="162" t="s">
        <v>310</v>
      </c>
      <c r="F4" s="161"/>
      <c r="G4" s="161"/>
    </row>
    <row r="5" spans="1:16">
      <c r="D5" s="161"/>
      <c r="E5" s="152" t="str">
        <f>'Program MW '!H3</f>
        <v>November 2020</v>
      </c>
      <c r="F5" s="161"/>
    </row>
    <row r="6" spans="1:16">
      <c r="E6" s="152"/>
    </row>
    <row r="7" spans="1:16" ht="13.5" thickBot="1">
      <c r="A7" s="22"/>
    </row>
    <row r="8" spans="1:16" ht="32.25" customHeight="1" thickBot="1">
      <c r="A8" s="391" t="s">
        <v>255</v>
      </c>
      <c r="B8" s="353" t="s">
        <v>41</v>
      </c>
      <c r="C8" s="24" t="s">
        <v>42</v>
      </c>
      <c r="D8" s="24" t="s">
        <v>43</v>
      </c>
      <c r="E8" s="24" t="s">
        <v>44</v>
      </c>
      <c r="F8" s="24" t="s">
        <v>31</v>
      </c>
      <c r="G8" s="24" t="s">
        <v>45</v>
      </c>
      <c r="H8" s="24" t="s">
        <v>60</v>
      </c>
      <c r="I8" s="24" t="s">
        <v>75</v>
      </c>
      <c r="J8" s="24" t="s">
        <v>76</v>
      </c>
      <c r="K8" s="24" t="s">
        <v>62</v>
      </c>
      <c r="L8" s="24" t="s">
        <v>77</v>
      </c>
      <c r="M8" s="24" t="s">
        <v>63</v>
      </c>
      <c r="N8" s="537" t="s">
        <v>297</v>
      </c>
    </row>
    <row r="9" spans="1:16" ht="25.5">
      <c r="A9" s="392" t="s">
        <v>311</v>
      </c>
      <c r="B9" s="501"/>
      <c r="C9" s="251"/>
      <c r="M9" s="390"/>
      <c r="N9" s="538"/>
      <c r="P9" s="390"/>
    </row>
    <row r="10" spans="1:16" ht="6" customHeight="1">
      <c r="A10" s="342"/>
      <c r="B10" s="501"/>
      <c r="C10" s="251"/>
      <c r="M10" s="390"/>
      <c r="N10" s="345"/>
    </row>
    <row r="11" spans="1:16">
      <c r="A11" s="342" t="s">
        <v>257</v>
      </c>
      <c r="B11" s="501"/>
      <c r="C11" s="251"/>
      <c r="M11" s="390"/>
      <c r="N11" s="345"/>
    </row>
    <row r="12" spans="1:16" ht="14.25">
      <c r="A12" s="343" t="s">
        <v>312</v>
      </c>
      <c r="B12" s="502">
        <v>0.624</v>
      </c>
      <c r="C12" s="502">
        <v>0</v>
      </c>
      <c r="D12" s="463">
        <v>9.1020000000000003</v>
      </c>
      <c r="E12" s="463">
        <v>-15.545</v>
      </c>
      <c r="F12" s="463">
        <v>6.4119999999999999</v>
      </c>
      <c r="G12" s="463">
        <v>0</v>
      </c>
      <c r="H12" s="463">
        <v>0</v>
      </c>
      <c r="I12" s="463">
        <v>0</v>
      </c>
      <c r="J12" s="463">
        <v>0</v>
      </c>
      <c r="K12" s="463">
        <v>0</v>
      </c>
      <c r="L12" s="463">
        <v>0</v>
      </c>
      <c r="M12" s="463">
        <v>0</v>
      </c>
      <c r="N12" s="539">
        <f t="shared" ref="N12:N17" si="0">SUM(B12:M12)</f>
        <v>0.59300000000000086</v>
      </c>
    </row>
    <row r="13" spans="1:16" ht="14.25">
      <c r="A13" s="343" t="s">
        <v>313</v>
      </c>
      <c r="B13" s="502">
        <v>41.542999999999999</v>
      </c>
      <c r="C13" s="502">
        <v>81.834000000000003</v>
      </c>
      <c r="D13" s="463">
        <v>59.106999999999999</v>
      </c>
      <c r="E13" s="463">
        <v>70.947999999999993</v>
      </c>
      <c r="F13" s="463">
        <v>83.474000000000004</v>
      </c>
      <c r="G13" s="463">
        <v>54.384</v>
      </c>
      <c r="H13" s="463">
        <v>26.027999999999999</v>
      </c>
      <c r="I13" s="463">
        <v>50.325000000000003</v>
      </c>
      <c r="J13" s="463">
        <v>20.411000000000001</v>
      </c>
      <c r="K13" s="463">
        <v>43.082999999999998</v>
      </c>
      <c r="L13" s="463">
        <v>44.581000000000003</v>
      </c>
      <c r="M13" s="463">
        <v>0</v>
      </c>
      <c r="N13" s="539">
        <f t="shared" si="0"/>
        <v>575.71800000000007</v>
      </c>
    </row>
    <row r="14" spans="1:16" ht="14.25">
      <c r="A14" s="343" t="s">
        <v>314</v>
      </c>
      <c r="B14" s="502">
        <v>0</v>
      </c>
      <c r="C14" s="502">
        <v>0</v>
      </c>
      <c r="D14" s="463">
        <v>0</v>
      </c>
      <c r="E14" s="463">
        <v>0</v>
      </c>
      <c r="F14" s="463">
        <v>0</v>
      </c>
      <c r="G14" s="463">
        <v>10.582000000000001</v>
      </c>
      <c r="H14" s="463">
        <v>-3.8650000000000002</v>
      </c>
      <c r="I14" s="463">
        <v>0</v>
      </c>
      <c r="J14" s="463">
        <v>-11.593999999999999</v>
      </c>
      <c r="K14" s="463">
        <v>5.1529999999999996</v>
      </c>
      <c r="L14" s="463">
        <v>6.7629999999999999</v>
      </c>
      <c r="M14" s="463">
        <v>0</v>
      </c>
      <c r="N14" s="539">
        <f t="shared" si="0"/>
        <v>7.0390000000000006</v>
      </c>
    </row>
    <row r="15" spans="1:16" ht="14.25">
      <c r="A15" s="343" t="s">
        <v>315</v>
      </c>
      <c r="B15" s="502">
        <v>0</v>
      </c>
      <c r="C15" s="502">
        <v>0</v>
      </c>
      <c r="D15" s="463">
        <v>0</v>
      </c>
      <c r="E15" s="463">
        <v>21.759</v>
      </c>
      <c r="F15" s="463">
        <v>0</v>
      </c>
      <c r="G15" s="463">
        <v>0</v>
      </c>
      <c r="H15" s="463">
        <v>0</v>
      </c>
      <c r="I15" s="463">
        <v>0</v>
      </c>
      <c r="J15" s="463">
        <v>0</v>
      </c>
      <c r="K15" s="463">
        <v>0</v>
      </c>
      <c r="L15" s="463">
        <v>0</v>
      </c>
      <c r="M15" s="463">
        <v>0</v>
      </c>
      <c r="N15" s="539">
        <f t="shared" si="0"/>
        <v>21.759</v>
      </c>
    </row>
    <row r="16" spans="1:16" ht="14.25">
      <c r="A16" s="393" t="s">
        <v>316</v>
      </c>
      <c r="B16" s="502">
        <v>0</v>
      </c>
      <c r="C16" s="502">
        <v>0</v>
      </c>
      <c r="D16" s="463">
        <v>0</v>
      </c>
      <c r="E16" s="463">
        <v>0</v>
      </c>
      <c r="F16" s="463">
        <v>7.0780000000000003</v>
      </c>
      <c r="G16" s="463">
        <v>33.576999999999998</v>
      </c>
      <c r="H16" s="463">
        <v>11.531000000000001</v>
      </c>
      <c r="I16" s="463">
        <v>22.896000000000001</v>
      </c>
      <c r="J16" s="463">
        <v>38.470999999999997</v>
      </c>
      <c r="K16" s="463">
        <v>3.581</v>
      </c>
      <c r="L16" s="463">
        <v>17.306000000000001</v>
      </c>
      <c r="M16" s="463">
        <v>0</v>
      </c>
      <c r="N16" s="539">
        <f t="shared" si="0"/>
        <v>134.44</v>
      </c>
      <c r="O16" s="28"/>
    </row>
    <row r="17" spans="1:16">
      <c r="A17" s="457" t="s">
        <v>301</v>
      </c>
      <c r="B17" s="503">
        <f t="shared" ref="B17:M17" si="1">SUM(B12:B16)</f>
        <v>42.167000000000002</v>
      </c>
      <c r="C17" s="504">
        <f t="shared" si="1"/>
        <v>81.834000000000003</v>
      </c>
      <c r="D17" s="245">
        <f t="shared" si="1"/>
        <v>68.209000000000003</v>
      </c>
      <c r="E17" s="245">
        <f t="shared" si="1"/>
        <v>77.161999999999992</v>
      </c>
      <c r="F17" s="245">
        <f t="shared" si="1"/>
        <v>96.964000000000013</v>
      </c>
      <c r="G17" s="245">
        <f t="shared" si="1"/>
        <v>98.543000000000006</v>
      </c>
      <c r="H17" s="245">
        <f t="shared" si="1"/>
        <v>33.693999999999996</v>
      </c>
      <c r="I17" s="245">
        <f t="shared" si="1"/>
        <v>73.221000000000004</v>
      </c>
      <c r="J17" s="245">
        <f t="shared" si="1"/>
        <v>47.287999999999997</v>
      </c>
      <c r="K17" s="245">
        <f t="shared" si="1"/>
        <v>51.817</v>
      </c>
      <c r="L17" s="245">
        <f t="shared" si="1"/>
        <v>68.650000000000006</v>
      </c>
      <c r="M17" s="245">
        <f t="shared" si="1"/>
        <v>0</v>
      </c>
      <c r="N17" s="540">
        <f t="shared" si="0"/>
        <v>739.54900000000009</v>
      </c>
    </row>
    <row r="18" spans="1:16">
      <c r="A18" s="345"/>
      <c r="B18" s="505"/>
      <c r="C18" s="30"/>
      <c r="D18" s="244"/>
      <c r="E18" s="244"/>
      <c r="F18" s="244"/>
      <c r="G18" s="244"/>
      <c r="H18" s="244"/>
      <c r="I18" s="244"/>
      <c r="J18" s="244" t="s">
        <v>57</v>
      </c>
      <c r="K18" s="244"/>
      <c r="L18" s="244"/>
      <c r="M18" s="463"/>
      <c r="N18" s="539"/>
      <c r="P18" s="386"/>
    </row>
    <row r="19" spans="1:16">
      <c r="A19" s="342" t="s">
        <v>317</v>
      </c>
      <c r="B19" s="505"/>
      <c r="C19" s="30"/>
      <c r="D19" s="244"/>
      <c r="E19" s="244"/>
      <c r="F19" s="244"/>
      <c r="G19" s="244"/>
      <c r="H19" s="244"/>
      <c r="I19" s="244"/>
      <c r="J19" s="244"/>
      <c r="K19" s="244"/>
      <c r="L19" s="244"/>
      <c r="M19" s="463"/>
      <c r="N19" s="539"/>
      <c r="P19" s="386"/>
    </row>
    <row r="20" spans="1:16">
      <c r="A20" s="343" t="s">
        <v>318</v>
      </c>
      <c r="B20" s="505">
        <v>43.341999999999999</v>
      </c>
      <c r="C20" s="30">
        <v>43.341999999999999</v>
      </c>
      <c r="D20" s="244">
        <v>43.341999999999999</v>
      </c>
      <c r="E20" s="244">
        <v>43.359000000000002</v>
      </c>
      <c r="F20" s="244">
        <v>43.359000000000002</v>
      </c>
      <c r="G20" s="244">
        <v>43.359000000000002</v>
      </c>
      <c r="H20" s="244">
        <v>43.359000000000002</v>
      </c>
      <c r="I20" s="244">
        <v>43.359000000000002</v>
      </c>
      <c r="J20" s="244">
        <v>43.359000000000002</v>
      </c>
      <c r="K20" s="244">
        <v>43.359000000000002</v>
      </c>
      <c r="L20" s="244">
        <v>43.359000000000002</v>
      </c>
      <c r="M20" s="463">
        <v>0</v>
      </c>
      <c r="N20" s="539">
        <f>SUM(B20:M20)</f>
        <v>476.89799999999991</v>
      </c>
      <c r="P20" s="386"/>
    </row>
    <row r="21" spans="1:16">
      <c r="A21" s="343" t="s">
        <v>319</v>
      </c>
      <c r="B21" s="505">
        <v>19.079000000000001</v>
      </c>
      <c r="C21" s="30">
        <v>19.116</v>
      </c>
      <c r="D21" s="244">
        <v>19.033999999999999</v>
      </c>
      <c r="E21" s="244">
        <v>18.96</v>
      </c>
      <c r="F21" s="244">
        <v>18.879000000000001</v>
      </c>
      <c r="G21" s="244">
        <v>18.797000000000001</v>
      </c>
      <c r="H21" s="244">
        <v>18.716999999999999</v>
      </c>
      <c r="I21" s="244">
        <v>18.635000000000002</v>
      </c>
      <c r="J21" s="244">
        <v>18.553999999999998</v>
      </c>
      <c r="K21" s="244">
        <v>18.472999999999999</v>
      </c>
      <c r="L21" s="244">
        <v>18.391999999999999</v>
      </c>
      <c r="M21" s="463">
        <v>0</v>
      </c>
      <c r="N21" s="539">
        <f t="shared" ref="N21:N22" si="2">SUM(B21:M21)</f>
        <v>206.63599999999997</v>
      </c>
      <c r="P21" s="386"/>
    </row>
    <row r="22" spans="1:16">
      <c r="A22" s="343" t="s">
        <v>320</v>
      </c>
      <c r="B22" s="505">
        <v>2.4089999999999998</v>
      </c>
      <c r="C22" s="30">
        <v>2.4089999999999998</v>
      </c>
      <c r="D22" s="244">
        <v>2.4089999999999998</v>
      </c>
      <c r="E22" s="244">
        <v>2.4089999999999998</v>
      </c>
      <c r="F22" s="244">
        <v>2.4089999999999998</v>
      </c>
      <c r="G22" s="244">
        <v>2.4089999999999998</v>
      </c>
      <c r="H22" s="244">
        <v>1.772</v>
      </c>
      <c r="I22" s="244">
        <v>1.772</v>
      </c>
      <c r="J22" s="244">
        <v>1.7729999999999999</v>
      </c>
      <c r="K22" s="244">
        <v>1.7729999999999999</v>
      </c>
      <c r="L22" s="244">
        <v>1.7729999999999999</v>
      </c>
      <c r="M22" s="463">
        <v>0</v>
      </c>
      <c r="N22" s="539">
        <f t="shared" si="2"/>
        <v>23.316999999999993</v>
      </c>
      <c r="P22" s="386"/>
    </row>
    <row r="23" spans="1:16">
      <c r="A23" s="346" t="s">
        <v>321</v>
      </c>
      <c r="B23" s="505">
        <v>8.3109999999999999</v>
      </c>
      <c r="C23" s="30">
        <v>8.0380000000000003</v>
      </c>
      <c r="D23" s="244">
        <v>7.7649999999999997</v>
      </c>
      <c r="E23" s="244">
        <v>7.4930000000000003</v>
      </c>
      <c r="F23" s="244">
        <v>7.22</v>
      </c>
      <c r="G23" s="244">
        <v>6.9470000000000001</v>
      </c>
      <c r="H23" s="244">
        <v>6.6740000000000004</v>
      </c>
      <c r="I23" s="244">
        <v>6.4009999999999998</v>
      </c>
      <c r="J23" s="244">
        <v>6.1289999999999996</v>
      </c>
      <c r="K23" s="244">
        <v>5.8559999999999999</v>
      </c>
      <c r="L23" s="244">
        <v>5.5830000000000002</v>
      </c>
      <c r="M23" s="463">
        <v>0</v>
      </c>
      <c r="N23" s="539">
        <f>SUM(B23:M23)</f>
        <v>76.417000000000002</v>
      </c>
      <c r="P23" s="386"/>
    </row>
    <row r="24" spans="1:16">
      <c r="A24" s="344" t="s">
        <v>304</v>
      </c>
      <c r="B24" s="506">
        <f>SUM(B20:B23)</f>
        <v>73.140999999999991</v>
      </c>
      <c r="C24" s="504">
        <f t="shared" ref="C24:M24" si="3">SUM(C20:C23)</f>
        <v>72.905000000000001</v>
      </c>
      <c r="D24" s="245">
        <f t="shared" si="3"/>
        <v>72.55</v>
      </c>
      <c r="E24" s="245">
        <f t="shared" si="3"/>
        <v>72.221000000000004</v>
      </c>
      <c r="F24" s="245">
        <f t="shared" si="3"/>
        <v>71.867000000000004</v>
      </c>
      <c r="G24" s="245">
        <f t="shared" si="3"/>
        <v>71.512000000000015</v>
      </c>
      <c r="H24" s="245">
        <f t="shared" si="3"/>
        <v>70.522000000000006</v>
      </c>
      <c r="I24" s="245">
        <f t="shared" si="3"/>
        <v>70.167000000000002</v>
      </c>
      <c r="J24" s="245">
        <f t="shared" si="3"/>
        <v>69.814999999999998</v>
      </c>
      <c r="K24" s="245">
        <f t="shared" si="3"/>
        <v>69.460999999999999</v>
      </c>
      <c r="L24" s="245">
        <f t="shared" si="3"/>
        <v>69.107000000000014</v>
      </c>
      <c r="M24" s="245">
        <f t="shared" si="3"/>
        <v>0</v>
      </c>
      <c r="N24" s="540">
        <f>SUM(B24:M24)</f>
        <v>783.26800000000003</v>
      </c>
      <c r="P24" s="386"/>
    </row>
    <row r="25" spans="1:16">
      <c r="A25" s="346"/>
      <c r="B25" s="505"/>
      <c r="C25" s="30"/>
      <c r="D25" s="244"/>
      <c r="E25" s="244"/>
      <c r="F25" s="244"/>
      <c r="G25" s="244"/>
      <c r="H25" s="244"/>
      <c r="I25" s="244"/>
      <c r="J25" s="244"/>
      <c r="K25" s="244"/>
      <c r="L25" s="244"/>
      <c r="M25" s="463"/>
      <c r="N25" s="539"/>
      <c r="P25" s="386"/>
    </row>
    <row r="26" spans="1:16">
      <c r="A26" s="342"/>
      <c r="B26" s="505" t="s">
        <v>57</v>
      </c>
      <c r="C26" s="30" t="s">
        <v>57</v>
      </c>
      <c r="D26" s="244" t="s">
        <v>57</v>
      </c>
      <c r="E26" s="244"/>
      <c r="F26" s="244" t="s">
        <v>57</v>
      </c>
      <c r="G26" s="251"/>
      <c r="H26" s="250" t="s">
        <v>57</v>
      </c>
      <c r="I26" s="250" t="s">
        <v>57</v>
      </c>
      <c r="J26" s="250" t="s">
        <v>57</v>
      </c>
      <c r="K26" s="250" t="s">
        <v>57</v>
      </c>
      <c r="L26" s="250" t="s">
        <v>57</v>
      </c>
      <c r="M26" s="536" t="s">
        <v>57</v>
      </c>
      <c r="N26" s="539" t="s">
        <v>57</v>
      </c>
      <c r="P26" s="386"/>
    </row>
    <row r="27" spans="1:16">
      <c r="A27" s="342" t="s">
        <v>305</v>
      </c>
      <c r="B27" s="505">
        <v>0</v>
      </c>
      <c r="C27" s="30">
        <v>0</v>
      </c>
      <c r="D27" s="244">
        <v>0</v>
      </c>
      <c r="E27" s="244">
        <v>0</v>
      </c>
      <c r="F27" s="244">
        <v>0</v>
      </c>
      <c r="G27" s="244">
        <v>0</v>
      </c>
      <c r="H27" s="250">
        <v>0</v>
      </c>
      <c r="I27" s="250">
        <v>0</v>
      </c>
      <c r="J27" s="250">
        <v>0</v>
      </c>
      <c r="K27" s="250">
        <v>0</v>
      </c>
      <c r="L27" s="250">
        <v>0</v>
      </c>
      <c r="M27" s="536">
        <v>0</v>
      </c>
      <c r="N27" s="539">
        <f>SUM(B27:M27)</f>
        <v>0</v>
      </c>
      <c r="P27" s="386"/>
    </row>
    <row r="28" spans="1:16">
      <c r="A28" s="347" t="s">
        <v>307</v>
      </c>
      <c r="B28" s="506">
        <f t="shared" ref="B28:H28" si="4">SUM(B27:B27)</f>
        <v>0</v>
      </c>
      <c r="C28" s="504">
        <f t="shared" si="4"/>
        <v>0</v>
      </c>
      <c r="D28" s="245">
        <f t="shared" si="4"/>
        <v>0</v>
      </c>
      <c r="E28" s="245">
        <f>SUM(E27:E27)</f>
        <v>0</v>
      </c>
      <c r="F28" s="245">
        <f t="shared" si="4"/>
        <v>0</v>
      </c>
      <c r="G28" s="245">
        <f t="shared" si="4"/>
        <v>0</v>
      </c>
      <c r="H28" s="245">
        <f t="shared" si="4"/>
        <v>0</v>
      </c>
      <c r="I28" s="245">
        <f>SUM(I27:I27)</f>
        <v>0</v>
      </c>
      <c r="J28" s="245">
        <f>SUM(J27:J27)</f>
        <v>0</v>
      </c>
      <c r="K28" s="245">
        <f>SUM(K27:K27)</f>
        <v>0</v>
      </c>
      <c r="L28" s="245">
        <f>SUM(L27:L27)</f>
        <v>0</v>
      </c>
      <c r="M28" s="245">
        <f>SUM(M27:M27)</f>
        <v>0</v>
      </c>
      <c r="N28" s="540">
        <f>SUM(B28:M28)</f>
        <v>0</v>
      </c>
      <c r="P28" s="386"/>
    </row>
    <row r="29" spans="1:16">
      <c r="A29" s="348"/>
      <c r="B29" s="505"/>
      <c r="C29" s="30"/>
      <c r="D29" s="244"/>
      <c r="E29" s="244"/>
      <c r="F29" s="244"/>
      <c r="G29" s="246"/>
      <c r="H29" s="244"/>
      <c r="I29" s="246"/>
      <c r="J29" s="244"/>
      <c r="K29" s="244"/>
      <c r="L29" s="246"/>
      <c r="M29" s="463"/>
      <c r="N29" s="539"/>
    </row>
    <row r="30" spans="1:16">
      <c r="A30" s="349"/>
      <c r="B30" s="505"/>
      <c r="C30" s="30"/>
      <c r="D30" s="244"/>
      <c r="E30" s="244"/>
      <c r="F30" s="244"/>
      <c r="G30" s="244"/>
      <c r="H30" s="244"/>
      <c r="I30" s="244"/>
      <c r="J30" s="244"/>
      <c r="K30" s="244"/>
      <c r="L30" s="244"/>
      <c r="M30" s="463"/>
      <c r="N30" s="539"/>
    </row>
    <row r="31" spans="1:16">
      <c r="A31" s="349" t="s">
        <v>280</v>
      </c>
      <c r="B31" s="505">
        <v>0</v>
      </c>
      <c r="C31" s="30">
        <v>0</v>
      </c>
      <c r="D31" s="244">
        <v>0</v>
      </c>
      <c r="E31" s="244">
        <v>0</v>
      </c>
      <c r="F31" s="244">
        <v>0</v>
      </c>
      <c r="G31" s="244">
        <v>0</v>
      </c>
      <c r="H31" s="250">
        <v>0</v>
      </c>
      <c r="I31" s="250">
        <v>0</v>
      </c>
      <c r="J31" s="250">
        <v>0</v>
      </c>
      <c r="K31" s="250">
        <v>0</v>
      </c>
      <c r="L31" s="250">
        <v>0</v>
      </c>
      <c r="M31" s="536">
        <v>0</v>
      </c>
      <c r="N31" s="539">
        <f>SUM(B31:M31)</f>
        <v>0</v>
      </c>
    </row>
    <row r="32" spans="1:16">
      <c r="A32" s="345"/>
      <c r="B32" s="505"/>
      <c r="C32" s="30"/>
      <c r="D32" s="244"/>
      <c r="E32" s="244"/>
      <c r="F32" s="244"/>
      <c r="G32" s="244"/>
      <c r="H32" s="250"/>
      <c r="I32" s="250"/>
      <c r="J32" s="250"/>
      <c r="K32" s="250"/>
      <c r="L32" s="250"/>
      <c r="M32" s="252"/>
      <c r="N32" s="539" t="s">
        <v>57</v>
      </c>
    </row>
    <row r="33" spans="1:19">
      <c r="A33" s="350" t="s">
        <v>287</v>
      </c>
      <c r="B33" s="506">
        <f t="shared" ref="B33:H33" si="5">SUM(B31:B32)</f>
        <v>0</v>
      </c>
      <c r="C33" s="504">
        <f t="shared" si="5"/>
        <v>0</v>
      </c>
      <c r="D33" s="245">
        <f t="shared" si="5"/>
        <v>0</v>
      </c>
      <c r="E33" s="245">
        <f t="shared" si="5"/>
        <v>0</v>
      </c>
      <c r="F33" s="245">
        <f t="shared" si="5"/>
        <v>0</v>
      </c>
      <c r="G33" s="245">
        <f t="shared" si="5"/>
        <v>0</v>
      </c>
      <c r="H33" s="245">
        <f t="shared" si="5"/>
        <v>0</v>
      </c>
      <c r="I33" s="245">
        <f>SUM(I30:I32)</f>
        <v>0</v>
      </c>
      <c r="J33" s="245">
        <f>SUM(J31:J32)</f>
        <v>0</v>
      </c>
      <c r="K33" s="245">
        <f>SUM(K31:K32)</f>
        <v>0</v>
      </c>
      <c r="L33" s="245">
        <f>SUM(L31:L32)</f>
        <v>0</v>
      </c>
      <c r="M33" s="245">
        <f>SUM(M31:M32)</f>
        <v>0</v>
      </c>
      <c r="N33" s="540">
        <f>SUM(B33:M33)</f>
        <v>0</v>
      </c>
      <c r="O33" s="28"/>
    </row>
    <row r="34" spans="1:19" ht="10.5" customHeight="1">
      <c r="A34" s="351"/>
      <c r="B34" s="507"/>
      <c r="C34" s="508"/>
      <c r="D34" s="246"/>
      <c r="E34" s="246"/>
      <c r="F34" s="246"/>
      <c r="G34" s="246"/>
      <c r="H34" s="246"/>
      <c r="I34" s="246"/>
      <c r="J34" s="246"/>
      <c r="K34" s="246"/>
      <c r="L34" s="246"/>
      <c r="M34" s="246"/>
      <c r="N34" s="541"/>
    </row>
    <row r="35" spans="1:19" ht="15" customHeight="1">
      <c r="A35" s="344" t="s">
        <v>308</v>
      </c>
      <c r="B35" s="509">
        <v>0</v>
      </c>
      <c r="C35" s="510">
        <v>0</v>
      </c>
      <c r="D35" s="247">
        <v>0</v>
      </c>
      <c r="E35" s="247">
        <v>0</v>
      </c>
      <c r="F35" s="247">
        <v>0</v>
      </c>
      <c r="G35" s="247">
        <v>0</v>
      </c>
      <c r="H35" s="247">
        <v>0</v>
      </c>
      <c r="I35" s="247">
        <v>0</v>
      </c>
      <c r="J35" s="245">
        <v>0</v>
      </c>
      <c r="K35" s="245">
        <v>0</v>
      </c>
      <c r="L35" s="247">
        <v>0</v>
      </c>
      <c r="M35" s="247">
        <v>0</v>
      </c>
      <c r="N35" s="542">
        <f>SUM(B35:M35)</f>
        <v>0</v>
      </c>
      <c r="O35" s="30"/>
      <c r="P35" s="30"/>
      <c r="Q35" s="30"/>
      <c r="R35" s="30"/>
      <c r="S35" s="35"/>
    </row>
    <row r="36" spans="1:19" ht="15" customHeight="1" thickBot="1">
      <c r="A36" s="352" t="s">
        <v>322</v>
      </c>
      <c r="B36" s="511">
        <f t="shared" ref="B36:L36" si="6">B17+B24+B28+B33+B35</f>
        <v>115.30799999999999</v>
      </c>
      <c r="C36" s="512">
        <f t="shared" si="6"/>
        <v>154.739</v>
      </c>
      <c r="D36" s="248">
        <f t="shared" si="6"/>
        <v>140.75900000000001</v>
      </c>
      <c r="E36" s="248">
        <f t="shared" si="6"/>
        <v>149.38299999999998</v>
      </c>
      <c r="F36" s="248">
        <f t="shared" si="6"/>
        <v>168.83100000000002</v>
      </c>
      <c r="G36" s="248">
        <f t="shared" si="6"/>
        <v>170.05500000000001</v>
      </c>
      <c r="H36" s="248">
        <f>H17+H24+H28+H33+H35</f>
        <v>104.21600000000001</v>
      </c>
      <c r="I36" s="248">
        <f t="shared" si="6"/>
        <v>143.38800000000001</v>
      </c>
      <c r="J36" s="248">
        <f t="shared" si="6"/>
        <v>117.10299999999999</v>
      </c>
      <c r="K36" s="248">
        <f t="shared" si="6"/>
        <v>121.27799999999999</v>
      </c>
      <c r="L36" s="248">
        <f t="shared" si="6"/>
        <v>137.75700000000001</v>
      </c>
      <c r="M36" s="248">
        <f>M17+M24+M28+M33+M35</f>
        <v>0</v>
      </c>
      <c r="N36" s="543">
        <f>SUM(B36:M36)</f>
        <v>1522.8170000000002</v>
      </c>
      <c r="O36" s="30"/>
      <c r="P36" s="30"/>
      <c r="Q36" s="30"/>
      <c r="R36" s="30"/>
      <c r="S36" s="35"/>
    </row>
    <row r="37" spans="1:19" ht="26.25" customHeight="1" thickBot="1">
      <c r="A37" s="352" t="s">
        <v>323</v>
      </c>
      <c r="B37" s="511">
        <f>B36+0.082</f>
        <v>115.38999999999999</v>
      </c>
      <c r="C37" s="512">
        <f>C36+0.254</f>
        <v>154.99299999999999</v>
      </c>
      <c r="D37" s="248">
        <f>D36+0.443</f>
        <v>141.20200000000003</v>
      </c>
      <c r="E37" s="248">
        <f>E36+0.584</f>
        <v>149.96699999999998</v>
      </c>
      <c r="F37" s="248">
        <f>F36+0.528</f>
        <v>169.35900000000001</v>
      </c>
      <c r="G37" s="248">
        <f>G36+0.19</f>
        <v>170.245</v>
      </c>
      <c r="H37" s="248">
        <f>H36+0.143</f>
        <v>104.35900000000001</v>
      </c>
      <c r="I37" s="248">
        <f>I36+0.126</f>
        <v>143.51400000000001</v>
      </c>
      <c r="J37" s="248">
        <f>J36+0.121</f>
        <v>117.22399999999999</v>
      </c>
      <c r="K37" s="248">
        <f>K36+0.133</f>
        <v>121.41099999999999</v>
      </c>
      <c r="L37" s="248">
        <f>L36+0.134</f>
        <v>137.89099999999999</v>
      </c>
      <c r="M37" s="248">
        <v>0</v>
      </c>
      <c r="N37" s="543">
        <f>SUM(B37:M37)</f>
        <v>1525.5550000000001</v>
      </c>
      <c r="O37" s="28"/>
    </row>
    <row r="38" spans="1:19">
      <c r="A38" s="36"/>
      <c r="B38" s="37"/>
      <c r="C38" s="37"/>
      <c r="D38" s="37"/>
      <c r="E38" s="37"/>
      <c r="F38" s="37"/>
      <c r="G38" s="37"/>
      <c r="H38" s="37"/>
      <c r="I38" s="37"/>
      <c r="J38" s="37"/>
      <c r="K38" s="37"/>
      <c r="L38" s="37"/>
      <c r="M38" s="37"/>
      <c r="N38" s="37"/>
    </row>
    <row r="39" spans="1:19" ht="15">
      <c r="A39" s="469" t="s">
        <v>66</v>
      </c>
      <c r="B39" s="468"/>
      <c r="C39" s="468"/>
      <c r="D39" s="468"/>
      <c r="E39" s="468"/>
      <c r="F39" s="468"/>
      <c r="G39" s="468"/>
      <c r="H39" s="468"/>
      <c r="I39" s="468"/>
      <c r="J39" s="468"/>
      <c r="K39" s="468"/>
      <c r="L39" s="468"/>
      <c r="M39" s="468"/>
      <c r="N39" s="468"/>
    </row>
    <row r="40" spans="1:19" ht="17.25">
      <c r="A40" s="445" t="s">
        <v>324</v>
      </c>
      <c r="B40" s="446"/>
      <c r="C40" s="446"/>
      <c r="D40" s="446"/>
      <c r="E40" s="446"/>
      <c r="F40" s="446"/>
      <c r="G40" s="446"/>
      <c r="H40" s="446"/>
      <c r="I40" s="446"/>
      <c r="J40" s="446"/>
      <c r="K40" s="446"/>
      <c r="L40" s="446"/>
      <c r="M40" s="446"/>
      <c r="N40" s="446"/>
    </row>
    <row r="41" spans="1:19" ht="15" customHeight="1">
      <c r="A41" s="696" t="s">
        <v>325</v>
      </c>
      <c r="B41" s="696"/>
      <c r="C41" s="696"/>
      <c r="D41" s="696"/>
      <c r="E41" s="696"/>
      <c r="F41" s="696"/>
      <c r="G41" s="696"/>
      <c r="H41" s="696"/>
      <c r="I41" s="696"/>
      <c r="J41" s="696"/>
      <c r="K41" s="696"/>
      <c r="L41" s="696"/>
      <c r="M41" s="696"/>
      <c r="N41" s="696"/>
    </row>
    <row r="42" spans="1:19" ht="15" customHeight="1">
      <c r="A42" s="447" t="s">
        <v>326</v>
      </c>
      <c r="B42" s="566"/>
      <c r="C42" s="566"/>
      <c r="D42" s="566"/>
      <c r="E42" s="566"/>
      <c r="F42" s="566"/>
      <c r="G42" s="566"/>
      <c r="H42" s="566"/>
      <c r="I42" s="566"/>
      <c r="J42" s="566"/>
      <c r="K42" s="566"/>
      <c r="L42" s="566"/>
      <c r="M42" s="566"/>
      <c r="N42" s="566"/>
    </row>
    <row r="43" spans="1:19" ht="15" customHeight="1">
      <c r="A43" s="528" t="s">
        <v>327</v>
      </c>
      <c r="B43" s="566"/>
      <c r="C43" s="566"/>
      <c r="D43" s="566"/>
      <c r="E43" s="566"/>
      <c r="F43" s="566"/>
      <c r="G43" s="566"/>
      <c r="H43" s="566"/>
      <c r="I43" s="566"/>
      <c r="J43" s="566"/>
      <c r="K43" s="566"/>
      <c r="L43" s="566"/>
      <c r="M43" s="566"/>
      <c r="N43" s="566"/>
    </row>
    <row r="44" spans="1:19" ht="15" customHeight="1">
      <c r="A44" s="528" t="s">
        <v>349</v>
      </c>
      <c r="B44" s="566"/>
      <c r="C44" s="566"/>
      <c r="D44" s="566"/>
      <c r="E44" s="566"/>
      <c r="F44" s="566"/>
      <c r="G44" s="566"/>
      <c r="H44" s="566"/>
      <c r="I44" s="566"/>
      <c r="J44" s="566"/>
      <c r="K44" s="566"/>
      <c r="L44" s="566"/>
      <c r="M44" s="566"/>
      <c r="N44" s="566"/>
    </row>
    <row r="45" spans="1:19" ht="15">
      <c r="A45" s="243" t="s">
        <v>73</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7"/>
  <sheetViews>
    <sheetView showGridLines="0" tabSelected="1" showRuler="0" zoomScaleNormal="100" zoomScaleSheetLayoutView="80" workbookViewId="0">
      <selection activeCell="A30" sqref="A30"/>
    </sheetView>
  </sheetViews>
  <sheetFormatPr defaultColWidth="9.28515625" defaultRowHeight="12.75"/>
  <cols>
    <col min="1" max="1" width="41.7109375" style="10" customWidth="1"/>
    <col min="2" max="2" width="11.28515625" style="10" customWidth="1"/>
    <col min="3" max="3" width="12.28515625" style="10" customWidth="1"/>
    <col min="4" max="4" width="12.7109375" style="10" customWidth="1"/>
    <col min="5" max="5" width="19.7109375" style="10" customWidth="1"/>
    <col min="6" max="6" width="10.28515625" style="10" customWidth="1"/>
    <col min="7" max="7" width="9.7109375" style="10" bestFit="1" customWidth="1"/>
    <col min="8" max="8" width="11.42578125" style="10" customWidth="1"/>
    <col min="9" max="9" width="11.5703125" style="10" bestFit="1" customWidth="1"/>
    <col min="10" max="10" width="10.7109375" style="10" customWidth="1"/>
    <col min="11" max="14" width="12.5703125" style="10" customWidth="1"/>
    <col min="15" max="15" width="12.42578125" style="10" customWidth="1"/>
    <col min="16" max="16" width="12.5703125" style="10" customWidth="1"/>
    <col min="17" max="17" width="10.7109375" style="10" customWidth="1"/>
    <col min="18" max="18" width="11" style="10" customWidth="1"/>
    <col min="19" max="19" width="11.28515625" style="10" customWidth="1"/>
    <col min="20" max="20" width="14.28515625" style="10" hidden="1" customWidth="1"/>
    <col min="21" max="21" width="9.7109375" style="10" customWidth="1"/>
    <col min="22" max="22" width="11.42578125" style="10" customWidth="1"/>
    <col min="23" max="23" width="11" style="10" customWidth="1"/>
    <col min="24" max="25" width="9.7109375" style="10" customWidth="1"/>
    <col min="26" max="26" width="12.7109375" style="10" customWidth="1"/>
    <col min="27" max="27" width="8.7109375" style="10" bestFit="1" customWidth="1"/>
    <col min="28" max="28" width="10.5703125" style="10" customWidth="1"/>
    <col min="29" max="29" width="9.7109375" style="10" bestFit="1" customWidth="1"/>
    <col min="30" max="30" width="11.28515625" style="10" customWidth="1"/>
    <col min="31" max="31" width="9.7109375" style="10" bestFit="1" customWidth="1"/>
    <col min="32" max="32" width="10.7109375" style="10" customWidth="1"/>
    <col min="33" max="33" width="12.28515625" style="10" bestFit="1" customWidth="1"/>
    <col min="34" max="34" width="12.28515625" style="10" customWidth="1"/>
    <col min="35" max="35" width="9.5703125" style="10" bestFit="1" customWidth="1"/>
    <col min="36" max="36" width="11.28515625" style="10" customWidth="1"/>
    <col min="37" max="37" width="11.7109375" style="10" bestFit="1" customWidth="1"/>
    <col min="38" max="38" width="11.7109375" style="10" customWidth="1"/>
    <col min="39" max="16384" width="9.28515625" style="10"/>
  </cols>
  <sheetData>
    <row r="1" spans="1:31">
      <c r="H1" s="149" t="s">
        <v>39</v>
      </c>
    </row>
    <row r="2" spans="1:31">
      <c r="H2" s="149" t="s">
        <v>40</v>
      </c>
      <c r="Q2" s="12"/>
      <c r="R2" s="86"/>
    </row>
    <row r="3" spans="1:31">
      <c r="C3" s="153"/>
      <c r="E3" s="153"/>
      <c r="G3" s="153"/>
      <c r="H3" s="152" t="s">
        <v>350</v>
      </c>
      <c r="I3" s="153"/>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c r="C5" s="87"/>
    </row>
    <row r="6" spans="1:31">
      <c r="A6" s="88"/>
      <c r="B6" s="89"/>
      <c r="C6" s="473" t="s">
        <v>41</v>
      </c>
      <c r="D6" s="89"/>
      <c r="E6" s="89"/>
      <c r="F6" s="89" t="s">
        <v>42</v>
      </c>
      <c r="G6" s="89"/>
      <c r="H6" s="89"/>
      <c r="I6" s="89" t="s">
        <v>43</v>
      </c>
      <c r="J6" s="89"/>
      <c r="K6" s="89"/>
      <c r="L6" s="89" t="s">
        <v>44</v>
      </c>
      <c r="M6" s="89"/>
      <c r="N6" s="89"/>
      <c r="O6" s="89" t="s">
        <v>31</v>
      </c>
      <c r="P6" s="89"/>
      <c r="Q6" s="89"/>
      <c r="R6" s="89" t="s">
        <v>45</v>
      </c>
      <c r="S6" s="89"/>
      <c r="T6" s="177"/>
    </row>
    <row r="7" spans="1:31" ht="42">
      <c r="A7" s="178" t="s">
        <v>46</v>
      </c>
      <c r="B7" s="199" t="s">
        <v>47</v>
      </c>
      <c r="C7" s="180" t="s">
        <v>48</v>
      </c>
      <c r="D7" s="170" t="s">
        <v>49</v>
      </c>
      <c r="E7" s="179" t="s">
        <v>47</v>
      </c>
      <c r="F7" s="180" t="s">
        <v>48</v>
      </c>
      <c r="G7" s="170" t="s">
        <v>49</v>
      </c>
      <c r="H7" s="181" t="s">
        <v>47</v>
      </c>
      <c r="I7" s="180" t="s">
        <v>48</v>
      </c>
      <c r="J7" s="170" t="s">
        <v>49</v>
      </c>
      <c r="K7" s="182" t="s">
        <v>6</v>
      </c>
      <c r="L7" s="180" t="s">
        <v>48</v>
      </c>
      <c r="M7" s="170" t="s">
        <v>49</v>
      </c>
      <c r="N7" s="182" t="s">
        <v>47</v>
      </c>
      <c r="O7" s="180" t="s">
        <v>48</v>
      </c>
      <c r="P7" s="170" t="s">
        <v>49</v>
      </c>
      <c r="Q7" s="181" t="s">
        <v>6</v>
      </c>
      <c r="R7" s="180" t="s">
        <v>48</v>
      </c>
      <c r="S7" s="170" t="s">
        <v>49</v>
      </c>
      <c r="T7" s="170" t="s">
        <v>50</v>
      </c>
    </row>
    <row r="8" spans="1:31">
      <c r="A8" s="163" t="s">
        <v>51</v>
      </c>
      <c r="B8" s="183"/>
      <c r="C8" s="183"/>
      <c r="D8" s="184"/>
      <c r="E8" s="185"/>
      <c r="F8" s="183"/>
      <c r="G8" s="184"/>
      <c r="H8" s="185"/>
      <c r="I8" s="183"/>
      <c r="J8" s="183"/>
      <c r="K8" s="185"/>
      <c r="L8" s="183"/>
      <c r="M8" s="186"/>
      <c r="N8" s="185"/>
      <c r="O8" s="183"/>
      <c r="P8" s="186"/>
      <c r="Q8" s="185"/>
      <c r="R8" s="183"/>
      <c r="S8" s="186"/>
      <c r="T8" s="187"/>
    </row>
    <row r="9" spans="1:31">
      <c r="A9" s="85" t="s">
        <v>8</v>
      </c>
      <c r="B9" s="102">
        <v>4</v>
      </c>
      <c r="C9" s="361">
        <f>B9*(INDEX('Ex ante LI &amp; Eligibility Stats'!$A:$M,MATCH('Program MW '!$A9,'Ex ante LI &amp; Eligibility Stats'!$A:$A,0),MATCH('Program MW '!C$6,'Ex ante LI &amp; Eligibility Stats'!$A$8:$M$8,0))/1000)</f>
        <v>0.64924000000000004</v>
      </c>
      <c r="D9" s="357">
        <f>B9*(INDEX('Ex post LI &amp; Eligibility Stats'!$A:$N,MATCH($A9,'Ex post LI &amp; Eligibility Stats'!$A:$A,0),MATCH('Program MW '!C$6,'Ex post LI &amp; Eligibility Stats'!$A$8:$N$8,0))/1000)</f>
        <v>1.51572</v>
      </c>
      <c r="E9" s="14">
        <v>4</v>
      </c>
      <c r="F9" s="357">
        <f>E9*(INDEX('Ex ante LI &amp; Eligibility Stats'!$A:$M,MATCH('Program MW '!$A9,'Ex ante LI &amp; Eligibility Stats'!$A:$A,0),MATCH('Program MW '!F$6,'Ex ante LI &amp; Eligibility Stats'!$A$8:$M$8,0))/1000)</f>
        <v>0.43383999999999995</v>
      </c>
      <c r="G9" s="357">
        <f>E9*(INDEX('Ex post LI &amp; Eligibility Stats'!$A:$N,MATCH($A9,'Ex post LI &amp; Eligibility Stats'!$A:$A,0),MATCH('Program MW '!F$6,'Ex post LI &amp; Eligibility Stats'!$A$8:$N$8,0))/1000)</f>
        <v>1.51572</v>
      </c>
      <c r="H9" s="14">
        <v>4</v>
      </c>
      <c r="I9" s="357">
        <f>H9*(INDEX('Ex ante LI &amp; Eligibility Stats'!$A:$M,MATCH('Program MW '!$A9,'Ex ante LI &amp; Eligibility Stats'!$A:$A,0),MATCH('Program MW '!I$6,'Ex ante LI &amp; Eligibility Stats'!$A$8:$M$8,0))/1000)</f>
        <v>0.72393133544921873</v>
      </c>
      <c r="J9" s="357">
        <f>H9*(INDEX('Ex post LI &amp; Eligibility Stats'!$A:$N,MATCH($A9,'Ex post LI &amp; Eligibility Stats'!$A:$A,0),MATCH('Program MW '!I$6,'Ex post LI &amp; Eligibility Stats'!$A$8:$N$8,0))/1000)</f>
        <v>2.2938640136718749</v>
      </c>
      <c r="K9" s="14">
        <v>4</v>
      </c>
      <c r="L9" s="357">
        <f>K9*(INDEX('Ex ante LI &amp; Eligibility Stats'!$A:$M,MATCH('Program MW '!$A9,'Ex ante LI &amp; Eligibility Stats'!$A:$A,0),MATCH('Program MW '!L$6,'Ex ante LI &amp; Eligibility Stats'!$A$8:$M$8,0))/1000)</f>
        <v>0.64798333740234371</v>
      </c>
      <c r="M9" s="357">
        <f>K9*(INDEX('Ex post LI &amp; Eligibility Stats'!$A:$N,MATCH($A9,'Ex post LI &amp; Eligibility Stats'!$A:$A,0),MATCH('Program MW '!L$6,'Ex post LI &amp; Eligibility Stats'!$A$8:$N$8,0))/1000)</f>
        <v>2.2938640136718749</v>
      </c>
      <c r="N9" s="14">
        <v>4</v>
      </c>
      <c r="O9" s="357">
        <f>N9*(INDEX('Ex ante LI &amp; Eligibility Stats'!$A:$M,MATCH('Program MW '!$A9,'Ex ante LI &amp; Eligibility Stats'!$A:$A,0),MATCH('Program MW '!O$6,'Ex ante LI &amp; Eligibility Stats'!$A$8:$M$8,0))/1000)</f>
        <v>0.62296343994140624</v>
      </c>
      <c r="P9" s="357">
        <f>N9*(INDEX('Ex post LI &amp; Eligibility Stats'!$A:$N,MATCH($A9,'Ex post LI &amp; Eligibility Stats'!$A:$A,0),MATCH('Program MW '!O$6,'Ex post LI &amp; Eligibility Stats'!$A$8:$N$8,0))/1000)</f>
        <v>2.2938640136718749</v>
      </c>
      <c r="Q9" s="124">
        <v>4</v>
      </c>
      <c r="R9" s="357">
        <f>Q9*(INDEX('Ex ante LI &amp; Eligibility Stats'!$A:$M,MATCH('Program MW '!$A9,'Ex ante LI &amp; Eligibility Stats'!$A:$A,0),MATCH('Program MW '!R$6,'Ex ante LI &amp; Eligibility Stats'!$A$8:$M$8,0))/1000)</f>
        <v>0.76944903564453127</v>
      </c>
      <c r="S9" s="357">
        <f>Q9*(INDEX('Ex post LI &amp; Eligibility Stats'!$A:$N,MATCH($A9,'Ex post LI &amp; Eligibility Stats'!$A:$A,0),MATCH('Program MW '!R$6,'Ex post LI &amp; Eligibility Stats'!$A$8:$N$8,0))/1000)</f>
        <v>2.2938640136718749</v>
      </c>
      <c r="T9" s="4">
        <v>5276</v>
      </c>
    </row>
    <row r="10" spans="1:31" ht="13.5" thickBot="1">
      <c r="A10" s="188" t="s">
        <v>52</v>
      </c>
      <c r="B10" s="155">
        <f t="shared" ref="B10:Q10" si="0">SUM(B9:B9)</f>
        <v>4</v>
      </c>
      <c r="C10" s="172">
        <f t="shared" si="0"/>
        <v>0.64924000000000004</v>
      </c>
      <c r="D10" s="172">
        <f t="shared" si="0"/>
        <v>1.51572</v>
      </c>
      <c r="E10" s="1">
        <f t="shared" si="0"/>
        <v>4</v>
      </c>
      <c r="F10" s="234">
        <f t="shared" si="0"/>
        <v>0.43383999999999995</v>
      </c>
      <c r="G10" s="234">
        <f t="shared" si="0"/>
        <v>1.51572</v>
      </c>
      <c r="H10" s="1">
        <f t="shared" si="0"/>
        <v>4</v>
      </c>
      <c r="I10" s="234">
        <f t="shared" si="0"/>
        <v>0.72393133544921873</v>
      </c>
      <c r="J10" s="234">
        <f t="shared" si="0"/>
        <v>2.2938640136718749</v>
      </c>
      <c r="K10" s="1">
        <f>SUM(K9)</f>
        <v>4</v>
      </c>
      <c r="L10" s="234">
        <f t="shared" ref="L10:M10" si="1">SUM(L9:L9)</f>
        <v>0.64798333740234371</v>
      </c>
      <c r="M10" s="234">
        <f t="shared" si="1"/>
        <v>2.2938640136718749</v>
      </c>
      <c r="N10" s="1">
        <f t="shared" si="0"/>
        <v>4</v>
      </c>
      <c r="O10" s="234">
        <f t="shared" si="0"/>
        <v>0.62296343994140624</v>
      </c>
      <c r="P10" s="234">
        <f t="shared" si="0"/>
        <v>2.2938640136718749</v>
      </c>
      <c r="Q10" s="125">
        <f t="shared" si="0"/>
        <v>4</v>
      </c>
      <c r="R10" s="234">
        <f t="shared" ref="R10:S10" si="2">SUM(R9:R9)</f>
        <v>0.76944903564453127</v>
      </c>
      <c r="S10" s="234">
        <f t="shared" si="2"/>
        <v>2.2938640136718749</v>
      </c>
      <c r="T10" s="5"/>
    </row>
    <row r="11" spans="1:31" ht="13.5" thickTop="1">
      <c r="A11" s="163" t="s">
        <v>53</v>
      </c>
      <c r="B11" s="173"/>
      <c r="C11" s="171"/>
      <c r="D11" s="174"/>
      <c r="E11" s="189"/>
      <c r="F11" s="190"/>
      <c r="G11" s="191"/>
      <c r="H11" s="189"/>
      <c r="I11" s="192"/>
      <c r="J11" s="191"/>
      <c r="K11" s="189"/>
      <c r="L11" s="192"/>
      <c r="M11" s="191"/>
      <c r="N11" s="189"/>
      <c r="O11" s="362"/>
      <c r="P11" s="363"/>
      <c r="Q11" s="193"/>
      <c r="R11" s="192"/>
      <c r="S11" s="194"/>
      <c r="T11" s="187"/>
      <c r="Y11" s="6"/>
      <c r="Z11" s="6"/>
      <c r="AA11" s="6"/>
      <c r="AB11" s="6"/>
      <c r="AC11" s="6"/>
      <c r="AD11" s="6"/>
      <c r="AE11" s="6"/>
    </row>
    <row r="12" spans="1:31">
      <c r="A12" s="42" t="s">
        <v>11</v>
      </c>
      <c r="B12" s="159">
        <v>14325</v>
      </c>
      <c r="C12" s="357">
        <f>B12*(INDEX('Ex ante LI &amp; Eligibility Stats'!$A:$M,MATCH($A12,'Ex ante LI &amp; Eligibility Stats'!$A:$A,0),MATCH('Program MW '!C$6,'Ex ante LI &amp; Eligibility Stats'!$A$8:$M$8,0))/1000)</f>
        <v>0</v>
      </c>
      <c r="D12" s="356">
        <f>B12*(INDEX('Ex post LI &amp; Eligibility Stats'!$A:$N,MATCH($A12,'Ex post LI &amp; Eligibility Stats'!$A:$A,0),MATCH('Program MW '!C$6,'Ex post LI &amp; Eligibility Stats'!$A$8:$N$8,0))/1000)</f>
        <v>10.45725</v>
      </c>
      <c r="E12" s="159">
        <v>14319</v>
      </c>
      <c r="F12" s="355">
        <f>E12*(INDEX('Ex ante LI &amp; Eligibility Stats'!$A:$M,MATCH($A12,'Ex ante LI &amp; Eligibility Stats'!$A:$A,0),MATCH('Program MW '!F$6,'Ex ante LI &amp; Eligibility Stats'!$A$8:$M$8,0))/1000)</f>
        <v>0</v>
      </c>
      <c r="G12" s="356">
        <f>E12*(INDEX('Ex post LI &amp; Eligibility Stats'!$A:$N,MATCH($A12,'Ex post LI &amp; Eligibility Stats'!$A:$A,0),MATCH('Program MW '!F$6,'Ex post LI &amp; Eligibility Stats'!$A$8:$N$8,0))/1000)</f>
        <v>10.452869999999999</v>
      </c>
      <c r="H12" s="159">
        <v>14282</v>
      </c>
      <c r="I12" s="357">
        <f>H12*(INDEX('Ex ante LI &amp; Eligibility Stats'!$A:$M,MATCH('Program MW '!$A12,'Ex ante LI &amp; Eligibility Stats'!$A:$A,0),MATCH('Program MW '!I$6,'Ex ante LI &amp; Eligibility Stats'!$A$8:$M$8,0))/1000)</f>
        <v>2.0273027641999999</v>
      </c>
      <c r="J12" s="356">
        <f>H12*(INDEX('Ex post LI &amp; Eligibility Stats'!$A:$N,MATCH($A12,'Ex post LI &amp; Eligibility Stats'!$A:$A,0),MATCH('Program MW '!I$6,'Ex post LI &amp; Eligibility Stats'!$A$8:$N$8,0))/1000)</f>
        <v>10.42586</v>
      </c>
      <c r="K12" s="159">
        <v>14248</v>
      </c>
      <c r="L12" s="357">
        <f>K12*(INDEX('Ex ante LI &amp; Eligibility Stats'!$A:$M,MATCH('Program MW '!$A12,'Ex ante LI &amp; Eligibility Stats'!$A:$A,0),MATCH('Program MW '!L$6,'Ex ante LI &amp; Eligibility Stats'!$A$8:$M$8,0))/1000)</f>
        <v>1.9754780759999999</v>
      </c>
      <c r="M12" s="356">
        <f>K12*(INDEX('Ex post LI &amp; Eligibility Stats'!$A:$N,MATCH($A12,'Ex post LI &amp; Eligibility Stats'!$A:$A,0),MATCH('Program MW '!L$6,'Ex post LI &amp; Eligibility Stats'!$A$8:$N$8,0))/1000)</f>
        <v>10.40104</v>
      </c>
      <c r="N12" s="159">
        <v>14178</v>
      </c>
      <c r="O12" s="357">
        <f>N12*(INDEX('Ex ante LI &amp; Eligibility Stats'!$A:$M,MATCH('Program MW '!$A12,'Ex ante LI &amp; Eligibility Stats'!$A:$A,0),MATCH('Program MW '!O$6,'Ex ante LI &amp; Eligibility Stats'!$A$8:$M$8,0))/1000)</f>
        <v>1.9550086733999998</v>
      </c>
      <c r="P12" s="356">
        <f>N12*(INDEX('Ex post LI &amp; Eligibility Stats'!$A:$N,MATCH($A12,'Ex post LI &amp; Eligibility Stats'!$A:$A,0),MATCH('Program MW '!O$6,'Ex post LI &amp; Eligibility Stats'!$A$8:$N$8,0))/1000)</f>
        <v>10.34994</v>
      </c>
      <c r="Q12" s="159">
        <v>14095</v>
      </c>
      <c r="R12" s="357">
        <f>Q12*(INDEX('Ex ante LI &amp; Eligibility Stats'!$A:$M,MATCH('Program MW '!$A12,'Ex ante LI &amp; Eligibility Stats'!$A:$A,0),MATCH('Program MW '!R$6,'Ex ante LI &amp; Eligibility Stats'!$A$8:$M$8,0))/1000)</f>
        <v>1.9500192885000003</v>
      </c>
      <c r="S12" s="356">
        <f>Q12*(INDEX('Ex post LI &amp; Eligibility Stats'!$A:$N,MATCH($A12,'Ex post LI &amp; Eligibility Stats'!$A:$A,0),MATCH('Program MW '!R$6,'Ex post LI &amp; Eligibility Stats'!$A$8:$N$8,0))/1000)</f>
        <v>10.289349999999999</v>
      </c>
      <c r="T12" s="7">
        <v>138123</v>
      </c>
      <c r="U12" s="6"/>
      <c r="V12" s="6"/>
      <c r="W12" s="6"/>
      <c r="X12" s="6"/>
      <c r="Y12" s="6"/>
      <c r="Z12" s="6"/>
      <c r="AA12" s="6"/>
      <c r="AB12" s="6"/>
      <c r="AC12" s="6"/>
      <c r="AD12" s="6"/>
      <c r="AE12" s="6"/>
    </row>
    <row r="13" spans="1:31" ht="13.5">
      <c r="A13" s="209" t="s">
        <v>54</v>
      </c>
      <c r="B13" s="210">
        <v>0</v>
      </c>
      <c r="C13" s="357">
        <v>0</v>
      </c>
      <c r="D13" s="358">
        <v>0</v>
      </c>
      <c r="E13" s="210">
        <v>0</v>
      </c>
      <c r="F13" s="357">
        <v>0</v>
      </c>
      <c r="G13" s="358">
        <v>0</v>
      </c>
      <c r="H13" s="210">
        <v>0</v>
      </c>
      <c r="I13" s="357">
        <v>0</v>
      </c>
      <c r="J13" s="358">
        <v>0</v>
      </c>
      <c r="K13" s="210">
        <v>0</v>
      </c>
      <c r="L13" s="357">
        <v>0</v>
      </c>
      <c r="M13" s="358">
        <v>0</v>
      </c>
      <c r="N13" s="210">
        <v>0</v>
      </c>
      <c r="O13" s="357">
        <v>0</v>
      </c>
      <c r="P13" s="358">
        <v>0</v>
      </c>
      <c r="Q13" s="210">
        <v>0</v>
      </c>
      <c r="R13" s="357">
        <v>0</v>
      </c>
      <c r="S13" s="358">
        <v>0</v>
      </c>
      <c r="T13" s="4"/>
      <c r="U13" s="6"/>
      <c r="V13" s="6"/>
      <c r="W13" s="6"/>
      <c r="X13" s="6"/>
      <c r="Y13" s="6"/>
      <c r="Z13" s="6"/>
      <c r="AA13" s="6"/>
      <c r="AB13" s="6"/>
      <c r="AC13" s="6"/>
      <c r="AD13" s="6"/>
      <c r="AE13" s="6"/>
    </row>
    <row r="14" spans="1:31" ht="14.25">
      <c r="A14" s="164" t="s">
        <v>55</v>
      </c>
      <c r="B14" s="160">
        <v>1</v>
      </c>
      <c r="C14" s="357">
        <v>0</v>
      </c>
      <c r="D14" s="358">
        <v>0</v>
      </c>
      <c r="E14" s="160">
        <v>1</v>
      </c>
      <c r="F14" s="357">
        <v>0</v>
      </c>
      <c r="G14" s="358">
        <v>0</v>
      </c>
      <c r="H14" s="160">
        <v>2</v>
      </c>
      <c r="I14" s="357">
        <f>H14*(INDEX('Ex ante LI &amp; Eligibility Stats'!$A:$M,MATCH('Program MW '!$A14,'Ex ante LI &amp; Eligibility Stats'!$A:$A,0),MATCH('Program MW '!I$6,'Ex ante LI &amp; Eligibility Stats'!$A$8:$M$8,0))/1000)</f>
        <v>0</v>
      </c>
      <c r="J14" s="358">
        <f>H14*(INDEX('Ex post LI &amp; Eligibility Stats'!$A:$N,MATCH($A14,'Ex post LI &amp; Eligibility Stats'!$A:$A,0),MATCH('Program MW '!I$6,'Ex post LI &amp; Eligibility Stats'!$A$8:$N$8,0))/1000)</f>
        <v>2.632E-2</v>
      </c>
      <c r="K14" s="160">
        <v>2</v>
      </c>
      <c r="L14" s="357">
        <f>K14*(INDEX('Ex ante LI &amp; Eligibility Stats'!$A:$M,MATCH('Program MW '!$A14,'Ex ante LI &amp; Eligibility Stats'!$A:$A,0),MATCH('Program MW '!L$6,'Ex ante LI &amp; Eligibility Stats'!$A$8:$M$8,0))/1000)</f>
        <v>0</v>
      </c>
      <c r="M14" s="358">
        <f>K14*(INDEX('Ex post LI &amp; Eligibility Stats'!$A:$N,MATCH($A14,'Ex post LI &amp; Eligibility Stats'!$A:$A,0),MATCH('Program MW '!L$6,'Ex post LI &amp; Eligibility Stats'!$A$8:$N$8,0))/1000)</f>
        <v>2.632E-2</v>
      </c>
      <c r="N14" s="160">
        <v>2</v>
      </c>
      <c r="O14" s="357">
        <f>N14*(INDEX('Ex ante LI &amp; Eligibility Stats'!$A:$M,MATCH('Program MW '!$A14,'Ex ante LI &amp; Eligibility Stats'!$A:$A,0),MATCH('Program MW '!O$6,'Ex ante LI &amp; Eligibility Stats'!$A$8:$M$8,0))/1000)</f>
        <v>2.632E-2</v>
      </c>
      <c r="P14" s="358">
        <f>N14*(INDEX('Ex post LI &amp; Eligibility Stats'!$A:$N,MATCH($A14,'Ex post LI &amp; Eligibility Stats'!$A:$A,0),MATCH('Program MW '!O$6,'Ex post LI &amp; Eligibility Stats'!$A$8:$N$8,0))/1000)</f>
        <v>2.632E-2</v>
      </c>
      <c r="Q14" s="160">
        <v>2</v>
      </c>
      <c r="R14" s="357">
        <f>Q14*(INDEX('Ex ante LI &amp; Eligibility Stats'!$A:$M,MATCH('Program MW '!$A14,'Ex ante LI &amp; Eligibility Stats'!$A:$A,0),MATCH('Program MW '!R$6,'Ex ante LI &amp; Eligibility Stats'!$A$8:$M$8,0))/1000)</f>
        <v>2.632E-2</v>
      </c>
      <c r="S14" s="358">
        <f>Q14*(INDEX('Ex post LI &amp; Eligibility Stats'!$A:$N,MATCH($A14,'Ex post LI &amp; Eligibility Stats'!$A:$A,0),MATCH('Program MW '!R$6,'Ex post LI &amp; Eligibility Stats'!$A$8:$N$8,0))/1000)</f>
        <v>2.632E-2</v>
      </c>
      <c r="T14" s="4"/>
      <c r="U14" s="6"/>
      <c r="V14" s="6"/>
      <c r="W14" s="6"/>
      <c r="X14" s="6"/>
      <c r="Y14" s="6"/>
      <c r="Z14" s="6"/>
      <c r="AA14" s="6"/>
      <c r="AB14" s="6"/>
      <c r="AC14" s="6"/>
      <c r="AD14" s="6"/>
      <c r="AE14" s="6"/>
    </row>
    <row r="15" spans="1:31">
      <c r="A15" s="285" t="s">
        <v>17</v>
      </c>
      <c r="B15" s="160">
        <v>19267</v>
      </c>
      <c r="C15" s="357">
        <f>B15*(INDEX('Ex ante LI &amp; Eligibility Stats'!$A:$M,MATCH($A15,'Ex ante LI &amp; Eligibility Stats'!$A:$A,0),MATCH('Program MW '!C$6,'Ex ante LI &amp; Eligibility Stats'!$A$8:$M$8,0))/1000)</f>
        <v>0</v>
      </c>
      <c r="D15" s="358">
        <f>B15*(INDEX('Ex post LI &amp; Eligibility Stats'!$A:$N,MATCH($A15,'Ex post LI &amp; Eligibility Stats'!$A:$A,0),MATCH('Program MW '!C$6,'Ex post LI &amp; Eligibility Stats'!$A$8:$N$8,0))/1000)</f>
        <v>3.0827200000000001</v>
      </c>
      <c r="E15" s="160">
        <v>19389</v>
      </c>
      <c r="F15" s="357">
        <f>E15*(INDEX('Ex ante LI &amp; Eligibility Stats'!$A:$M,MATCH($A15,'Ex ante LI &amp; Eligibility Stats'!$A:$A,0),MATCH('Program MW '!F$6,'Ex ante LI &amp; Eligibility Stats'!$A$8:$M$8,0))/1000)</f>
        <v>0</v>
      </c>
      <c r="G15" s="358">
        <f>E15*(INDEX('Ex post LI &amp; Eligibility Stats'!$A:$N,MATCH($A15,'Ex post LI &amp; Eligibility Stats'!$A:$A,0),MATCH('Program MW '!F$6,'Ex post LI &amp; Eligibility Stats'!$A$8:$N$8,0))/1000)</f>
        <v>3.1022400000000001</v>
      </c>
      <c r="H15" s="160">
        <v>19514</v>
      </c>
      <c r="I15" s="357">
        <f>H15*(INDEX('Ex ante LI &amp; Eligibility Stats'!$A:$M,MATCH('Program MW '!$A15,'Ex ante LI &amp; Eligibility Stats'!$A:$A,0),MATCH('Program MW '!I$6,'Ex ante LI &amp; Eligibility Stats'!$A$8:$M$8,0))/1000)</f>
        <v>8.363872844347498E-4</v>
      </c>
      <c r="J15" s="358">
        <f>H15*(INDEX('Ex post LI &amp; Eligibility Stats'!$A:$N,MATCH($A15,'Ex post LI &amp; Eligibility Stats'!$A:$A,0),MATCH('Program MW '!I$6,'Ex post LI &amp; Eligibility Stats'!$A$8:$N$8,0))/1000)</f>
        <v>4.2930799999999998</v>
      </c>
      <c r="K15" s="160">
        <v>15350</v>
      </c>
      <c r="L15" s="357">
        <f>K15*(INDEX('Ex ante LI &amp; Eligibility Stats'!$A:$M,MATCH('Program MW '!$A15,'Ex ante LI &amp; Eligibility Stats'!$A:$A,0),MATCH('Program MW '!L$6,'Ex ante LI &amp; Eligibility Stats'!$A$8:$M$8,0))/1000)</f>
        <v>1.2928511034697294</v>
      </c>
      <c r="M15" s="358">
        <f>K15*(INDEX('Ex post LI &amp; Eligibility Stats'!$A:$N,MATCH($A15,'Ex post LI &amp; Eligibility Stats'!$A:$A,0),MATCH('Program MW '!L$6,'Ex post LI &amp; Eligibility Stats'!$A$8:$N$8,0))/1000)</f>
        <v>3.3770000000000002</v>
      </c>
      <c r="N15" s="210">
        <v>15648</v>
      </c>
      <c r="O15" s="357">
        <f>N15*(INDEX('Ex ante LI &amp; Eligibility Stats'!$A:$M,MATCH('Program MW '!$A15,'Ex ante LI &amp; Eligibility Stats'!$A:$A,0),MATCH('Program MW '!O$6,'Ex ante LI &amp; Eligibility Stats'!$A$8:$M$8,0))/1000)</f>
        <v>2.1029281368255615</v>
      </c>
      <c r="P15" s="358">
        <f>N15*(INDEX('Ex post LI &amp; Eligibility Stats'!$A:$N,MATCH($A15,'Ex post LI &amp; Eligibility Stats'!$A:$A,0),MATCH('Program MW '!O$6,'Ex post LI &amp; Eligibility Stats'!$A$8:$N$8,0))/1000)</f>
        <v>3.4425600000000003</v>
      </c>
      <c r="Q15" s="160">
        <v>14944</v>
      </c>
      <c r="R15" s="357">
        <f>Q15*(INDEX('Ex ante LI &amp; Eligibility Stats'!$A:$M,MATCH('Program MW '!$A15,'Ex ante LI &amp; Eligibility Stats'!$A:$A,0),MATCH('Program MW '!R$6,'Ex ante LI &amp; Eligibility Stats'!$A$8:$M$8,0))/1000)</f>
        <v>1.7535013246536255</v>
      </c>
      <c r="S15" s="358">
        <f>Q15*(INDEX('Ex post LI &amp; Eligibility Stats'!$A:$N,MATCH($A15,'Ex post LI &amp; Eligibility Stats'!$A:$A,0),MATCH('Program MW '!R$6,'Ex post LI &amp; Eligibility Stats'!$A$8:$N$8,0))/1000)</f>
        <v>3.2876799999999999</v>
      </c>
      <c r="T15" s="4">
        <v>663393.5</v>
      </c>
      <c r="U15" s="6"/>
      <c r="V15" s="6"/>
      <c r="W15" s="6"/>
      <c r="X15" s="6"/>
      <c r="Y15" s="6"/>
      <c r="Z15" s="6"/>
      <c r="AA15" s="6"/>
      <c r="AB15" s="6"/>
      <c r="AC15" s="6"/>
      <c r="AD15" s="6"/>
      <c r="AE15" s="6"/>
    </row>
    <row r="16" spans="1:31">
      <c r="A16" s="157" t="s">
        <v>20</v>
      </c>
      <c r="B16" s="160">
        <v>1621</v>
      </c>
      <c r="C16" s="357">
        <f>B16*(INDEX('Ex ante LI &amp; Eligibility Stats'!$A:$M,MATCH($A16,'Ex ante LI &amp; Eligibility Stats'!$A:$A,0),MATCH('Program MW '!C$6,'Ex ante LI &amp; Eligibility Stats'!$A$8:$M$8,0))/1000)</f>
        <v>0</v>
      </c>
      <c r="D16" s="358">
        <f>B16*(INDEX('Ex post LI &amp; Eligibility Stats'!$A:$N,MATCH($A16,'Ex post LI &amp; Eligibility Stats'!$A:$A,0),MATCH('Program MW '!C$6,'Ex post LI &amp; Eligibility Stats'!$A$8:$N$8,0))/1000)</f>
        <v>0.76186999999999994</v>
      </c>
      <c r="E16" s="160">
        <v>1632</v>
      </c>
      <c r="F16" s="357">
        <f>E16*(INDEX('Ex ante LI &amp; Eligibility Stats'!$A:$M,MATCH($A16,'Ex ante LI &amp; Eligibility Stats'!$A:$A,0),MATCH('Program MW '!F$6,'Ex ante LI &amp; Eligibility Stats'!$A$8:$M$8,0))/1000)</f>
        <v>0</v>
      </c>
      <c r="G16" s="358">
        <f>E16*(INDEX('Ex post LI &amp; Eligibility Stats'!$A:$N,MATCH($A16,'Ex post LI &amp; Eligibility Stats'!$A:$A,0),MATCH('Program MW '!F$6,'Ex post LI &amp; Eligibility Stats'!$A$8:$N$8,0))/1000)</f>
        <v>0.76703999999999994</v>
      </c>
      <c r="H16" s="160">
        <v>1633</v>
      </c>
      <c r="I16" s="357">
        <f>H16*(INDEX('Ex ante LI &amp; Eligibility Stats'!$A:$M,MATCH('Program MW '!$A16,'Ex ante LI &amp; Eligibility Stats'!$A:$A,0),MATCH('Program MW '!I$6,'Ex ante LI &amp; Eligibility Stats'!$A$8:$M$8,0))/1000)</f>
        <v>2.9353506870102137E-3</v>
      </c>
      <c r="J16" s="358">
        <f>H16*(INDEX('Ex post LI &amp; Eligibility Stats'!$A:$N,MATCH($A16,'Ex post LI &amp; Eligibility Stats'!$A:$A,0),MATCH('Program MW '!I$6,'Ex post LI &amp; Eligibility Stats'!$A$8:$N$8,0))/1000)</f>
        <v>0.58787999999999996</v>
      </c>
      <c r="K16" s="160">
        <v>960</v>
      </c>
      <c r="L16" s="357">
        <f>K16*(INDEX('Ex ante LI &amp; Eligibility Stats'!$A:$M,MATCH('Program MW '!$A16,'Ex ante LI &amp; Eligibility Stats'!$A:$A,0),MATCH('Program MW '!L$6,'Ex ante LI &amp; Eligibility Stats'!$A$8:$M$8,0))/1000)</f>
        <v>0.18351822853088379</v>
      </c>
      <c r="M16" s="358">
        <f>K16*(INDEX('Ex post LI &amp; Eligibility Stats'!$A:$N,MATCH($A16,'Ex post LI &amp; Eligibility Stats'!$A:$A,0),MATCH('Program MW '!L$6,'Ex post LI &amp; Eligibility Stats'!$A$8:$N$8,0))/1000)</f>
        <v>0.34559999999999996</v>
      </c>
      <c r="N16" s="210">
        <v>972</v>
      </c>
      <c r="O16" s="357">
        <f>N16*(INDEX('Ex ante LI &amp; Eligibility Stats'!$A:$M,MATCH('Program MW '!$A16,'Ex ante LI &amp; Eligibility Stats'!$A:$A,0),MATCH('Program MW '!O$6,'Ex ante LI &amp; Eligibility Stats'!$A$8:$M$8,0))/1000)</f>
        <v>0.26925267112255097</v>
      </c>
      <c r="P16" s="358">
        <f>N16*(INDEX('Ex post LI &amp; Eligibility Stats'!$A:$N,MATCH($A16,'Ex post LI &amp; Eligibility Stats'!$A:$A,0),MATCH('Program MW '!O$6,'Ex post LI &amp; Eligibility Stats'!$A$8:$N$8,0))/1000)</f>
        <v>0.34991999999999995</v>
      </c>
      <c r="Q16" s="160">
        <v>980</v>
      </c>
      <c r="R16" s="357">
        <f>Q16*(INDEX('Ex ante LI &amp; Eligibility Stats'!$A:$M,MATCH('Program MW '!$A16,'Ex ante LI &amp; Eligibility Stats'!$A:$A,0),MATCH('Program MW '!R$6,'Ex ante LI &amp; Eligibility Stats'!$A$8:$M$8,0))/1000)</f>
        <v>0.25252178430557248</v>
      </c>
      <c r="S16" s="358">
        <f>Q16*(INDEX('Ex post LI &amp; Eligibility Stats'!$A:$N,MATCH($A16,'Ex post LI &amp; Eligibility Stats'!$A:$A,0),MATCH('Program MW '!R$6,'Ex post LI &amp; Eligibility Stats'!$A$8:$N$8,0))/1000)</f>
        <v>0.35279999999999995</v>
      </c>
      <c r="T16" s="4"/>
      <c r="U16" s="6"/>
      <c r="V16" s="6"/>
      <c r="W16" s="6"/>
      <c r="X16" s="6"/>
      <c r="Y16" s="6"/>
      <c r="Z16" s="6"/>
      <c r="AA16" s="6"/>
      <c r="AB16" s="6"/>
      <c r="AC16" s="6"/>
      <c r="AD16" s="6"/>
      <c r="AE16" s="6"/>
    </row>
    <row r="17" spans="1:31">
      <c r="A17" s="285" t="s">
        <v>21</v>
      </c>
      <c r="B17" s="421">
        <v>8709</v>
      </c>
      <c r="C17" s="357">
        <f>B17*(INDEX('Ex ante LI &amp; Eligibility Stats'!$A:$M,MATCH($A17,'Ex ante LI &amp; Eligibility Stats'!$A:$A,0),MATCH('Program MW '!C$6,'Ex ante LI &amp; Eligibility Stats'!$A$8:$M$8,0))/1000)</f>
        <v>0</v>
      </c>
      <c r="D17" s="358">
        <f>B17*(INDEX('Ex post LI &amp; Eligibility Stats'!$A:$N,MATCH($A17,'Ex post LI &amp; Eligibility Stats'!$A:$A,0),MATCH('Program MW '!C$6,'Ex post LI &amp; Eligibility Stats'!$A$8:$N$8,0))/1000)</f>
        <v>2.1772499999999999</v>
      </c>
      <c r="E17" s="421">
        <v>8522</v>
      </c>
      <c r="F17" s="357">
        <f>E17*(INDEX('Ex ante LI &amp; Eligibility Stats'!$A:$M,MATCH($A17,'Ex ante LI &amp; Eligibility Stats'!$A:$A,0),MATCH('Program MW '!F$6,'Ex ante LI &amp; Eligibility Stats'!$A$8:$M$8,0))/1000)</f>
        <v>0</v>
      </c>
      <c r="G17" s="358">
        <f>E17*(INDEX('Ex post LI &amp; Eligibility Stats'!$A:$N,MATCH($A17,'Ex post LI &amp; Eligibility Stats'!$A:$A,0),MATCH('Program MW '!F$6,'Ex post LI &amp; Eligibility Stats'!$A$8:$N$8,0))/1000)</f>
        <v>2.1305000000000001</v>
      </c>
      <c r="H17" s="421">
        <v>8522</v>
      </c>
      <c r="I17" s="357">
        <f>H17*(INDEX('Ex ante LI &amp; Eligibility Stats'!$A:$M,MATCH('Program MW '!$A17,'Ex ante LI &amp; Eligibility Stats'!$A:$A,0),MATCH('Program MW '!I$6,'Ex ante LI &amp; Eligibility Stats'!$A$8:$M$8,0))/1000)</f>
        <v>0</v>
      </c>
      <c r="J17" s="358">
        <f>H17*(INDEX('Ex post LI &amp; Eligibility Stats'!$A:$N,MATCH($A17,'Ex post LI &amp; Eligibility Stats'!$A:$A,0),MATCH('Program MW '!I$6,'Ex post LI &amp; Eligibility Stats'!$A$8:$N$8,0))/1000)</f>
        <v>0.93742000000000003</v>
      </c>
      <c r="K17" s="421">
        <v>7855</v>
      </c>
      <c r="L17" s="357">
        <f>K17*(INDEX('Ex ante LI &amp; Eligibility Stats'!$A:$M,MATCH('Program MW '!$A17,'Ex ante LI &amp; Eligibility Stats'!$A:$A,0),MATCH('Program MW '!L$6,'Ex ante LI &amp; Eligibility Stats'!$A$8:$M$8,0))/1000)</f>
        <v>0</v>
      </c>
      <c r="M17" s="358">
        <f>K17*(INDEX('Ex post LI &amp; Eligibility Stats'!$A:$N,MATCH($A17,'Ex post LI &amp; Eligibility Stats'!$A:$A,0),MATCH('Program MW '!L$6,'Ex post LI &amp; Eligibility Stats'!$A$8:$N$8,0))/1000)</f>
        <v>0.86404999999999998</v>
      </c>
      <c r="N17" s="421">
        <v>8179</v>
      </c>
      <c r="O17" s="357">
        <f>N17*(INDEX('Ex ante LI &amp; Eligibility Stats'!$A:$M,MATCH('Program MW '!$A17,'Ex ante LI &amp; Eligibility Stats'!$A:$A,0),MATCH('Program MW '!O$6,'Ex ante LI &amp; Eligibility Stats'!$A$8:$M$8,0))/1000)</f>
        <v>0.2733356368</v>
      </c>
      <c r="P17" s="358">
        <f>N17*(INDEX('Ex post LI &amp; Eligibility Stats'!$A:$N,MATCH($A17,'Ex post LI &amp; Eligibility Stats'!$A:$A,0),MATCH('Program MW '!O$6,'Ex post LI &amp; Eligibility Stats'!$A$8:$N$8,0))/1000)</f>
        <v>0.89968999999999999</v>
      </c>
      <c r="Q17" s="421">
        <v>7938</v>
      </c>
      <c r="R17" s="357">
        <f>Q17*(INDEX('Ex ante LI &amp; Eligibility Stats'!$A:$M,MATCH('Program MW '!$A17,'Ex ante LI &amp; Eligibility Stats'!$A:$A,0),MATCH('Program MW '!R$6,'Ex ante LI &amp; Eligibility Stats'!$A$8:$M$8,0))/1000)</f>
        <v>2.34337698E-2</v>
      </c>
      <c r="S17" s="358">
        <f>Q17*(INDEX('Ex post LI &amp; Eligibility Stats'!$A:$N,MATCH($A17,'Ex post LI &amp; Eligibility Stats'!$A:$A,0),MATCH('Program MW '!R$6,'Ex post LI &amp; Eligibility Stats'!$A$8:$N$8,0))/1000)</f>
        <v>0.87318000000000007</v>
      </c>
      <c r="T17" s="4">
        <v>157189</v>
      </c>
      <c r="U17" s="6"/>
      <c r="V17" s="6"/>
      <c r="W17" s="6"/>
      <c r="X17" s="6"/>
      <c r="Y17" s="6"/>
      <c r="Z17" s="6"/>
      <c r="AA17" s="6"/>
      <c r="AB17" s="6"/>
      <c r="AC17" s="6"/>
      <c r="AD17" s="6"/>
      <c r="AE17" s="6"/>
    </row>
    <row r="18" spans="1:31">
      <c r="A18" s="285" t="s">
        <v>23</v>
      </c>
      <c r="B18" s="421">
        <v>3148</v>
      </c>
      <c r="C18" s="357">
        <f>B18*(INDEX('Ex ante LI &amp; Eligibility Stats'!$A:$M,MATCH($A18,'Ex ante LI &amp; Eligibility Stats'!$A:$A,0),MATCH('Program MW '!C$6,'Ex ante LI &amp; Eligibility Stats'!$A$8:$M$8,0))/1000)</f>
        <v>0</v>
      </c>
      <c r="D18" s="358">
        <f>B18*(INDEX('Ex post LI &amp; Eligibility Stats'!$A:$N,MATCH($A18,'Ex post LI &amp; Eligibility Stats'!$A:$A,0),MATCH('Program MW '!C$6,'Ex post LI &amp; Eligibility Stats'!$A$8:$N$8,0))/1000)</f>
        <v>0.37775999999999998</v>
      </c>
      <c r="E18" s="421">
        <v>3130</v>
      </c>
      <c r="F18" s="357">
        <f>E18*(INDEX('Ex ante LI &amp; Eligibility Stats'!$A:$M,MATCH($A18,'Ex ante LI &amp; Eligibility Stats'!$A:$A,0),MATCH('Program MW '!F$6,'Ex ante LI &amp; Eligibility Stats'!$A$8:$M$8,0))/1000)</f>
        <v>0</v>
      </c>
      <c r="G18" s="358">
        <f>E18*(INDEX('Ex post LI &amp; Eligibility Stats'!$A:$N,MATCH($A18,'Ex post LI &amp; Eligibility Stats'!$A:$A,0),MATCH('Program MW '!F$6,'Ex post LI &amp; Eligibility Stats'!$A$8:$N$8,0))/1000)</f>
        <v>0.37559999999999999</v>
      </c>
      <c r="H18" s="421">
        <v>3184</v>
      </c>
      <c r="I18" s="357">
        <f>H18*(INDEX('Ex ante LI &amp; Eligibility Stats'!$A:$M,MATCH('Program MW '!$A18,'Ex ante LI &amp; Eligibility Stats'!$A:$A,0),MATCH('Program MW '!I$6,'Ex ante LI &amp; Eligibility Stats'!$A$8:$M$8,0))/1000)</f>
        <v>0</v>
      </c>
      <c r="J18" s="358">
        <f>H18*(INDEX('Ex post LI &amp; Eligibility Stats'!$A:$N,MATCH($A18,'Ex post LI &amp; Eligibility Stats'!$A:$A,0),MATCH('Program MW '!I$6,'Ex post LI &amp; Eligibility Stats'!$A$8:$N$8,0))/1000)</f>
        <v>0.28655999999999998</v>
      </c>
      <c r="K18" s="421">
        <v>3184</v>
      </c>
      <c r="L18" s="357">
        <f>K18*(INDEX('Ex ante LI &amp; Eligibility Stats'!$A:$M,MATCH('Program MW '!$A18,'Ex ante LI &amp; Eligibility Stats'!$A:$A,0),MATCH('Program MW '!L$6,'Ex ante LI &amp; Eligibility Stats'!$A$8:$M$8,0))/1000)</f>
        <v>0.17300868959999999</v>
      </c>
      <c r="M18" s="358">
        <f>K18*(INDEX('Ex post LI &amp; Eligibility Stats'!$A:$N,MATCH($A18,'Ex post LI &amp; Eligibility Stats'!$A:$A,0),MATCH('Program MW '!L$6,'Ex post LI &amp; Eligibility Stats'!$A$8:$N$8,0))/1000)</f>
        <v>0.28655999999999998</v>
      </c>
      <c r="N18" s="421">
        <v>3039</v>
      </c>
      <c r="O18" s="357">
        <f>N18*(INDEX('Ex ante LI &amp; Eligibility Stats'!$A:$M,MATCH('Program MW '!$A18,'Ex ante LI &amp; Eligibility Stats'!$A:$A,0),MATCH('Program MW '!O$6,'Ex ante LI &amp; Eligibility Stats'!$A$8:$M$8,0))/1000)</f>
        <v>0.23546111219999999</v>
      </c>
      <c r="P18" s="358">
        <f>N18*(INDEX('Ex post LI &amp; Eligibility Stats'!$A:$N,MATCH($A18,'Ex post LI &amp; Eligibility Stats'!$A:$A,0),MATCH('Program MW '!O$6,'Ex post LI &amp; Eligibility Stats'!$A$8:$N$8,0))/1000)</f>
        <v>0.27350999999999998</v>
      </c>
      <c r="Q18" s="421">
        <v>3218</v>
      </c>
      <c r="R18" s="357">
        <f>Q18*(INDEX('Ex ante LI &amp; Eligibility Stats'!$A:$M,MATCH('Program MW '!$A18,'Ex ante LI &amp; Eligibility Stats'!$A:$A,0),MATCH('Program MW '!R$6,'Ex ante LI &amp; Eligibility Stats'!$A$8:$M$8,0))/1000)</f>
        <v>0.1919092916</v>
      </c>
      <c r="S18" s="358">
        <f>Q18*(INDEX('Ex post LI &amp; Eligibility Stats'!$A:$N,MATCH($A18,'Ex post LI &amp; Eligibility Stats'!$A:$A,0),MATCH('Program MW '!R$6,'Ex post LI &amp; Eligibility Stats'!$A$8:$N$8,0))/1000)</f>
        <v>0.28961999999999999</v>
      </c>
      <c r="T18" s="4">
        <v>157189</v>
      </c>
      <c r="U18" s="6"/>
      <c r="V18" s="6"/>
      <c r="W18" s="6"/>
      <c r="X18" s="6"/>
      <c r="Y18" s="6"/>
      <c r="Z18" s="6"/>
      <c r="AA18" s="6"/>
      <c r="AB18" s="6"/>
      <c r="AC18" s="6"/>
      <c r="AD18" s="6"/>
      <c r="AE18" s="6"/>
    </row>
    <row r="19" spans="1:31">
      <c r="A19" s="157" t="s">
        <v>24</v>
      </c>
      <c r="B19" s="160">
        <v>0</v>
      </c>
      <c r="C19" s="357">
        <f>B19*(INDEX('Ex ante LI &amp; Eligibility Stats'!$A:$M,MATCH($A19,'Ex ante LI &amp; Eligibility Stats'!$A:$A,0),MATCH('Program MW '!C$6,'Ex ante LI &amp; Eligibility Stats'!$A$8:$M$8,0))/1000)</f>
        <v>0</v>
      </c>
      <c r="D19" s="358">
        <f>B19*(INDEX('Ex post LI &amp; Eligibility Stats'!$A:$N,MATCH($A19,'Ex post LI &amp; Eligibility Stats'!$A:$A,0),MATCH('Program MW '!C$6,'Ex post LI &amp; Eligibility Stats'!$A$8:$N$8,0))/1000)</f>
        <v>0</v>
      </c>
      <c r="E19" s="160">
        <v>0</v>
      </c>
      <c r="F19" s="357">
        <f>E19*(INDEX('Ex ante LI &amp; Eligibility Stats'!$A:$M,MATCH($A19,'Ex ante LI &amp; Eligibility Stats'!$A:$A,0),MATCH('Program MW '!F$6,'Ex ante LI &amp; Eligibility Stats'!$A$8:$M$8,0))/1000)</f>
        <v>0</v>
      </c>
      <c r="G19" s="358">
        <f>E19*(INDEX('Ex post LI &amp; Eligibility Stats'!$A:$N,MATCH($A19,'Ex post LI &amp; Eligibility Stats'!$A:$A,0),MATCH('Program MW '!F$6,'Ex post LI &amp; Eligibility Stats'!$A$8:$N$8,0))/1000)</f>
        <v>0</v>
      </c>
      <c r="H19" s="160">
        <v>0</v>
      </c>
      <c r="I19" s="357">
        <f>H19*(INDEX('Ex ante LI &amp; Eligibility Stats'!$A:$M,MATCH('Program MW '!$A19,'Ex ante LI &amp; Eligibility Stats'!$A:$A,0),MATCH('Program MW '!I$6,'Ex ante LI &amp; Eligibility Stats'!$A$8:$M$8,0))/1000)</f>
        <v>0</v>
      </c>
      <c r="J19" s="358">
        <f>H19*(INDEX('Ex post LI &amp; Eligibility Stats'!$A:$N,MATCH($A19,'Ex post LI &amp; Eligibility Stats'!$A:$A,0),MATCH('Program MW '!I$6,'Ex post LI &amp; Eligibility Stats'!$A$8:$N$8,0))/1000)</f>
        <v>0</v>
      </c>
      <c r="K19" s="160">
        <v>0</v>
      </c>
      <c r="L19" s="357">
        <f>K19*(INDEX('Ex ante LI &amp; Eligibility Stats'!$A:$M,MATCH('Program MW '!$A19,'Ex ante LI &amp; Eligibility Stats'!$A:$A,0),MATCH('Program MW '!L$6,'Ex ante LI &amp; Eligibility Stats'!$A$8:$M$8,0))/1000)</f>
        <v>0</v>
      </c>
      <c r="M19" s="358">
        <f>K19*(INDEX('Ex post LI &amp; Eligibility Stats'!$A:$N,MATCH($A19,'Ex post LI &amp; Eligibility Stats'!$A:$A,0),MATCH('Program MW '!L$6,'Ex post LI &amp; Eligibility Stats'!$A$8:$N$8,0))/1000)</f>
        <v>0</v>
      </c>
      <c r="N19" s="160">
        <v>9</v>
      </c>
      <c r="O19" s="357">
        <f>N19*(INDEX('Ex ante LI &amp; Eligibility Stats'!$A:$M,MATCH('Program MW '!$A19,'Ex ante LI &amp; Eligibility Stats'!$A:$A,0),MATCH('Program MW '!O$6,'Ex ante LI &amp; Eligibility Stats'!$A$8:$M$8,0))/1000)</f>
        <v>0.16829999999999998</v>
      </c>
      <c r="P19" s="358">
        <f>N19*(INDEX('Ex post LI &amp; Eligibility Stats'!$A:$N,MATCH($A19,'Ex post LI &amp; Eligibility Stats'!$A:$A,0),MATCH('Program MW '!O$6,'Ex post LI &amp; Eligibility Stats'!$A$8:$N$8,0))/1000)</f>
        <v>0.23669999999999999</v>
      </c>
      <c r="Q19" s="160">
        <v>11</v>
      </c>
      <c r="R19" s="357">
        <f>Q19*(INDEX('Ex ante LI &amp; Eligibility Stats'!$A:$M,MATCH('Program MW '!$A19,'Ex ante LI &amp; Eligibility Stats'!$A:$A,0),MATCH('Program MW '!R$6,'Ex ante LI &amp; Eligibility Stats'!$A$8:$M$8,0))/1000)</f>
        <v>0.20861366189624328</v>
      </c>
      <c r="S19" s="358">
        <f>Q19*(INDEX('Ex post LI &amp; Eligibility Stats'!$A:$N,MATCH($A19,'Ex post LI &amp; Eligibility Stats'!$A:$A,0),MATCH('Program MW '!R$6,'Ex post LI &amp; Eligibility Stats'!$A$8:$N$8,0))/1000)</f>
        <v>0.2893</v>
      </c>
      <c r="T19" s="4">
        <v>18875</v>
      </c>
      <c r="U19" s="6"/>
      <c r="V19" s="6"/>
      <c r="W19" s="6"/>
      <c r="X19" s="6"/>
      <c r="Y19" s="6"/>
      <c r="Z19" s="6"/>
      <c r="AA19" s="6"/>
      <c r="AB19" s="6"/>
      <c r="AC19" s="6"/>
      <c r="AD19" s="6"/>
      <c r="AE19" s="6"/>
    </row>
    <row r="20" spans="1:31">
      <c r="A20" s="157" t="s">
        <v>25</v>
      </c>
      <c r="B20" s="160">
        <v>0</v>
      </c>
      <c r="C20" s="357">
        <f>B20*(INDEX('Ex ante LI &amp; Eligibility Stats'!$A:$M,MATCH($A20,'Ex ante LI &amp; Eligibility Stats'!$A:$A,0),MATCH('Program MW '!C$6,'Ex ante LI &amp; Eligibility Stats'!$A$8:$M$8,0))/1000)</f>
        <v>0</v>
      </c>
      <c r="D20" s="358">
        <f>B20*(INDEX('Ex post LI &amp; Eligibility Stats'!$A:$N,MATCH($A20,'Ex post LI &amp; Eligibility Stats'!$A:$A,0),MATCH('Program MW '!C$6,'Ex post LI &amp; Eligibility Stats'!$A$8:$N$8,0))/1000)</f>
        <v>0</v>
      </c>
      <c r="E20" s="160">
        <v>0</v>
      </c>
      <c r="F20" s="357">
        <f>E20*(INDEX('Ex ante LI &amp; Eligibility Stats'!$A:$M,MATCH($A20,'Ex ante LI &amp; Eligibility Stats'!$A:$A,0),MATCH('Program MW '!F$6,'Ex ante LI &amp; Eligibility Stats'!$A$8:$M$8,0))/1000)</f>
        <v>0</v>
      </c>
      <c r="G20" s="358">
        <f>E20*(INDEX('Ex post LI &amp; Eligibility Stats'!$A:$N,MATCH($A20,'Ex post LI &amp; Eligibility Stats'!$A:$A,0),MATCH('Program MW '!F$6,'Ex post LI &amp; Eligibility Stats'!$A$8:$N$8,0))/1000)</f>
        <v>0</v>
      </c>
      <c r="H20" s="160">
        <v>0</v>
      </c>
      <c r="I20" s="357">
        <f>H20*(INDEX('Ex ante LI &amp; Eligibility Stats'!$A:$M,MATCH('Program MW '!$A20,'Ex ante LI &amp; Eligibility Stats'!$A:$A,0),MATCH('Program MW '!I$6,'Ex ante LI &amp; Eligibility Stats'!$A$8:$M$8,0))/1000)</f>
        <v>0</v>
      </c>
      <c r="J20" s="358">
        <f>H20*(INDEX('Ex post LI &amp; Eligibility Stats'!$A:$N,MATCH($A20,'Ex post LI &amp; Eligibility Stats'!$A:$A,0),MATCH('Program MW '!I$6,'Ex post LI &amp; Eligibility Stats'!$A$8:$N$8,0))/1000)</f>
        <v>0</v>
      </c>
      <c r="K20" s="160">
        <v>0</v>
      </c>
      <c r="L20" s="357">
        <f>K20*(INDEX('Ex ante LI &amp; Eligibility Stats'!$A:$M,MATCH('Program MW '!$A20,'Ex ante LI &amp; Eligibility Stats'!$A:$A,0),MATCH('Program MW '!L$6,'Ex ante LI &amp; Eligibility Stats'!$A$8:$M$8,0))/1000)</f>
        <v>0</v>
      </c>
      <c r="M20" s="358">
        <f>K20*(INDEX('Ex post LI &amp; Eligibility Stats'!$A:$N,MATCH($A20,'Ex post LI &amp; Eligibility Stats'!$A:$A,0),MATCH('Program MW '!L$6,'Ex post LI &amp; Eligibility Stats'!$A$8:$N$8,0))/1000)</f>
        <v>0</v>
      </c>
      <c r="N20" s="160">
        <v>170</v>
      </c>
      <c r="O20" s="357">
        <f>N20*(INDEX('Ex ante LI &amp; Eligibility Stats'!$A:$M,MATCH('Program MW '!$A20,'Ex ante LI &amp; Eligibility Stats'!$A:$A,0),MATCH('Program MW '!O$6,'Ex ante LI &amp; Eligibility Stats'!$A$8:$M$8,0))/1000)</f>
        <v>2.8929656335198746</v>
      </c>
      <c r="P20" s="358">
        <f>N20*(INDEX('Ex post LI &amp; Eligibility Stats'!$A:$N,MATCH($A20,'Ex post LI &amp; Eligibility Stats'!$A:$A,0),MATCH('Program MW '!O$6,'Ex post LI &amp; Eligibility Stats'!$A$8:$N$8,0))/1000)</f>
        <v>3.3320000000000003</v>
      </c>
      <c r="Q20" s="160">
        <v>142</v>
      </c>
      <c r="R20" s="357">
        <f>Q20*(INDEX('Ex ante LI &amp; Eligibility Stats'!$A:$M,MATCH('Program MW '!$A20,'Ex ante LI &amp; Eligibility Stats'!$A:$A,0),MATCH('Program MW '!R$6,'Ex ante LI &amp; Eligibility Stats'!$A$8:$M$8,0))/1000)</f>
        <v>2.4164771762342481</v>
      </c>
      <c r="S20" s="358">
        <f>Q20*(INDEX('Ex post LI &amp; Eligibility Stats'!$A:$N,MATCH($A20,'Ex post LI &amp; Eligibility Stats'!$A:$A,0),MATCH('Program MW '!R$6,'Ex post LI &amp; Eligibility Stats'!$A$8:$N$8,0))/1000)</f>
        <v>2.7832000000000003</v>
      </c>
      <c r="T20" s="4">
        <v>18875</v>
      </c>
      <c r="U20" s="6"/>
      <c r="V20" s="6"/>
      <c r="W20" s="6"/>
      <c r="X20" s="6"/>
      <c r="Y20" s="6"/>
      <c r="Z20" s="6"/>
      <c r="AA20" s="6"/>
      <c r="AB20" s="6"/>
      <c r="AC20" s="6"/>
      <c r="AD20" s="6"/>
      <c r="AE20" s="6"/>
    </row>
    <row r="21" spans="1:31" s="153" customFormat="1">
      <c r="A21" s="285" t="s">
        <v>56</v>
      </c>
      <c r="B21" s="210">
        <v>90</v>
      </c>
      <c r="C21" s="357">
        <v>0</v>
      </c>
      <c r="D21" s="358">
        <v>0</v>
      </c>
      <c r="E21" s="210">
        <v>90</v>
      </c>
      <c r="F21" s="357" t="s">
        <v>57</v>
      </c>
      <c r="G21" s="358" t="s">
        <v>57</v>
      </c>
      <c r="H21" s="210">
        <v>92</v>
      </c>
      <c r="I21" s="357">
        <f>H21*(INDEX('Ex ante LI &amp; Eligibility Stats'!$A:$M,MATCH('Program MW '!$A21,'Ex ante LI &amp; Eligibility Stats'!$A:$A,0),MATCH('Program MW '!I$6,'Ex ante LI &amp; Eligibility Stats'!$A$8:$M$8,0))/1000)</f>
        <v>6.6880169510841365E-4</v>
      </c>
      <c r="J21" s="358">
        <f>H21*(INDEX('Ex post LI &amp; Eligibility Stats'!$A:$N,MATCH($A21,'Ex post LI &amp; Eligibility Stats'!$A:$A,0),MATCH('Program MW '!I$6,'Ex post LI &amp; Eligibility Stats'!$A$8:$N$8,0))/1000)</f>
        <v>0.15916</v>
      </c>
      <c r="K21" s="210">
        <v>92</v>
      </c>
      <c r="L21" s="357">
        <f>K21*(INDEX('Ex ante LI &amp; Eligibility Stats'!$A:$M,MATCH('Program MW '!$A21,'Ex ante LI &amp; Eligibility Stats'!$A:$A,0),MATCH('Program MW '!L$6,'Ex ante LI &amp; Eligibility Stats'!$A$8:$M$8,0))/1000)</f>
        <v>3.2941794395446779E-3</v>
      </c>
      <c r="M21" s="358">
        <f>K21*(INDEX('Ex post LI &amp; Eligibility Stats'!$A:$N,MATCH($A21,'Ex post LI &amp; Eligibility Stats'!$A:$A,0),MATCH('Program MW '!L$6,'Ex post LI &amp; Eligibility Stats'!$A$8:$N$8,0))/1000)</f>
        <v>0.15916</v>
      </c>
      <c r="N21" s="210">
        <v>92</v>
      </c>
      <c r="O21" s="357">
        <f>N21*(INDEX('Ex ante LI &amp; Eligibility Stats'!$A:$M,MATCH('Program MW '!$A21,'Ex ante LI &amp; Eligibility Stats'!$A:$A,0),MATCH('Program MW '!O$6,'Ex ante LI &amp; Eligibility Stats'!$A$8:$M$8,0))/1000)</f>
        <v>4.2480019181966779E-3</v>
      </c>
      <c r="P21" s="358">
        <f>N21*(INDEX('Ex post LI &amp; Eligibility Stats'!$A:$N,MATCH($A21,'Ex post LI &amp; Eligibility Stats'!$A:$A,0),MATCH('Program MW '!O$6,'Ex post LI &amp; Eligibility Stats'!$A$8:$N$8,0))/1000)</f>
        <v>0.15916</v>
      </c>
      <c r="Q21" s="210">
        <v>92</v>
      </c>
      <c r="R21" s="357">
        <f>Q21*(INDEX('Ex ante LI &amp; Eligibility Stats'!$A:$M,MATCH('Program MW '!$A21,'Ex ante LI &amp; Eligibility Stats'!$A:$A,0),MATCH('Program MW '!R$6,'Ex ante LI &amp; Eligibility Stats'!$A$8:$M$8,0))/1000)</f>
        <v>4.2323999702930451E-3</v>
      </c>
      <c r="S21" s="358">
        <f>Q21*(INDEX('Ex post LI &amp; Eligibility Stats'!$A:$N,MATCH($A21,'Ex post LI &amp; Eligibility Stats'!$A:$A,0),MATCH('Program MW '!R$6,'Ex post LI &amp; Eligibility Stats'!$A$8:$N$8,0))/1000)</f>
        <v>0.15916</v>
      </c>
      <c r="T21" s="460"/>
      <c r="U21" s="461"/>
      <c r="V21" s="461"/>
      <c r="W21" s="461"/>
      <c r="X21" s="461"/>
      <c r="Y21" s="461"/>
      <c r="Z21" s="461"/>
      <c r="AA21" s="461"/>
      <c r="AB21" s="461"/>
      <c r="AC21" s="461"/>
      <c r="AD21" s="461"/>
      <c r="AE21" s="461"/>
    </row>
    <row r="22" spans="1:31">
      <c r="A22" s="157" t="s">
        <v>26</v>
      </c>
      <c r="B22" s="160">
        <v>113358</v>
      </c>
      <c r="C22" s="357">
        <f>B22*(INDEX('Ex ante LI &amp; Eligibility Stats'!$A:$M,MATCH($A22,'Ex ante LI &amp; Eligibility Stats'!$A:$A,0),MATCH('Program MW '!C$6,'Ex ante LI &amp; Eligibility Stats'!$A$8:$M$8,0))/1000)</f>
        <v>1.13358</v>
      </c>
      <c r="D22" s="358">
        <f>B22*(INDEX('Ex post LI &amp; Eligibility Stats'!$A:$N,MATCH($A22,'Ex post LI &amp; Eligibility Stats'!$A:$A,0),MATCH('Program MW '!C$6,'Ex post LI &amp; Eligibility Stats'!$A$8:$N$8,0))/1000)</f>
        <v>3.4007399999999999</v>
      </c>
      <c r="E22" s="160">
        <v>113041</v>
      </c>
      <c r="F22" s="357">
        <f>E22*(INDEX('Ex ante LI &amp; Eligibility Stats'!$A:$M,MATCH($A22,'Ex ante LI &amp; Eligibility Stats'!$A:$A,0),MATCH('Program MW '!F$6,'Ex ante LI &amp; Eligibility Stats'!$A$8:$M$8,0))/1000)</f>
        <v>1.1304100000000001</v>
      </c>
      <c r="G22" s="358">
        <f>E22*(INDEX('Ex post LI &amp; Eligibility Stats'!$A:$N,MATCH($A22,'Ex post LI &amp; Eligibility Stats'!$A:$A,0),MATCH('Program MW '!F$6,'Ex post LI &amp; Eligibility Stats'!$A$8:$N$8,0))/1000)</f>
        <v>3.3912299999999997</v>
      </c>
      <c r="H22" s="160">
        <v>113021</v>
      </c>
      <c r="I22" s="357">
        <f>H22*(INDEX('Ex ante LI &amp; Eligibility Stats'!$A:$M,MATCH('Program MW '!$A22,'Ex ante LI &amp; Eligibility Stats'!$A:$A,0),MATCH('Program MW '!I$6,'Ex ante LI &amp; Eligibility Stats'!$A$8:$M$8,0))/1000)</f>
        <v>1.2958692341139539</v>
      </c>
      <c r="J22" s="358">
        <f>H22*(INDEX('Ex post LI &amp; Eligibility Stats'!$A:$N,MATCH($A22,'Ex post LI &amp; Eligibility Stats'!$A:$A,0),MATCH('Program MW '!I$6,'Ex post LI &amp; Eligibility Stats'!$A$8:$N$8,0))/1000)</f>
        <v>3.3906299999999998</v>
      </c>
      <c r="K22" s="160">
        <v>112866</v>
      </c>
      <c r="L22" s="357">
        <f>K22*(INDEX('Ex ante LI &amp; Eligibility Stats'!$A:$M,MATCH('Program MW '!$A22,'Ex ante LI &amp; Eligibility Stats'!$A:$A,0),MATCH('Program MW '!L$6,'Ex ante LI &amp; Eligibility Stats'!$A$8:$M$8,0))/1000)</f>
        <v>1.5787632344663143</v>
      </c>
      <c r="M22" s="358">
        <f>K22*(INDEX('Ex post LI &amp; Eligibility Stats'!$A:$N,MATCH($A22,'Ex post LI &amp; Eligibility Stats'!$A:$A,0),MATCH('Program MW '!L$6,'Ex post LI &amp; Eligibility Stats'!$A$8:$N$8,0))/1000)</f>
        <v>3.3859799999999995</v>
      </c>
      <c r="N22" s="160">
        <v>112745</v>
      </c>
      <c r="O22" s="357">
        <f>N22*(INDEX('Ex ante LI &amp; Eligibility Stats'!$A:$M,MATCH('Program MW '!$A22,'Ex ante LI &amp; Eligibility Stats'!$A:$A,0),MATCH('Program MW '!O$6,'Ex ante LI &amp; Eligibility Stats'!$A$8:$M$8,0))/1000)</f>
        <v>1.6670737564750016</v>
      </c>
      <c r="P22" s="358">
        <f>N22*(INDEX('Ex post LI &amp; Eligibility Stats'!$A:$N,MATCH($A22,'Ex post LI &amp; Eligibility Stats'!$A:$A,0),MATCH('Program MW '!O$6,'Ex post LI &amp; Eligibility Stats'!$A$8:$N$8,0))/1000)</f>
        <v>3.3823499999999997</v>
      </c>
      <c r="Q22" s="160">
        <v>112680</v>
      </c>
      <c r="R22" s="357">
        <f>Q22*(INDEX('Ex ante LI &amp; Eligibility Stats'!$A:$M,MATCH('Program MW '!$A22,'Ex ante LI &amp; Eligibility Stats'!$A:$A,0),MATCH('Program MW '!R$6,'Ex ante LI &amp; Eligibility Stats'!$A$8:$M$8,0))/1000)</f>
        <v>1.7073372121900321</v>
      </c>
      <c r="S22" s="358">
        <f>Q22*(INDEX('Ex post LI &amp; Eligibility Stats'!$A:$N,MATCH($A22,'Ex post LI &amp; Eligibility Stats'!$A:$A,0),MATCH('Program MW '!R$6,'Ex post LI &amp; Eligibility Stats'!$A$8:$N$8,0))/1000)</f>
        <v>3.3803999999999998</v>
      </c>
      <c r="T22" s="4"/>
      <c r="U22" s="6"/>
      <c r="V22" s="6"/>
      <c r="W22" s="6"/>
      <c r="X22" s="6"/>
      <c r="Y22" s="6"/>
      <c r="Z22" s="6"/>
      <c r="AA22" s="6"/>
      <c r="AB22" s="6"/>
      <c r="AC22" s="6"/>
      <c r="AD22" s="6"/>
      <c r="AE22" s="6"/>
    </row>
    <row r="23" spans="1:31">
      <c r="A23" s="235" t="s">
        <v>27</v>
      </c>
      <c r="B23" s="284">
        <v>14845</v>
      </c>
      <c r="C23" s="359">
        <f>B23*(INDEX('Ex ante LI &amp; Eligibility Stats'!$A:$M,MATCH($A23,'Ex ante LI &amp; Eligibility Stats'!$A:$A,0),MATCH('Program MW '!C$6,'Ex ante LI &amp; Eligibility Stats'!$A$8:$M$8,0))/1000)</f>
        <v>0.59379999999999999</v>
      </c>
      <c r="D23" s="360">
        <f>B23*(INDEX('Ex post LI &amp; Eligibility Stats'!$A:$N,MATCH($A23,'Ex post LI &amp; Eligibility Stats'!$A:$A,0),MATCH('Program MW '!C$6,'Ex post LI &amp; Eligibility Stats'!$A$8:$N$8,0))/1000)</f>
        <v>3.2659000000000002</v>
      </c>
      <c r="E23" s="284">
        <v>15413</v>
      </c>
      <c r="F23" s="357">
        <f>E23*(INDEX('Ex ante LI &amp; Eligibility Stats'!$A:$M,MATCH($A23,'Ex ante LI &amp; Eligibility Stats'!$A:$A,0),MATCH('Program MW '!F$6,'Ex ante LI &amp; Eligibility Stats'!$A$8:$M$8,0))/1000)</f>
        <v>0.61652000000000007</v>
      </c>
      <c r="G23" s="358">
        <f>E23*(INDEX('Ex post LI &amp; Eligibility Stats'!$A:$N,MATCH($A23,'Ex post LI &amp; Eligibility Stats'!$A:$A,0),MATCH('Program MW '!F$6,'Ex post LI &amp; Eligibility Stats'!$A$8:$N$8,0))/1000)</f>
        <v>3.39086</v>
      </c>
      <c r="H23" s="284">
        <v>15637</v>
      </c>
      <c r="I23" s="357">
        <f>H23*(INDEX('Ex ante LI &amp; Eligibility Stats'!$A:$M,MATCH('Program MW '!$A23,'Ex ante LI &amp; Eligibility Stats'!$A:$A,0),MATCH('Program MW '!I$6,'Ex ante LI &amp; Eligibility Stats'!$A$8:$M$8,0))/1000)</f>
        <v>0.19967582361400127</v>
      </c>
      <c r="J23" s="358">
        <f>H23*(INDEX('Ex post LI &amp; Eligibility Stats'!$A:$N,MATCH($A23,'Ex post LI &amp; Eligibility Stats'!$A:$A,0),MATCH('Program MW '!I$6,'Ex post LI &amp; Eligibility Stats'!$A$8:$N$8,0))/1000)</f>
        <v>3.44014</v>
      </c>
      <c r="K23" s="284">
        <v>16037</v>
      </c>
      <c r="L23" s="357">
        <f>K23*(INDEX('Ex ante LI &amp; Eligibility Stats'!$A:$M,MATCH('Program MW '!$A23,'Ex ante LI &amp; Eligibility Stats'!$A:$A,0),MATCH('Program MW '!L$6,'Ex ante LI &amp; Eligibility Stats'!$A$8:$M$8,0))/1000)</f>
        <v>0.19338366127759218</v>
      </c>
      <c r="M23" s="358">
        <f>K23*(INDEX('Ex post LI &amp; Eligibility Stats'!$A:$N,MATCH($A23,'Ex post LI &amp; Eligibility Stats'!$A:$A,0),MATCH('Program MW '!L$6,'Ex post LI &amp; Eligibility Stats'!$A$8:$N$8,0))/1000)</f>
        <v>3.5281400000000001</v>
      </c>
      <c r="N23" s="284">
        <v>16135</v>
      </c>
      <c r="O23" s="357">
        <f>N23*(INDEX('Ex ante LI &amp; Eligibility Stats'!$A:$M,MATCH('Program MW '!$A23,'Ex ante LI &amp; Eligibility Stats'!$A:$A,0),MATCH('Program MW '!O$6,'Ex ante LI &amp; Eligibility Stats'!$A$8:$M$8,0))/1000)</f>
        <v>0.31780898060649632</v>
      </c>
      <c r="P23" s="358">
        <f>N23*(INDEX('Ex post LI &amp; Eligibility Stats'!$A:$N,MATCH($A23,'Ex post LI &amp; Eligibility Stats'!$A:$A,0),MATCH('Program MW '!O$6,'Ex post LI &amp; Eligibility Stats'!$A$8:$N$8,0))/1000)</f>
        <v>3.5497000000000001</v>
      </c>
      <c r="Q23" s="284">
        <v>16151</v>
      </c>
      <c r="R23" s="357">
        <f>Q23*(INDEX('Ex ante LI &amp; Eligibility Stats'!$A:$M,MATCH('Program MW '!$A23,'Ex ante LI &amp; Eligibility Stats'!$A:$A,0),MATCH('Program MW '!R$6,'Ex ante LI &amp; Eligibility Stats'!$A$8:$M$8,0))/1000)</f>
        <v>2.6979194424897432</v>
      </c>
      <c r="S23" s="358">
        <f>Q23*(INDEX('Ex post LI &amp; Eligibility Stats'!$A:$N,MATCH($A23,'Ex post LI &amp; Eligibility Stats'!$A:$A,0),MATCH('Program MW '!R$6,'Ex post LI &amp; Eligibility Stats'!$A$8:$N$8,0))/1000)</f>
        <v>3.55322</v>
      </c>
      <c r="T23" s="4"/>
      <c r="U23" s="6"/>
      <c r="V23" s="6"/>
      <c r="W23" s="6"/>
      <c r="X23" s="6"/>
      <c r="Y23" s="6"/>
      <c r="Z23" s="6"/>
      <c r="AA23" s="6"/>
      <c r="AB23" s="6"/>
      <c r="AC23" s="6"/>
      <c r="AD23" s="6"/>
      <c r="AE23" s="6"/>
    </row>
    <row r="24" spans="1:31" ht="13.5" thickBot="1">
      <c r="A24" s="188" t="s">
        <v>58</v>
      </c>
      <c r="B24" s="158">
        <f t="shared" ref="B24:S24" si="3">SUM(B12:B23)</f>
        <v>175364</v>
      </c>
      <c r="C24" s="176">
        <f t="shared" si="3"/>
        <v>1.7273800000000001</v>
      </c>
      <c r="D24" s="175">
        <f t="shared" si="3"/>
        <v>23.523489999999995</v>
      </c>
      <c r="E24" s="1">
        <f t="shared" si="3"/>
        <v>175537</v>
      </c>
      <c r="F24" s="237">
        <f t="shared" si="3"/>
        <v>1.7469300000000003</v>
      </c>
      <c r="G24" s="238">
        <f t="shared" si="3"/>
        <v>23.610339999999997</v>
      </c>
      <c r="H24" s="1">
        <f t="shared" si="3"/>
        <v>175887</v>
      </c>
      <c r="I24" s="237">
        <f t="shared" si="3"/>
        <v>3.5272883615945085</v>
      </c>
      <c r="J24" s="238">
        <f t="shared" si="3"/>
        <v>23.547049999999999</v>
      </c>
      <c r="K24" s="1">
        <f t="shared" si="3"/>
        <v>170594</v>
      </c>
      <c r="L24" s="237">
        <f t="shared" ref="L24:M24" si="4">SUM(L12:L23)</f>
        <v>5.4002971727840645</v>
      </c>
      <c r="M24" s="238">
        <f t="shared" si="4"/>
        <v>22.373850000000001</v>
      </c>
      <c r="N24" s="1">
        <f t="shared" si="3"/>
        <v>171169</v>
      </c>
      <c r="O24" s="239">
        <f t="shared" si="3"/>
        <v>9.9127026028676823</v>
      </c>
      <c r="P24" s="242">
        <f t="shared" si="3"/>
        <v>26.001850000000001</v>
      </c>
      <c r="Q24" s="1">
        <f t="shared" si="3"/>
        <v>170253</v>
      </c>
      <c r="R24" s="253">
        <f t="shared" si="3"/>
        <v>11.232285351639758</v>
      </c>
      <c r="S24" s="254">
        <f t="shared" si="3"/>
        <v>25.284229999999997</v>
      </c>
      <c r="T24" s="5"/>
      <c r="U24" s="6"/>
      <c r="V24" s="6"/>
      <c r="W24" s="6"/>
      <c r="X24" s="6"/>
      <c r="Y24" s="6"/>
      <c r="Z24" s="6"/>
      <c r="AA24" s="6"/>
      <c r="AB24" s="6"/>
      <c r="AC24" s="6"/>
      <c r="AD24" s="6"/>
      <c r="AE24" s="6"/>
    </row>
    <row r="25" spans="1:31" ht="14.25" thickTop="1" thickBot="1">
      <c r="A25" s="195" t="s">
        <v>59</v>
      </c>
      <c r="B25" s="2">
        <f t="shared" ref="B25:S25" si="5">+B10+B24</f>
        <v>175368</v>
      </c>
      <c r="C25" s="176">
        <f t="shared" si="5"/>
        <v>2.37662</v>
      </c>
      <c r="D25" s="282">
        <f t="shared" si="5"/>
        <v>25.039209999999997</v>
      </c>
      <c r="E25" s="2">
        <f t="shared" si="5"/>
        <v>175541</v>
      </c>
      <c r="F25" s="176">
        <f t="shared" si="5"/>
        <v>2.1807700000000003</v>
      </c>
      <c r="G25" s="176">
        <f t="shared" si="5"/>
        <v>25.126059999999995</v>
      </c>
      <c r="H25" s="2">
        <f t="shared" si="5"/>
        <v>175891</v>
      </c>
      <c r="I25" s="176">
        <f t="shared" si="5"/>
        <v>4.2512196970437275</v>
      </c>
      <c r="J25" s="175">
        <f t="shared" si="5"/>
        <v>25.840914013671874</v>
      </c>
      <c r="K25" s="2">
        <f t="shared" si="5"/>
        <v>170598</v>
      </c>
      <c r="L25" s="176">
        <f t="shared" ref="L25:M25" si="6">+L10+L24</f>
        <v>6.0482805101864079</v>
      </c>
      <c r="M25" s="175">
        <f t="shared" si="6"/>
        <v>24.667714013671876</v>
      </c>
      <c r="N25" s="2">
        <f t="shared" si="5"/>
        <v>171173</v>
      </c>
      <c r="O25" s="240">
        <f t="shared" si="5"/>
        <v>10.535666042809089</v>
      </c>
      <c r="P25" s="175">
        <f t="shared" si="5"/>
        <v>28.295714013671876</v>
      </c>
      <c r="Q25" s="2">
        <f t="shared" si="5"/>
        <v>170257</v>
      </c>
      <c r="R25" s="256">
        <f t="shared" si="5"/>
        <v>12.001734387284289</v>
      </c>
      <c r="S25" s="255">
        <f t="shared" si="5"/>
        <v>27.578094013671873</v>
      </c>
      <c r="T25" s="8"/>
      <c r="U25" s="6"/>
      <c r="V25" s="6"/>
      <c r="W25" s="6"/>
      <c r="X25" s="6"/>
      <c r="Y25" s="6"/>
      <c r="Z25" s="6"/>
      <c r="AA25" s="6"/>
      <c r="AB25" s="6"/>
      <c r="AC25" s="6"/>
      <c r="AD25" s="6"/>
      <c r="AE25" s="6"/>
    </row>
    <row r="26" spans="1:31" ht="13.5" thickTop="1">
      <c r="A26" s="147"/>
      <c r="B26" s="92"/>
      <c r="C26" s="90"/>
      <c r="D26" s="91"/>
      <c r="E26" s="92"/>
      <c r="F26" s="90"/>
      <c r="G26" s="93"/>
      <c r="H26" s="92"/>
      <c r="I26" s="90"/>
      <c r="J26" s="93"/>
      <c r="K26" s="92"/>
      <c r="L26" s="90"/>
      <c r="M26" s="93"/>
      <c r="N26" s="92"/>
      <c r="O26" s="90"/>
      <c r="P26" s="93"/>
      <c r="Q26" s="92"/>
      <c r="R26" s="90"/>
      <c r="S26" s="93"/>
      <c r="T26" s="9"/>
      <c r="U26" s="6"/>
      <c r="V26" s="6"/>
      <c r="W26" s="6"/>
      <c r="X26" s="6"/>
      <c r="Y26" s="6"/>
      <c r="Z26" s="6"/>
      <c r="AA26" s="6"/>
      <c r="AB26" s="6"/>
      <c r="AC26" s="6"/>
      <c r="AD26" s="6"/>
      <c r="AE26" s="6"/>
    </row>
    <row r="27" spans="1:31">
      <c r="B27" s="41"/>
      <c r="C27" s="41"/>
      <c r="D27" s="41"/>
      <c r="E27" s="41"/>
      <c r="F27" s="41"/>
      <c r="G27" s="41"/>
      <c r="H27" s="41"/>
      <c r="I27" s="41"/>
      <c r="J27" s="41"/>
      <c r="K27" s="41"/>
      <c r="L27" s="41"/>
      <c r="M27" s="41"/>
      <c r="N27" s="41"/>
      <c r="O27" s="41"/>
      <c r="P27" s="41"/>
      <c r="Q27" s="41"/>
      <c r="R27" s="41"/>
      <c r="S27" s="41"/>
    </row>
    <row r="28" spans="1:31" hidden="1">
      <c r="B28" s="41"/>
      <c r="C28" s="41">
        <f>C4+6</f>
        <v>8</v>
      </c>
      <c r="D28" s="41">
        <f>D4+6</f>
        <v>8</v>
      </c>
      <c r="E28" s="41"/>
      <c r="F28" s="41">
        <f>F4+6</f>
        <v>9</v>
      </c>
      <c r="G28" s="41">
        <f>G4+6</f>
        <v>9</v>
      </c>
      <c r="H28" s="41"/>
      <c r="I28" s="41">
        <f>I4+6</f>
        <v>10</v>
      </c>
      <c r="J28" s="41">
        <f>J4+6</f>
        <v>10</v>
      </c>
      <c r="K28" s="41"/>
      <c r="L28" s="41">
        <f>L4+6</f>
        <v>11</v>
      </c>
      <c r="M28" s="41">
        <f>M4+6</f>
        <v>11</v>
      </c>
      <c r="N28" s="41"/>
      <c r="O28" s="41">
        <f>O4+6</f>
        <v>12</v>
      </c>
      <c r="P28" s="41">
        <f>P4+6</f>
        <v>12</v>
      </c>
      <c r="Q28" s="41"/>
      <c r="R28" s="41">
        <f>R4+6</f>
        <v>13</v>
      </c>
      <c r="S28" s="41">
        <f>S4+6</f>
        <v>13</v>
      </c>
    </row>
    <row r="29" spans="1:31">
      <c r="A29" s="88"/>
      <c r="B29" s="423"/>
      <c r="C29" s="423" t="s">
        <v>60</v>
      </c>
      <c r="D29" s="270"/>
      <c r="E29" s="423"/>
      <c r="F29" s="423" t="s">
        <v>75</v>
      </c>
      <c r="G29" s="423"/>
      <c r="H29" s="423"/>
      <c r="I29" s="423" t="s">
        <v>76</v>
      </c>
      <c r="J29" s="423"/>
      <c r="K29" s="423"/>
      <c r="L29" s="423" t="s">
        <v>62</v>
      </c>
      <c r="M29" s="423"/>
      <c r="N29" s="423"/>
      <c r="O29" s="423" t="s">
        <v>77</v>
      </c>
      <c r="P29" s="423"/>
      <c r="Q29" s="423"/>
      <c r="R29" s="423" t="s">
        <v>63</v>
      </c>
      <c r="S29" s="423"/>
      <c r="T29" s="147"/>
      <c r="U29" s="147"/>
    </row>
    <row r="30" spans="1:31" ht="42">
      <c r="A30" s="163" t="s">
        <v>46</v>
      </c>
      <c r="B30" s="185" t="s">
        <v>6</v>
      </c>
      <c r="C30" s="180" t="s">
        <v>48</v>
      </c>
      <c r="D30" s="170" t="s">
        <v>49</v>
      </c>
      <c r="E30" s="185" t="s">
        <v>6</v>
      </c>
      <c r="F30" s="180" t="s">
        <v>48</v>
      </c>
      <c r="G30" s="170" t="s">
        <v>49</v>
      </c>
      <c r="H30" s="185" t="s">
        <v>6</v>
      </c>
      <c r="I30" s="180" t="s">
        <v>48</v>
      </c>
      <c r="J30" s="170" t="s">
        <v>49</v>
      </c>
      <c r="K30" s="185" t="s">
        <v>47</v>
      </c>
      <c r="L30" s="180" t="s">
        <v>48</v>
      </c>
      <c r="M30" s="170" t="s">
        <v>49</v>
      </c>
      <c r="N30" s="185" t="s">
        <v>6</v>
      </c>
      <c r="O30" s="180" t="s">
        <v>48</v>
      </c>
      <c r="P30" s="170" t="s">
        <v>49</v>
      </c>
      <c r="Q30" s="185" t="s">
        <v>6</v>
      </c>
      <c r="R30" s="180" t="s">
        <v>64</v>
      </c>
      <c r="S30" s="170" t="s">
        <v>65</v>
      </c>
      <c r="T30" s="170" t="s">
        <v>50</v>
      </c>
      <c r="V30" s="11"/>
    </row>
    <row r="31" spans="1:31">
      <c r="A31" s="163" t="s">
        <v>51</v>
      </c>
      <c r="B31" s="185"/>
      <c r="C31" s="183"/>
      <c r="D31" s="186"/>
      <c r="E31" s="185"/>
      <c r="F31" s="183"/>
      <c r="G31" s="186"/>
      <c r="H31" s="185"/>
      <c r="I31" s="183"/>
      <c r="J31" s="183"/>
      <c r="K31" s="185"/>
      <c r="L31" s="183"/>
      <c r="M31" s="186"/>
      <c r="N31" s="185"/>
      <c r="O31" s="183"/>
      <c r="P31" s="186"/>
      <c r="Q31" s="185"/>
      <c r="R31" s="183"/>
      <c r="S31" s="186"/>
      <c r="T31" s="187"/>
    </row>
    <row r="32" spans="1:31">
      <c r="A32" s="85" t="s">
        <v>8</v>
      </c>
      <c r="B32" s="127">
        <v>4</v>
      </c>
      <c r="C32" s="357">
        <f>B32*(INDEX('Ex ante LI &amp; Eligibility Stats'!$A:$M,MATCH('Program MW '!$A32,'Ex ante LI &amp; Eligibility Stats'!$A:$A,0),MATCH('Program MW '!C$29,'Ex ante LI &amp; Eligibility Stats'!$A$8:$M$8,0))/1000)</f>
        <v>0.71939520263671874</v>
      </c>
      <c r="D32" s="357">
        <f>B32*(INDEX('Ex post LI &amp; Eligibility Stats'!$A:$N,MATCH($A32,'Ex post LI &amp; Eligibility Stats'!$A:$A,0),MATCH('Program MW '!C$29,'Ex post LI &amp; Eligibility Stats'!$A$8:$N$8,0))/1000)</f>
        <v>2.2938640136718749</v>
      </c>
      <c r="E32" s="124">
        <v>4</v>
      </c>
      <c r="F32" s="357">
        <f>E32*(INDEX('Ex ante LI &amp; Eligibility Stats'!$A:$M,MATCH('Program MW '!$A32,'Ex ante LI &amp; Eligibility Stats'!$A:$A,0),MATCH('Program MW '!F$29,'Ex ante LI &amp; Eligibility Stats'!$A$8:$M$8,0))/1000)</f>
        <v>0.71393469238281249</v>
      </c>
      <c r="G32" s="357">
        <f>E32*(INDEX('Ex post LI &amp; Eligibility Stats'!$A:$N,MATCH($A32,'Ex post LI &amp; Eligibility Stats'!$A:$A,0),MATCH('Program MW '!F$29,'Ex post LI &amp; Eligibility Stats'!$A$8:$N$8,0))/1000)</f>
        <v>2.2938640136718749</v>
      </c>
      <c r="H32" s="124">
        <v>4</v>
      </c>
      <c r="I32" s="357">
        <f>H32*(INDEX('Ex ante LI &amp; Eligibility Stats'!$A:$M,MATCH('Program MW '!$A32,'Ex ante LI &amp; Eligibility Stats'!$A:$A,0),MATCH('Program MW '!I$29,'Ex ante LI &amp; Eligibility Stats'!$A$8:$M$8,0))/1000)</f>
        <v>0.80517370605468752</v>
      </c>
      <c r="J32" s="357">
        <f>H32*(INDEX('Ex post LI &amp; Eligibility Stats'!$A:$N,MATCH($A32,'Ex post LI &amp; Eligibility Stats'!$A:$A,0),MATCH('Program MW '!I$29,'Ex post LI &amp; Eligibility Stats'!$A$8:$N$8,0))/1000)</f>
        <v>2.2938640136718749</v>
      </c>
      <c r="K32" s="126">
        <v>4</v>
      </c>
      <c r="L32" s="357">
        <f>K32*(INDEX('Ex ante LI &amp; Eligibility Stats'!$A:$M,MATCH('Program MW '!$A32,'Ex ante LI &amp; Eligibility Stats'!$A:$A,0),MATCH('Program MW '!L$29,'Ex ante LI &amp; Eligibility Stats'!$A$8:$M$8,0))/1000)</f>
        <v>0.66361724853515625</v>
      </c>
      <c r="M32" s="357">
        <f>K32*(INDEX('Ex post LI &amp; Eligibility Stats'!$A:$N,MATCH($A32,'Ex post LI &amp; Eligibility Stats'!$A:$A,0),MATCH('Program MW '!L$29,'Ex post LI &amp; Eligibility Stats'!$A$8:$N$8,0))/1000)</f>
        <v>2.2938640136718749</v>
      </c>
      <c r="N32" s="124">
        <v>4</v>
      </c>
      <c r="O32" s="357">
        <f>N32*(INDEX('Ex ante LI &amp; Eligibility Stats'!$A:$M,MATCH('Program MW '!$A32,'Ex ante LI &amp; Eligibility Stats'!$A:$A,0),MATCH('Program MW '!O$29,'Ex ante LI &amp; Eligibility Stats'!$A$8:$M$8,0))/1000)</f>
        <v>0.76919171142578124</v>
      </c>
      <c r="P32" s="357">
        <f>N32*(INDEX('Ex post LI &amp; Eligibility Stats'!$A:$N,MATCH($A32,'Ex post LI &amp; Eligibility Stats'!$A:$A,0),MATCH('Program MW '!O$29,'Ex post LI &amp; Eligibility Stats'!$A$8:$N$8,0))/1000)</f>
        <v>2.2938640136718749</v>
      </c>
      <c r="Q32" s="124">
        <v>0</v>
      </c>
      <c r="R32" s="357">
        <f>Q32*(INDEX('Ex ante LI &amp; Eligibility Stats'!$A:$M,MATCH('Program MW '!$A32,'Ex ante LI &amp; Eligibility Stats'!$A:$A,0),MATCH('Program MW '!R$29,'Ex ante LI &amp; Eligibility Stats'!$A$8:$M$8,0))/1000)</f>
        <v>0</v>
      </c>
      <c r="S32" s="357">
        <f>Q32*(INDEX('Ex post LI &amp; Eligibility Stats'!$A:$N,MATCH($A32,'Ex post LI &amp; Eligibility Stats'!$A:$A,0),MATCH('Program MW '!R$29,'Ex post LI &amp; Eligibility Stats'!$A$8:$N$8,0))/1000)</f>
        <v>0</v>
      </c>
      <c r="T32" s="4">
        <v>5276</v>
      </c>
    </row>
    <row r="33" spans="1:26" ht="13.5" thickBot="1">
      <c r="A33" s="188" t="s">
        <v>52</v>
      </c>
      <c r="B33" s="156">
        <f t="shared" ref="B33:K33" si="7">SUM(B32:B32)</f>
        <v>4</v>
      </c>
      <c r="C33" s="272">
        <f t="shared" si="7"/>
        <v>0.71939520263671874</v>
      </c>
      <c r="D33" s="273">
        <f t="shared" si="7"/>
        <v>2.2938640136718749</v>
      </c>
      <c r="E33" s="125">
        <f t="shared" si="7"/>
        <v>4</v>
      </c>
      <c r="F33" s="272">
        <f t="shared" ref="F33:G33" si="8">SUM(F32:F32)</f>
        <v>0.71393469238281249</v>
      </c>
      <c r="G33" s="273">
        <f t="shared" si="8"/>
        <v>2.2938640136718749</v>
      </c>
      <c r="H33" s="125">
        <f t="shared" si="7"/>
        <v>4</v>
      </c>
      <c r="I33" s="272">
        <f t="shared" si="7"/>
        <v>0.80517370605468752</v>
      </c>
      <c r="J33" s="273">
        <f t="shared" si="7"/>
        <v>2.2938640136718749</v>
      </c>
      <c r="K33" s="125">
        <f t="shared" si="7"/>
        <v>4</v>
      </c>
      <c r="L33" s="272">
        <f t="shared" ref="L33:M33" si="9">SUM(L32:L32)</f>
        <v>0.66361724853515625</v>
      </c>
      <c r="M33" s="273">
        <f t="shared" si="9"/>
        <v>2.2938640136718749</v>
      </c>
      <c r="N33" s="125">
        <f t="shared" ref="N33:Q33" si="10">SUM(N32:N32)</f>
        <v>4</v>
      </c>
      <c r="O33" s="272">
        <f t="shared" ref="O33:P33" si="11">SUM(O32:O32)</f>
        <v>0.76919171142578124</v>
      </c>
      <c r="P33" s="273">
        <f t="shared" si="11"/>
        <v>2.2938640136718749</v>
      </c>
      <c r="Q33" s="125">
        <f t="shared" si="10"/>
        <v>0</v>
      </c>
      <c r="R33" s="272">
        <f t="shared" ref="R33:S33" si="12">SUM(R32:R32)</f>
        <v>0</v>
      </c>
      <c r="S33" s="273">
        <f t="shared" si="12"/>
        <v>0</v>
      </c>
      <c r="T33" s="5"/>
    </row>
    <row r="34" spans="1:26" ht="13.5" thickTop="1">
      <c r="A34" s="163" t="s">
        <v>53</v>
      </c>
      <c r="B34" s="193"/>
      <c r="C34" s="192"/>
      <c r="D34" s="191"/>
      <c r="E34" s="193"/>
      <c r="F34" s="192"/>
      <c r="G34" s="191"/>
      <c r="H34" s="193"/>
      <c r="I34" s="192"/>
      <c r="J34" s="191"/>
      <c r="K34" s="193"/>
      <c r="L34" s="192"/>
      <c r="M34" s="191"/>
      <c r="N34" s="193"/>
      <c r="O34" s="192"/>
      <c r="P34" s="191"/>
      <c r="Q34" s="193"/>
      <c r="R34" s="192"/>
      <c r="S34" s="191"/>
      <c r="T34" s="187"/>
    </row>
    <row r="35" spans="1:26">
      <c r="A35" s="42" t="s">
        <v>11</v>
      </c>
      <c r="B35" s="159">
        <v>14095</v>
      </c>
      <c r="C35" s="357">
        <f>B35*(INDEX('Ex ante LI &amp; Eligibility Stats'!$A:$M,MATCH('Program MW '!$A35,'Ex ante LI &amp; Eligibility Stats'!$A:$A,0),MATCH('Program MW '!C$29,'Ex ante LI &amp; Eligibility Stats'!$A$8:$M$8,0))/1000)</f>
        <v>3.8359866684999999</v>
      </c>
      <c r="D35" s="356">
        <f>B35*(INDEX('Ex post LI &amp; Eligibility Stats'!$A:$N,MATCH($A35,'Ex post LI &amp; Eligibility Stats'!$A:$A,0),MATCH('Program MW '!C$29,'Ex post LI &amp; Eligibility Stats'!$A$8:$N$8,0))/1000)</f>
        <v>10.289349999999999</v>
      </c>
      <c r="E35" s="159">
        <v>14837</v>
      </c>
      <c r="F35" s="357">
        <f>E35*(INDEX('Ex ante LI &amp; Eligibility Stats'!$A:$M,MATCH('Program MW '!$A35,'Ex ante LI &amp; Eligibility Stats'!$A:$A,0),MATCH('Program MW '!F$29,'Ex ante LI &amp; Eligibility Stats'!$A$8:$M$8,0))/1000)</f>
        <v>2.2824810526999997</v>
      </c>
      <c r="G35" s="356">
        <f>E35*(INDEX('Ex post LI &amp; Eligibility Stats'!$A:$N,MATCH($A35,'Ex post LI &amp; Eligibility Stats'!$A:$A,0),MATCH('Program MW '!F$29,'Ex post LI &amp; Eligibility Stats'!$A$8:$N$8,0))/1000)</f>
        <v>10.831009999999999</v>
      </c>
      <c r="H35" s="159">
        <v>14592</v>
      </c>
      <c r="I35" s="357">
        <f>H35*(INDEX('Ex ante LI &amp; Eligibility Stats'!$A:$M,MATCH('Program MW '!$A35,'Ex ante LI &amp; Eligibility Stats'!$A:$A,0),MATCH('Program MW '!I$29,'Ex ante LI &amp; Eligibility Stats'!$A$8:$M$8,0))/1000)</f>
        <v>5.2552533504000003</v>
      </c>
      <c r="J35" s="356">
        <f>H35*(INDEX('Ex post LI &amp; Eligibility Stats'!$A:$N,MATCH($A35,'Ex post LI &amp; Eligibility Stats'!$A:$A,0),MATCH('Program MW '!I$29,'Ex post LI &amp; Eligibility Stats'!$A$8:$N$8,0))/1000)</f>
        <v>10.65216</v>
      </c>
      <c r="K35" s="159">
        <v>14837</v>
      </c>
      <c r="L35" s="357">
        <f>K35*(INDEX('Ex ante LI &amp; Eligibility Stats'!$A:$M,MATCH('Program MW '!$A35,'Ex ante LI &amp; Eligibility Stats'!$A:$A,0),MATCH('Program MW '!L$29,'Ex ante LI &amp; Eligibility Stats'!$A$8:$M$8,0))/1000)</f>
        <v>0.86471074589999997</v>
      </c>
      <c r="M35" s="356">
        <f>K35*(INDEX('Ex post LI &amp; Eligibility Stats'!$A:$N,MATCH($A35,'Ex post LI &amp; Eligibility Stats'!$A:$A,0),MATCH('Program MW '!L$29,'Ex post LI &amp; Eligibility Stats'!$A$8:$N$8,0))/1000)</f>
        <v>10.831009999999999</v>
      </c>
      <c r="N35" s="159">
        <v>14459</v>
      </c>
      <c r="O35" s="357">
        <f>N35*(INDEX('Ex ante LI &amp; Eligibility Stats'!$A:$M,MATCH('Program MW '!$A35,'Ex ante LI &amp; Eligibility Stats'!$A:$A,0),MATCH('Program MW '!O$29,'Ex ante LI &amp; Eligibility Stats'!$A$8:$M$8,0))/1000)</f>
        <v>2.0133680353000001</v>
      </c>
      <c r="P35" s="356">
        <f>N35*(INDEX('Ex post LI &amp; Eligibility Stats'!$A:$N,MATCH($A35,'Ex post LI &amp; Eligibility Stats'!$A:$A,0),MATCH('Program MW '!O$29,'Ex post LI &amp; Eligibility Stats'!$A$8:$N$8,0))/1000)</f>
        <v>10.555069999999999</v>
      </c>
      <c r="Q35" s="159">
        <v>0</v>
      </c>
      <c r="R35" s="357">
        <f>Q35*(INDEX('Ex ante LI &amp; Eligibility Stats'!$A:$M,MATCH('Program MW '!$A35,'Ex ante LI &amp; Eligibility Stats'!$A:$A,0),MATCH('Program MW '!R$29,'Ex ante LI &amp; Eligibility Stats'!$A$8:$M$8,0))/1000)</f>
        <v>0</v>
      </c>
      <c r="S35" s="356">
        <f>Q35*(INDEX('Ex post LI &amp; Eligibility Stats'!$A:$N,MATCH($A35,'Ex post LI &amp; Eligibility Stats'!$A:$A,0),MATCH('Program MW '!R$29,'Ex post LI &amp; Eligibility Stats'!$A$8:$N$8,0))/1000)</f>
        <v>0</v>
      </c>
      <c r="T35" s="7">
        <v>138123</v>
      </c>
    </row>
    <row r="36" spans="1:26" ht="13.5">
      <c r="A36" s="209" t="s">
        <v>54</v>
      </c>
      <c r="B36" s="210">
        <v>0</v>
      </c>
      <c r="C36" s="357">
        <v>0</v>
      </c>
      <c r="D36" s="358">
        <v>0</v>
      </c>
      <c r="E36" s="210">
        <v>0</v>
      </c>
      <c r="F36" s="357">
        <v>0</v>
      </c>
      <c r="G36" s="358">
        <v>0</v>
      </c>
      <c r="H36" s="210">
        <v>0</v>
      </c>
      <c r="I36" s="357">
        <v>0</v>
      </c>
      <c r="J36" s="358">
        <v>0</v>
      </c>
      <c r="K36" s="210">
        <v>0</v>
      </c>
      <c r="L36" s="357">
        <v>0</v>
      </c>
      <c r="M36" s="358">
        <v>0</v>
      </c>
      <c r="N36" s="210">
        <v>0</v>
      </c>
      <c r="O36" s="357">
        <v>0</v>
      </c>
      <c r="P36" s="358">
        <v>0</v>
      </c>
      <c r="Q36" s="210">
        <v>0</v>
      </c>
      <c r="R36" s="357">
        <v>0</v>
      </c>
      <c r="S36" s="358">
        <v>0</v>
      </c>
      <c r="T36" s="4"/>
    </row>
    <row r="37" spans="1:26" ht="14.25">
      <c r="A37" s="164" t="s">
        <v>55</v>
      </c>
      <c r="B37" s="160">
        <v>2</v>
      </c>
      <c r="C37" s="357">
        <f>B37*(INDEX('Ex ante LI &amp; Eligibility Stats'!$A:$M,MATCH('Program MW '!$A37,'Ex ante LI &amp; Eligibility Stats'!$A:$A,0),MATCH('Program MW '!C$29,'Ex ante LI &amp; Eligibility Stats'!$A$8:$M$8,0))/1000)</f>
        <v>2.632E-2</v>
      </c>
      <c r="D37" s="358">
        <f>B37*(INDEX('Ex post LI &amp; Eligibility Stats'!$A:$N,MATCH($A37,'Ex post LI &amp; Eligibility Stats'!$A:$A,0),MATCH('Program MW '!C$29,'Ex post LI &amp; Eligibility Stats'!$A$8:$N$8,0))/1000)</f>
        <v>2.632E-2</v>
      </c>
      <c r="E37" s="160">
        <v>2</v>
      </c>
      <c r="F37" s="357">
        <f>E37*(INDEX('Ex ante LI &amp; Eligibility Stats'!$A:$M,MATCH('Program MW '!$A37,'Ex ante LI &amp; Eligibility Stats'!$A:$A,0),MATCH('Program MW '!F$29,'Ex ante LI &amp; Eligibility Stats'!$A$8:$M$8,0))/1000)</f>
        <v>2.632E-2</v>
      </c>
      <c r="G37" s="358">
        <f>E37*(INDEX('Ex post LI &amp; Eligibility Stats'!$A:$N,MATCH($A37,'Ex post LI &amp; Eligibility Stats'!$A:$A,0),MATCH('Program MW '!F$29,'Ex post LI &amp; Eligibility Stats'!$A$8:$N$8,0))/1000)</f>
        <v>2.632E-2</v>
      </c>
      <c r="H37" s="160">
        <v>2</v>
      </c>
      <c r="I37" s="357">
        <f>H37*(INDEX('Ex ante LI &amp; Eligibility Stats'!$A:$M,MATCH('Program MW '!$A37,'Ex ante LI &amp; Eligibility Stats'!$A:$A,0),MATCH('Program MW '!I$29,'Ex ante LI &amp; Eligibility Stats'!$A$8:$M$8,0))/1000)</f>
        <v>2.632E-2</v>
      </c>
      <c r="J37" s="358">
        <f>H37*(INDEX('Ex post LI &amp; Eligibility Stats'!$A:$N,MATCH($A37,'Ex post LI &amp; Eligibility Stats'!$A:$A,0),MATCH('Program MW '!I$29,'Ex post LI &amp; Eligibility Stats'!$A$8:$N$8,0))/1000)</f>
        <v>2.632E-2</v>
      </c>
      <c r="K37" s="160">
        <v>2</v>
      </c>
      <c r="L37" s="357">
        <f>K37*(INDEX('Ex ante LI &amp; Eligibility Stats'!$A:$M,MATCH('Program MW '!$A37,'Ex ante LI &amp; Eligibility Stats'!$A:$A,0),MATCH('Program MW '!L$29,'Ex ante LI &amp; Eligibility Stats'!$A$8:$M$8,0))/1000)</f>
        <v>2.632E-2</v>
      </c>
      <c r="M37" s="358">
        <f>K37*(INDEX('Ex post LI &amp; Eligibility Stats'!$A:$N,MATCH($A37,'Ex post LI &amp; Eligibility Stats'!$A:$A,0),MATCH('Program MW '!L$29,'Ex post LI &amp; Eligibility Stats'!$A$8:$N$8,0))/1000)</f>
        <v>2.632E-2</v>
      </c>
      <c r="N37" s="160">
        <v>2</v>
      </c>
      <c r="O37" s="357">
        <f>N37*(INDEX('Ex ante LI &amp; Eligibility Stats'!$A:$M,MATCH('Program MW '!$A37,'Ex ante LI &amp; Eligibility Stats'!$A:$A,0),MATCH('Program MW '!O$29,'Ex ante LI &amp; Eligibility Stats'!$A$8:$M$8,0))/1000)</f>
        <v>0</v>
      </c>
      <c r="P37" s="358">
        <f>N37*(INDEX('Ex post LI &amp; Eligibility Stats'!$A:$N,MATCH($A37,'Ex post LI &amp; Eligibility Stats'!$A:$A,0),MATCH('Program MW '!O$29,'Ex post LI &amp; Eligibility Stats'!$A$8:$N$8,0))/1000)</f>
        <v>2.632E-2</v>
      </c>
      <c r="Q37" s="160">
        <v>0</v>
      </c>
      <c r="R37" s="357">
        <f>Q37*(INDEX('Ex ante LI &amp; Eligibility Stats'!$A:$M,MATCH('Program MW '!$A37,'Ex ante LI &amp; Eligibility Stats'!$A:$A,0),MATCH('Program MW '!R$29,'Ex ante LI &amp; Eligibility Stats'!$A$8:$M$8,0))/1000)</f>
        <v>0</v>
      </c>
      <c r="S37" s="358">
        <f>Q37*(INDEX('Ex post LI &amp; Eligibility Stats'!$A:$N,MATCH($A37,'Ex post LI &amp; Eligibility Stats'!$A:$A,0),MATCH('Program MW '!R$29,'Ex post LI &amp; Eligibility Stats'!$A$8:$N$8,0))/1000)</f>
        <v>0</v>
      </c>
      <c r="T37" s="4"/>
    </row>
    <row r="38" spans="1:26">
      <c r="A38" s="286" t="s">
        <v>17</v>
      </c>
      <c r="B38" s="160">
        <v>15107</v>
      </c>
      <c r="C38" s="357">
        <f>B38*(INDEX('Ex ante LI &amp; Eligibility Stats'!$A:$M,MATCH('Program MW '!$A38,'Ex ante LI &amp; Eligibility Stats'!$A:$A,0),MATCH('Program MW '!C$29,'Ex ante LI &amp; Eligibility Stats'!$A$8:$M$8,0))/1000)</f>
        <v>3.4192109391242265</v>
      </c>
      <c r="D38" s="358">
        <f>B38*(INDEX('Ex post LI &amp; Eligibility Stats'!$A:$N,MATCH($A38,'Ex post LI &amp; Eligibility Stats'!$A:$A,0),MATCH('Program MW '!C$29,'Ex post LI &amp; Eligibility Stats'!$A$8:$N$8,0))/1000)</f>
        <v>3.3235399999999999</v>
      </c>
      <c r="E38" s="160">
        <v>15310</v>
      </c>
      <c r="F38" s="357">
        <f>E38*(INDEX('Ex ante LI &amp; Eligibility Stats'!$A:$M,MATCH('Program MW '!$A38,'Ex ante LI &amp; Eligibility Stats'!$A:$A,0),MATCH('Program MW '!F$29,'Ex ante LI &amp; Eligibility Stats'!$A$8:$M$8,0))/1000)</f>
        <v>4.6823426511883728</v>
      </c>
      <c r="G38" s="358">
        <f>E38*(INDEX('Ex post LI &amp; Eligibility Stats'!$A:$N,MATCH($A38,'Ex post LI &amp; Eligibility Stats'!$A:$A,0),MATCH('Program MW '!F$29,'Ex post LI &amp; Eligibility Stats'!$A$8:$N$8,0))/1000)</f>
        <v>3.3682000000000003</v>
      </c>
      <c r="H38" s="160">
        <f>15064+471</f>
        <v>15535</v>
      </c>
      <c r="I38" s="357">
        <f>H38*(INDEX('Ex ante LI &amp; Eligibility Stats'!$A:$M,MATCH('Program MW '!$A38,'Ex ante LI &amp; Eligibility Stats'!$A:$A,0),MATCH('Program MW '!I$29,'Ex ante LI &amp; Eligibility Stats'!$A$8:$M$8,0))/1000)</f>
        <v>5.8196271060407163</v>
      </c>
      <c r="J38" s="358">
        <f>H38*(INDEX('Ex post LI &amp; Eligibility Stats'!$A:$N,MATCH($A38,'Ex post LI &amp; Eligibility Stats'!$A:$A,0),MATCH('Program MW '!I$29,'Ex post LI &amp; Eligibility Stats'!$A$8:$N$8,0))/1000)</f>
        <v>3.4177</v>
      </c>
      <c r="K38" s="160">
        <v>16739</v>
      </c>
      <c r="L38" s="357">
        <f>K38*(INDEX('Ex ante LI &amp; Eligibility Stats'!$A:$M,MATCH('Program MW '!$A38,'Ex ante LI &amp; Eligibility Stats'!$A:$A,0),MATCH('Program MW '!L$29,'Ex ante LI &amp; Eligibility Stats'!$A$8:$M$8,0))/1000)</f>
        <v>3.4773343164771795</v>
      </c>
      <c r="M38" s="358">
        <f>K38*(INDEX('Ex post LI &amp; Eligibility Stats'!$A:$N,MATCH($A38,'Ex post LI &amp; Eligibility Stats'!$A:$A,0),MATCH('Program MW '!L$29,'Ex post LI &amp; Eligibility Stats'!$A$8:$N$8,0))/1000)</f>
        <v>3.6825800000000002</v>
      </c>
      <c r="N38" s="160">
        <v>17315</v>
      </c>
      <c r="O38" s="671">
        <f>N38*(INDEX('Ex ante LI &amp; Eligibility Stats'!$A:$M,MATCH('Program MW '!$A38,'Ex ante LI &amp; Eligibility Stats'!$A:$A,0),MATCH('Program MW '!O$29,'Ex ante LI &amp; Eligibility Stats'!$A$8:$M$8,0))/1000)</f>
        <v>0.4763841633591801</v>
      </c>
      <c r="P38" s="358">
        <f>N38*(INDEX('Ex post LI &amp; Eligibility Stats'!$A:$N,MATCH($A38,'Ex post LI &amp; Eligibility Stats'!$A:$A,0),MATCH('Program MW '!O$29,'Ex post LI &amp; Eligibility Stats'!$A$8:$N$8,0))/1000)</f>
        <v>3.8093000000000004</v>
      </c>
      <c r="Q38" s="160">
        <v>0</v>
      </c>
      <c r="R38" s="357">
        <f>Q38*(INDEX('Ex ante LI &amp; Eligibility Stats'!$A:$M,MATCH('Program MW '!$A38,'Ex ante LI &amp; Eligibility Stats'!$A:$A,0),MATCH('Program MW '!R$29,'Ex ante LI &amp; Eligibility Stats'!$A$8:$M$8,0))/1000)</f>
        <v>0</v>
      </c>
      <c r="S38" s="358">
        <f>Q38*(INDEX('Ex post LI &amp; Eligibility Stats'!$A:$N,MATCH($A38,'Ex post LI &amp; Eligibility Stats'!$A:$A,0),MATCH('Program MW '!R$29,'Ex post LI &amp; Eligibility Stats'!$A$8:$N$8,0))/1000)</f>
        <v>0</v>
      </c>
      <c r="T38" s="4">
        <v>663393.5</v>
      </c>
    </row>
    <row r="39" spans="1:26">
      <c r="A39" s="286" t="s">
        <v>20</v>
      </c>
      <c r="B39" s="160">
        <v>986</v>
      </c>
      <c r="C39" s="357">
        <f>B39*(INDEX('Ex ante LI &amp; Eligibility Stats'!$A:$M,MATCH('Program MW '!$A39,'Ex ante LI &amp; Eligibility Stats'!$A:$A,0),MATCH('Program MW '!C$29,'Ex ante LI &amp; Eligibility Stats'!$A$8:$M$8,0))/1000)</f>
        <v>0.43775688320398332</v>
      </c>
      <c r="D39" s="358">
        <f>B39*(INDEX('Ex post LI &amp; Eligibility Stats'!$A:$N,MATCH($A39,'Ex post LI &amp; Eligibility Stats'!$A:$A,0),MATCH('Program MW '!C$29,'Ex post LI &amp; Eligibility Stats'!$A$8:$N$8,0))/1000)</f>
        <v>0.35495999999999994</v>
      </c>
      <c r="E39" s="160">
        <v>1041</v>
      </c>
      <c r="F39" s="357">
        <f>E39*(INDEX('Ex ante LI &amp; Eligibility Stats'!$A:$M,MATCH('Program MW '!$A39,'Ex ante LI &amp; Eligibility Stats'!$A:$A,0),MATCH('Program MW '!F$29,'Ex ante LI &amp; Eligibility Stats'!$A$8:$M$8,0))/1000)</f>
        <v>0.57844579267501828</v>
      </c>
      <c r="G39" s="358">
        <f>E39*(INDEX('Ex post LI &amp; Eligibility Stats'!$A:$N,MATCH($A39,'Ex post LI &amp; Eligibility Stats'!$A:$A,0),MATCH('Program MW '!F$29,'Ex post LI &amp; Eligibility Stats'!$A$8:$N$8,0))/1000)</f>
        <v>0.37475999999999998</v>
      </c>
      <c r="H39" s="160">
        <v>1042</v>
      </c>
      <c r="I39" s="357">
        <f>H39*(INDEX('Ex ante LI &amp; Eligibility Stats'!$A:$M,MATCH('Program MW '!$A39,'Ex ante LI &amp; Eligibility Stats'!$A:$A,0),MATCH('Program MW '!I$29,'Ex ante LI &amp; Eligibility Stats'!$A$8:$M$8,0))/1000)</f>
        <v>0.65577575075626382</v>
      </c>
      <c r="J39" s="358">
        <f>H39*(INDEX('Ex post LI &amp; Eligibility Stats'!$A:$N,MATCH($A39,'Ex post LI &amp; Eligibility Stats'!$A:$A,0),MATCH('Program MW '!I$29,'Ex post LI &amp; Eligibility Stats'!$A$8:$N$8,0))/1000)</f>
        <v>0.37511999999999995</v>
      </c>
      <c r="K39" s="160">
        <v>1026</v>
      </c>
      <c r="L39" s="357">
        <f>K39*(INDEX('Ex ante LI &amp; Eligibility Stats'!$A:$M,MATCH('Program MW '!$A39,'Ex ante LI &amp; Eligibility Stats'!$A:$A,0),MATCH('Program MW '!L$29,'Ex ante LI &amp; Eligibility Stats'!$A$8:$M$8,0))/1000)</f>
        <v>0.40253271102905275</v>
      </c>
      <c r="M39" s="358">
        <f>K39*(INDEX('Ex post LI &amp; Eligibility Stats'!$A:$N,MATCH($A39,'Ex post LI &amp; Eligibility Stats'!$A:$A,0),MATCH('Program MW '!L$29,'Ex post LI &amp; Eligibility Stats'!$A$8:$N$8,0))/1000)</f>
        <v>0.36935999999999997</v>
      </c>
      <c r="N39" s="160">
        <v>840</v>
      </c>
      <c r="O39" s="357">
        <f>N39*(INDEX('Ex ante LI &amp; Eligibility Stats'!$A:$M,MATCH('Program MW '!$A39,'Ex ante LI &amp; Eligibility Stats'!$A:$A,0),MATCH('Program MW '!O$29,'Ex ante LI &amp; Eligibility Stats'!$A$8:$M$8,0))/1000)</f>
        <v>6.4997799396514885E-2</v>
      </c>
      <c r="P39" s="358">
        <f>N39*(INDEX('Ex post LI &amp; Eligibility Stats'!$A:$N,MATCH($A39,'Ex post LI &amp; Eligibility Stats'!$A:$A,0),MATCH('Program MW '!O$29,'Ex post LI &amp; Eligibility Stats'!$A$8:$N$8,0))/1000)</f>
        <v>0.30239999999999995</v>
      </c>
      <c r="Q39" s="160">
        <v>0</v>
      </c>
      <c r="R39" s="357">
        <f>Q39*(INDEX('Ex ante LI &amp; Eligibility Stats'!$A:$M,MATCH('Program MW '!$A39,'Ex ante LI &amp; Eligibility Stats'!$A:$A,0),MATCH('Program MW '!R$29,'Ex ante LI &amp; Eligibility Stats'!$A$8:$M$8,0))/1000)</f>
        <v>0</v>
      </c>
      <c r="S39" s="358">
        <f>Q39*(INDEX('Ex post LI &amp; Eligibility Stats'!$A:$N,MATCH($A39,'Ex post LI &amp; Eligibility Stats'!$A:$A,0),MATCH('Program MW '!R$29,'Ex post LI &amp; Eligibility Stats'!$A$8:$N$8,0))/1000)</f>
        <v>0</v>
      </c>
      <c r="T39" s="4"/>
    </row>
    <row r="40" spans="1:26">
      <c r="A40" s="286" t="s">
        <v>21</v>
      </c>
      <c r="B40" s="421">
        <v>9456</v>
      </c>
      <c r="C40" s="357">
        <f>B40*(INDEX('Ex ante LI &amp; Eligibility Stats'!$A:$M,MATCH('Program MW '!$A40,'Ex ante LI &amp; Eligibility Stats'!$A:$A,0),MATCH('Program MW '!C$29,'Ex ante LI &amp; Eligibility Stats'!$A$8:$M$8,0))/1000)</f>
        <v>1.4435983487999999</v>
      </c>
      <c r="D40" s="358">
        <f>B40*(INDEX('Ex post LI &amp; Eligibility Stats'!$A:$N,MATCH($A40,'Ex post LI &amp; Eligibility Stats'!$A:$A,0),MATCH('Program MW '!C$29,'Ex post LI &amp; Eligibility Stats'!$A$8:$N$8,0))/1000)</f>
        <v>1.04016</v>
      </c>
      <c r="E40" s="421">
        <v>9356</v>
      </c>
      <c r="F40" s="357">
        <f>E40*(INDEX('Ex ante LI &amp; Eligibility Stats'!$A:$M,MATCH('Program MW '!$A40,'Ex ante LI &amp; Eligibility Stats'!$A:$A,0),MATCH('Program MW '!F$29,'Ex ante LI &amp; Eligibility Stats'!$A$8:$M$8,0))/1000)</f>
        <v>2.1663836712000002</v>
      </c>
      <c r="G40" s="358">
        <f>E40*(INDEX('Ex post LI &amp; Eligibility Stats'!$A:$N,MATCH($A40,'Ex post LI &amp; Eligibility Stats'!$A:$A,0),MATCH('Program MW '!F$29,'Ex post LI &amp; Eligibility Stats'!$A$8:$N$8,0))/1000)</f>
        <v>1.0291600000000001</v>
      </c>
      <c r="H40" s="421">
        <v>9223</v>
      </c>
      <c r="I40" s="357">
        <f>H40*(INDEX('Ex ante LI &amp; Eligibility Stats'!$A:$M,MATCH('Program MW '!$A40,'Ex ante LI &amp; Eligibility Stats'!$A:$A,0),MATCH('Program MW '!I$29,'Ex ante LI &amp; Eligibility Stats'!$A$8:$M$8,0))/1000)</f>
        <v>2.6149446189000001</v>
      </c>
      <c r="J40" s="358">
        <f>H40*(INDEX('Ex post LI &amp; Eligibility Stats'!$A:$N,MATCH($A40,'Ex post LI &amp; Eligibility Stats'!$A:$A,0),MATCH('Program MW '!I$29,'Ex post LI &amp; Eligibility Stats'!$A$8:$N$8,0))/1000)</f>
        <v>1.0145299999999999</v>
      </c>
      <c r="K40" s="421">
        <v>9154</v>
      </c>
      <c r="L40" s="357">
        <f>K40*(INDEX('Ex ante LI &amp; Eligibility Stats'!$A:$M,MATCH('Program MW '!$A40,'Ex ante LI &amp; Eligibility Stats'!$A:$A,0),MATCH('Program MW '!L$29,'Ex ante LI &amp; Eligibility Stats'!$A$8:$M$8,0))/1000)</f>
        <v>1.393440188</v>
      </c>
      <c r="M40" s="358">
        <f>K40*(INDEX('Ex post LI &amp; Eligibility Stats'!$A:$N,MATCH($A40,'Ex post LI &amp; Eligibility Stats'!$A:$A,0),MATCH('Program MW '!L$29,'Ex post LI &amp; Eligibility Stats'!$A$8:$N$8,0))/1000)</f>
        <v>1.0069399999999999</v>
      </c>
      <c r="N40" s="421">
        <v>11426</v>
      </c>
      <c r="O40" s="357">
        <f>N40*(INDEX('Ex ante LI &amp; Eligibility Stats'!$A:$M,MATCH('Program MW '!$A40,'Ex ante LI &amp; Eligibility Stats'!$A:$A,0),MATCH('Program MW '!O$29,'Ex ante LI &amp; Eligibility Stats'!$A$8:$M$8,0))/1000)</f>
        <v>0</v>
      </c>
      <c r="P40" s="358">
        <f>N40*(INDEX('Ex post LI &amp; Eligibility Stats'!$A:$N,MATCH($A40,'Ex post LI &amp; Eligibility Stats'!$A:$A,0),MATCH('Program MW '!O$29,'Ex post LI &amp; Eligibility Stats'!$A$8:$N$8,0))/1000)</f>
        <v>1.2568600000000001</v>
      </c>
      <c r="Q40" s="421">
        <v>0</v>
      </c>
      <c r="R40" s="357">
        <f>Q40*(INDEX('Ex ante LI &amp; Eligibility Stats'!$A:$M,MATCH('Program MW '!$A40,'Ex ante LI &amp; Eligibility Stats'!$A:$A,0),MATCH('Program MW '!R$29,'Ex ante LI &amp; Eligibility Stats'!$A$8:$M$8,0))/1000)</f>
        <v>0</v>
      </c>
      <c r="S40" s="358">
        <f>Q40*(INDEX('Ex post LI &amp; Eligibility Stats'!$A:$N,MATCH($A40,'Ex post LI &amp; Eligibility Stats'!$A:$A,0),MATCH('Program MW '!R$29,'Ex post LI &amp; Eligibility Stats'!$A$8:$N$8,0))/1000)</f>
        <v>0</v>
      </c>
      <c r="T40" s="4">
        <v>157189</v>
      </c>
    </row>
    <row r="41" spans="1:26">
      <c r="A41" s="286" t="s">
        <v>23</v>
      </c>
      <c r="B41" s="421">
        <v>3217</v>
      </c>
      <c r="C41" s="357">
        <f>B41*(INDEX('Ex ante LI &amp; Eligibility Stats'!$A:$M,MATCH('Program MW '!$A41,'Ex ante LI &amp; Eligibility Stats'!$A:$A,0),MATCH('Program MW '!C$29,'Ex ante LI &amp; Eligibility Stats'!$A$8:$M$8,0))/1000)</f>
        <v>0.39307236200000006</v>
      </c>
      <c r="D41" s="358">
        <f>B41*(INDEX('Ex post LI &amp; Eligibility Stats'!$A:$N,MATCH($A41,'Ex post LI &amp; Eligibility Stats'!$A:$A,0),MATCH('Program MW '!C$29,'Ex post LI &amp; Eligibility Stats'!$A$8:$N$8,0))/1000)</f>
        <v>0.28952999999999995</v>
      </c>
      <c r="E41" s="421">
        <v>3198</v>
      </c>
      <c r="F41" s="357">
        <f>E41*(INDEX('Ex ante LI &amp; Eligibility Stats'!$A:$M,MATCH('Program MW '!$A41,'Ex ante LI &amp; Eligibility Stats'!$A:$A,0),MATCH('Program MW '!F$29,'Ex ante LI &amp; Eligibility Stats'!$A$8:$M$8,0))/1000)</f>
        <v>0.47751928380000003</v>
      </c>
      <c r="G41" s="358">
        <f>E41*(INDEX('Ex post LI &amp; Eligibility Stats'!$A:$N,MATCH($A41,'Ex post LI &amp; Eligibility Stats'!$A:$A,0),MATCH('Program MW '!F$29,'Ex post LI &amp; Eligibility Stats'!$A$8:$N$8,0))/1000)</f>
        <v>0.28781999999999996</v>
      </c>
      <c r="H41" s="421">
        <v>3171</v>
      </c>
      <c r="I41" s="357">
        <f>H41*(INDEX('Ex ante LI &amp; Eligibility Stats'!$A:$M,MATCH('Program MW '!$A41,'Ex ante LI &amp; Eligibility Stats'!$A:$A,0),MATCH('Program MW '!I$29,'Ex ante LI &amp; Eligibility Stats'!$A$8:$M$8,0))/1000)</f>
        <v>0.56855142120000002</v>
      </c>
      <c r="J41" s="358">
        <f>H41*(INDEX('Ex post LI &amp; Eligibility Stats'!$A:$N,MATCH($A41,'Ex post LI &amp; Eligibility Stats'!$A:$A,0),MATCH('Program MW '!I$29,'Ex post LI &amp; Eligibility Stats'!$A$8:$N$8,0))/1000)</f>
        <v>0.28538999999999998</v>
      </c>
      <c r="K41" s="421">
        <v>3108</v>
      </c>
      <c r="L41" s="357">
        <f>K41*(INDEX('Ex ante LI &amp; Eligibility Stats'!$A:$M,MATCH('Program MW '!$A41,'Ex ante LI &amp; Eligibility Stats'!$A:$A,0),MATCH('Program MW '!L$29,'Ex ante LI &amp; Eligibility Stats'!$A$8:$M$8,0))/1000)</f>
        <v>0.37594274760000002</v>
      </c>
      <c r="M41" s="358">
        <f>K41*(INDEX('Ex post LI &amp; Eligibility Stats'!$A:$N,MATCH($A41,'Ex post LI &amp; Eligibility Stats'!$A:$A,0),MATCH('Program MW '!L$29,'Ex post LI &amp; Eligibility Stats'!$A$8:$N$8,0))/1000)</f>
        <v>0.27971999999999997</v>
      </c>
      <c r="N41" s="421">
        <v>3009</v>
      </c>
      <c r="O41" s="357">
        <f>N41*(INDEX('Ex ante LI &amp; Eligibility Stats'!$A:$M,MATCH('Program MW '!$A41,'Ex ante LI &amp; Eligibility Stats'!$A:$A,0),MATCH('Program MW '!O$29,'Ex ante LI &amp; Eligibility Stats'!$A$8:$M$8,0))/1000)</f>
        <v>0</v>
      </c>
      <c r="P41" s="358">
        <f>N41*(INDEX('Ex post LI &amp; Eligibility Stats'!$A:$N,MATCH($A41,'Ex post LI &amp; Eligibility Stats'!$A:$A,0),MATCH('Program MW '!O$29,'Ex post LI &amp; Eligibility Stats'!$A$8:$N$8,0))/1000)</f>
        <v>0.27081</v>
      </c>
      <c r="Q41" s="421">
        <v>0</v>
      </c>
      <c r="R41" s="357">
        <f>Q41*(INDEX('Ex ante LI &amp; Eligibility Stats'!$A:$M,MATCH('Program MW '!$A41,'Ex ante LI &amp; Eligibility Stats'!$A:$A,0),MATCH('Program MW '!R$29,'Ex ante LI &amp; Eligibility Stats'!$A$8:$M$8,0))/1000)</f>
        <v>0</v>
      </c>
      <c r="S41" s="358">
        <f>Q41*(INDEX('Ex post LI &amp; Eligibility Stats'!$A:$N,MATCH($A41,'Ex post LI &amp; Eligibility Stats'!$A:$A,0),MATCH('Program MW '!R$29,'Ex post LI &amp; Eligibility Stats'!$A$8:$N$8,0))/1000)</f>
        <v>0</v>
      </c>
      <c r="T41" s="4">
        <v>157189</v>
      </c>
    </row>
    <row r="42" spans="1:26">
      <c r="A42" s="85" t="s">
        <v>24</v>
      </c>
      <c r="B42" s="160">
        <v>24</v>
      </c>
      <c r="C42" s="357">
        <f>B42*(INDEX('Ex ante LI &amp; Eligibility Stats'!$A:$M,MATCH('Program MW '!$A42,'Ex ante LI &amp; Eligibility Stats'!$A:$A,0),MATCH('Program MW '!C$29,'Ex ante LI &amp; Eligibility Stats'!$A$8:$M$8,0))/1000)</f>
        <v>0.44888562719141323</v>
      </c>
      <c r="D42" s="358">
        <f>B42*(INDEX('Ex post LI &amp; Eligibility Stats'!$A:$N,MATCH($A42,'Ex post LI &amp; Eligibility Stats'!$A:$A,0),MATCH('Program MW '!C$29,'Ex post LI &amp; Eligibility Stats'!$A$8:$N$8,0))/1000)</f>
        <v>0.63119999999999998</v>
      </c>
      <c r="E42" s="160">
        <v>26</v>
      </c>
      <c r="F42" s="357">
        <f>E42*(INDEX('Ex ante LI &amp; Eligibility Stats'!$A:$M,MATCH('Program MW '!$A42,'Ex ante LI &amp; Eligibility Stats'!$A:$A,0),MATCH('Program MW '!F$29,'Ex ante LI &amp; Eligibility Stats'!$A$8:$M$8,0))/1000)</f>
        <v>0.48629276279069766</v>
      </c>
      <c r="G42" s="358">
        <f>E42*(INDEX('Ex post LI &amp; Eligibility Stats'!$A:$N,MATCH($A42,'Ex post LI &amp; Eligibility Stats'!$A:$A,0),MATCH('Program MW '!F$29,'Ex post LI &amp; Eligibility Stats'!$A$8:$N$8,0))/1000)</f>
        <v>0.68379999999999996</v>
      </c>
      <c r="H42" s="160">
        <v>20</v>
      </c>
      <c r="I42" s="357">
        <f>H42*(INDEX('Ex ante LI &amp; Eligibility Stats'!$A:$M,MATCH('Program MW '!$A42,'Ex ante LI &amp; Eligibility Stats'!$A:$A,0),MATCH('Program MW '!I$29,'Ex ante LI &amp; Eligibility Stats'!$A$8:$M$8,0))/1000)</f>
        <v>0.37407135599284436</v>
      </c>
      <c r="J42" s="358">
        <f>H42*(INDEX('Ex post LI &amp; Eligibility Stats'!$A:$N,MATCH($A42,'Ex post LI &amp; Eligibility Stats'!$A:$A,0),MATCH('Program MW '!I$29,'Ex post LI &amp; Eligibility Stats'!$A$8:$N$8,0))/1000)</f>
        <v>0.52600000000000002</v>
      </c>
      <c r="K42" s="160">
        <v>20</v>
      </c>
      <c r="L42" s="357">
        <f>K42*(INDEX('Ex ante LI &amp; Eligibility Stats'!$A:$M,MATCH('Program MW '!$A42,'Ex ante LI &amp; Eligibility Stats'!$A:$A,0),MATCH('Program MW '!L$29,'Ex ante LI &amp; Eligibility Stats'!$A$8:$M$8,0))/1000)</f>
        <v>0.37407135599284436</v>
      </c>
      <c r="M42" s="358">
        <f>K42*(INDEX('Ex post LI &amp; Eligibility Stats'!$A:$N,MATCH($A42,'Ex post LI &amp; Eligibility Stats'!$A:$A,0),MATCH('Program MW '!L$29,'Ex post LI &amp; Eligibility Stats'!$A$8:$N$8,0))/1000)</f>
        <v>0.52600000000000002</v>
      </c>
      <c r="N42" s="160">
        <v>0</v>
      </c>
      <c r="O42" s="357">
        <f>N42*(INDEX('Ex ante LI &amp; Eligibility Stats'!$A:$M,MATCH('Program MW '!$A42,'Ex ante LI &amp; Eligibility Stats'!$A:$A,0),MATCH('Program MW '!O$29,'Ex ante LI &amp; Eligibility Stats'!$A$8:$M$8,0))/1000)</f>
        <v>0</v>
      </c>
      <c r="P42" s="358">
        <f>N42*(INDEX('Ex post LI &amp; Eligibility Stats'!$A:$N,MATCH($A42,'Ex post LI &amp; Eligibility Stats'!$A:$A,0),MATCH('Program MW '!O$29,'Ex post LI &amp; Eligibility Stats'!$A$8:$N$8,0))/1000)</f>
        <v>0</v>
      </c>
      <c r="Q42" s="160">
        <v>0</v>
      </c>
      <c r="R42" s="357">
        <f>Q42*(INDEX('Ex ante LI &amp; Eligibility Stats'!$A:$M,MATCH('Program MW '!$A42,'Ex ante LI &amp; Eligibility Stats'!$A:$A,0),MATCH('Program MW '!R$29,'Ex ante LI &amp; Eligibility Stats'!$A$8:$M$8,0))/1000)</f>
        <v>0</v>
      </c>
      <c r="S42" s="358">
        <f>Q42*(INDEX('Ex post LI &amp; Eligibility Stats'!$A:$N,MATCH($A42,'Ex post LI &amp; Eligibility Stats'!$A:$A,0),MATCH('Program MW '!R$29,'Ex post LI &amp; Eligibility Stats'!$A$8:$N$8,0))/1000)</f>
        <v>0</v>
      </c>
      <c r="T42" s="4">
        <v>18875</v>
      </c>
      <c r="V42" s="449" t="s">
        <v>57</v>
      </c>
    </row>
    <row r="43" spans="1:26">
      <c r="A43" s="85" t="s">
        <v>25</v>
      </c>
      <c r="B43" s="160">
        <v>175</v>
      </c>
      <c r="C43" s="357">
        <f>B43*(INDEX('Ex ante LI &amp; Eligibility Stats'!$A:$M,MATCH('Program MW '!$A43,'Ex ante LI &amp; Eligibility Stats'!$A:$A,0),MATCH('Program MW '!C$29,'Ex ante LI &amp; Eligibility Stats'!$A$8:$M$8,0))/1000)</f>
        <v>2.9780528580351651</v>
      </c>
      <c r="D43" s="358">
        <f>B43*(INDEX('Ex post LI &amp; Eligibility Stats'!$A:$N,MATCH($A43,'Ex post LI &amp; Eligibility Stats'!$A:$A,0),MATCH('Program MW '!C$29,'Ex post LI &amp; Eligibility Stats'!$A$8:$N$8,0))/1000)</f>
        <v>3.4300000000000006</v>
      </c>
      <c r="E43" s="160">
        <v>175</v>
      </c>
      <c r="F43" s="357">
        <f>E43*(INDEX('Ex ante LI &amp; Eligibility Stats'!$A:$M,MATCH('Program MW '!$A43,'Ex ante LI &amp; Eligibility Stats'!$A:$A,0),MATCH('Program MW '!F$29,'Ex ante LI &amp; Eligibility Stats'!$A$8:$M$8,0))/1000)</f>
        <v>2.9780528580351651</v>
      </c>
      <c r="G43" s="358">
        <f>E43*(INDEX('Ex post LI &amp; Eligibility Stats'!$A:$N,MATCH($A43,'Ex post LI &amp; Eligibility Stats'!$A:$A,0),MATCH('Program MW '!F$29,'Ex post LI &amp; Eligibility Stats'!$A$8:$N$8,0))/1000)</f>
        <v>3.4300000000000006</v>
      </c>
      <c r="H43" s="160">
        <v>129</v>
      </c>
      <c r="I43" s="357">
        <f>H43*(INDEX('Ex ante LI &amp; Eligibility Stats'!$A:$M,MATCH('Program MW '!$A43,'Ex ante LI &amp; Eligibility Stats'!$A:$A,0),MATCH('Program MW '!I$29,'Ex ante LI &amp; Eligibility Stats'!$A$8:$M$8,0))/1000)</f>
        <v>2.1952503924944931</v>
      </c>
      <c r="J43" s="358">
        <f>H43*(INDEX('Ex post LI &amp; Eligibility Stats'!$A:$N,MATCH($A43,'Ex post LI &amp; Eligibility Stats'!$A:$A,0),MATCH('Program MW '!I$29,'Ex post LI &amp; Eligibility Stats'!$A$8:$N$8,0))/1000)</f>
        <v>2.5284000000000004</v>
      </c>
      <c r="K43" s="160">
        <v>129</v>
      </c>
      <c r="L43" s="357">
        <f>K43*(INDEX('Ex ante LI &amp; Eligibility Stats'!$A:$M,MATCH('Program MW '!$A43,'Ex ante LI &amp; Eligibility Stats'!$A:$A,0),MATCH('Program MW '!L$29,'Ex ante LI &amp; Eligibility Stats'!$A$8:$M$8,0))/1000)</f>
        <v>2.1952503924944931</v>
      </c>
      <c r="M43" s="358">
        <f>K43*(INDEX('Ex post LI &amp; Eligibility Stats'!$A:$N,MATCH($A43,'Ex post LI &amp; Eligibility Stats'!$A:$A,0),MATCH('Program MW '!L$29,'Ex post LI &amp; Eligibility Stats'!$A$8:$N$8,0))/1000)</f>
        <v>2.5284000000000004</v>
      </c>
      <c r="N43" s="160">
        <v>0</v>
      </c>
      <c r="O43" s="357">
        <f>N43*(INDEX('Ex ante LI &amp; Eligibility Stats'!$A:$M,MATCH('Program MW '!$A43,'Ex ante LI &amp; Eligibility Stats'!$A:$A,0),MATCH('Program MW '!O$29,'Ex ante LI &amp; Eligibility Stats'!$A$8:$M$8,0))/1000)</f>
        <v>0</v>
      </c>
      <c r="P43" s="358">
        <f>N43*(INDEX('Ex post LI &amp; Eligibility Stats'!$A:$N,MATCH($A43,'Ex post LI &amp; Eligibility Stats'!$A:$A,0),MATCH('Program MW '!O$29,'Ex post LI &amp; Eligibility Stats'!$A$8:$N$8,0))/1000)</f>
        <v>0</v>
      </c>
      <c r="Q43" s="160">
        <v>0</v>
      </c>
      <c r="R43" s="357">
        <f>Q43*(INDEX('Ex ante LI &amp; Eligibility Stats'!$A:$M,MATCH('Program MW '!$A43,'Ex ante LI &amp; Eligibility Stats'!$A:$A,0),MATCH('Program MW '!R$29,'Ex ante LI &amp; Eligibility Stats'!$A$8:$M$8,0))/1000)</f>
        <v>0</v>
      </c>
      <c r="S43" s="358">
        <f>Q43*(INDEX('Ex post LI &amp; Eligibility Stats'!$A:$N,MATCH($A43,'Ex post LI &amp; Eligibility Stats'!$A:$A,0),MATCH('Program MW '!R$29,'Ex post LI &amp; Eligibility Stats'!$A$8:$N$8,0))/1000)</f>
        <v>0</v>
      </c>
      <c r="T43" s="4">
        <v>18875</v>
      </c>
    </row>
    <row r="44" spans="1:26" s="153" customFormat="1">
      <c r="A44" s="286" t="s">
        <v>56</v>
      </c>
      <c r="B44" s="210">
        <v>91</v>
      </c>
      <c r="C44" s="357">
        <f>B44*(INDEX('Ex ante LI &amp; Eligibility Stats'!$A:$M,MATCH('Program MW '!$A44,'Ex ante LI &amp; Eligibility Stats'!$A:$A,0),MATCH('Program MW '!C$29,'Ex ante LI &amp; Eligibility Stats'!$A$8:$M$8,0))/1000)</f>
        <v>6.0863229632377629E-3</v>
      </c>
      <c r="D44" s="358">
        <f>B44*(INDEX('Ex post LI &amp; Eligibility Stats'!$A:$N,MATCH($A44,'Ex post LI &amp; Eligibility Stats'!$A:$A,0),MATCH('Program MW '!C$29,'Ex post LI &amp; Eligibility Stats'!$A$8:$N$8,0))/1000)</f>
        <v>0.15742999999999999</v>
      </c>
      <c r="E44" s="210">
        <v>92</v>
      </c>
      <c r="F44" s="357">
        <f>E44*(INDEX('Ex ante LI &amp; Eligibility Stats'!$A:$M,MATCH('Program MW '!$A44,'Ex ante LI &amp; Eligibility Stats'!$A:$A,0),MATCH('Program MW '!F$29,'Ex ante LI &amp; Eligibility Stats'!$A$8:$M$8,0))/1000)</f>
        <v>7.1594032645225531E-3</v>
      </c>
      <c r="G44" s="358">
        <f>E44*(INDEX('Ex post LI &amp; Eligibility Stats'!$A:$N,MATCH($A44,'Ex post LI &amp; Eligibility Stats'!$A:$A,0),MATCH('Program MW '!F$29,'Ex post LI &amp; Eligibility Stats'!$A$8:$N$8,0))/1000)</f>
        <v>0.15916</v>
      </c>
      <c r="H44" s="210">
        <v>92</v>
      </c>
      <c r="I44" s="357">
        <f>H44*(INDEX('Ex ante LI &amp; Eligibility Stats'!$A:$M,MATCH('Program MW '!$A44,'Ex ante LI &amp; Eligibility Stats'!$A:$A,0),MATCH('Program MW '!I$29,'Ex ante LI &amp; Eligibility Stats'!$A$8:$M$8,0))/1000)</f>
        <v>7.0681269168853759E-3</v>
      </c>
      <c r="J44" s="358">
        <f>H44*(INDEX('Ex post LI &amp; Eligibility Stats'!$A:$N,MATCH($A44,'Ex post LI &amp; Eligibility Stats'!$A:$A,0),MATCH('Program MW '!I$29,'Ex post LI &amp; Eligibility Stats'!$A$8:$N$8,0))/1000)</f>
        <v>0.15916</v>
      </c>
      <c r="K44" s="210">
        <v>91</v>
      </c>
      <c r="L44" s="357">
        <f>K44*(INDEX('Ex ante LI &amp; Eligibility Stats'!$A:$M,MATCH('Program MW '!$A44,'Ex ante LI &amp; Eligibility Stats'!$A:$A,0),MATCH('Program MW '!L$29,'Ex ante LI &amp; Eligibility Stats'!$A$8:$M$8,0))/1000)</f>
        <v>5.156588524580002E-3</v>
      </c>
      <c r="M44" s="358">
        <f>K44*(INDEX('Ex post LI &amp; Eligibility Stats'!$A:$N,MATCH($A44,'Ex post LI &amp; Eligibility Stats'!$A:$A,0),MATCH('Program MW '!L$29,'Ex post LI &amp; Eligibility Stats'!$A$8:$N$8,0))/1000)</f>
        <v>0.15742999999999999</v>
      </c>
      <c r="N44" s="210">
        <v>91</v>
      </c>
      <c r="O44" s="357">
        <f>N44*(INDEX('Ex ante LI &amp; Eligibility Stats'!$A:$M,MATCH('Program MW '!$A44,'Ex ante LI &amp; Eligibility Stats'!$A:$A,0),MATCH('Program MW '!O$29,'Ex ante LI &amp; Eligibility Stats'!$A$8:$M$8,0))/1000)</f>
        <v>1.8942102510482073E-3</v>
      </c>
      <c r="P44" s="358">
        <f>N44*(INDEX('Ex post LI &amp; Eligibility Stats'!$A:$N,MATCH($A44,'Ex post LI &amp; Eligibility Stats'!$A:$A,0),MATCH('Program MW '!O$29,'Ex post LI &amp; Eligibility Stats'!$A$8:$N$8,0))/1000)</f>
        <v>0.15742999999999999</v>
      </c>
      <c r="Q44" s="210">
        <v>0</v>
      </c>
      <c r="R44" s="357">
        <f>Q44*(INDEX('Ex ante LI &amp; Eligibility Stats'!$A:$M,MATCH('Program MW '!$A44,'Ex ante LI &amp; Eligibility Stats'!$A:$A,0),MATCH('Program MW '!R$29,'Ex ante LI &amp; Eligibility Stats'!$A$8:$M$8,0))/1000)</f>
        <v>0</v>
      </c>
      <c r="S44" s="358">
        <f>Q44*(INDEX('Ex post LI &amp; Eligibility Stats'!$A:$N,MATCH($A44,'Ex post LI &amp; Eligibility Stats'!$A:$A,0),MATCH('Program MW '!R$29,'Ex post LI &amp; Eligibility Stats'!$A$8:$N$8,0))/1000)</f>
        <v>0</v>
      </c>
      <c r="T44" s="460"/>
    </row>
    <row r="45" spans="1:26">
      <c r="A45" s="85" t="s">
        <v>26</v>
      </c>
      <c r="B45" s="160">
        <v>112437</v>
      </c>
      <c r="C45" s="357">
        <f>B45*(INDEX('Ex ante LI &amp; Eligibility Stats'!$A:$M,MATCH('Program MW '!$A45,'Ex ante LI &amp; Eligibility Stats'!$A:$A,0),MATCH('Program MW '!C$29,'Ex ante LI &amp; Eligibility Stats'!$A$8:$M$8,0))/1000)</f>
        <v>1.9057328109797089</v>
      </c>
      <c r="D45" s="358">
        <f>B45*(INDEX('Ex post LI &amp; Eligibility Stats'!$A:$N,MATCH($A45,'Ex post LI &amp; Eligibility Stats'!$A:$A,0),MATCH('Program MW '!C$29,'Ex post LI &amp; Eligibility Stats'!$A$8:$N$8,0))/1000)</f>
        <v>3.3731099999999996</v>
      </c>
      <c r="E45" s="160">
        <v>112368</v>
      </c>
      <c r="F45" s="357">
        <f>E45*(INDEX('Ex ante LI &amp; Eligibility Stats'!$A:$M,MATCH('Program MW '!$A45,'Ex ante LI &amp; Eligibility Stats'!$A:$A,0),MATCH('Program MW '!F$29,'Ex ante LI &amp; Eligibility Stats'!$A$8:$M$8,0))/1000)</f>
        <v>1.9959247588813303</v>
      </c>
      <c r="G45" s="358">
        <f>E45*(INDEX('Ex post LI &amp; Eligibility Stats'!$A:$N,MATCH($A45,'Ex post LI &amp; Eligibility Stats'!$A:$A,0),MATCH('Program MW '!F$29,'Ex post LI &amp; Eligibility Stats'!$A$8:$N$8,0))/1000)</f>
        <v>3.3710399999999998</v>
      </c>
      <c r="H45" s="160">
        <v>112227</v>
      </c>
      <c r="I45" s="357">
        <f>H45*(INDEX('Ex ante LI &amp; Eligibility Stats'!$A:$M,MATCH('Program MW '!$A45,'Ex ante LI &amp; Eligibility Stats'!$A:$A,0),MATCH('Program MW '!I$29,'Ex ante LI &amp; Eligibility Stats'!$A$8:$M$8,0))/1000)</f>
        <v>1.9165666264425962</v>
      </c>
      <c r="J45" s="358">
        <f>H45*(INDEX('Ex post LI &amp; Eligibility Stats'!$A:$N,MATCH($A45,'Ex post LI &amp; Eligibility Stats'!$A:$A,0),MATCH('Program MW '!I$29,'Ex post LI &amp; Eligibility Stats'!$A$8:$N$8,0))/1000)</f>
        <v>3.3668099999999996</v>
      </c>
      <c r="K45" s="160">
        <v>112364</v>
      </c>
      <c r="L45" s="357">
        <f>K45*(INDEX('Ex ante LI &amp; Eligibility Stats'!$A:$M,MATCH('Program MW '!$A45,'Ex ante LI &amp; Eligibility Stats'!$A:$A,0),MATCH('Program MW '!L$29,'Ex ante LI &amp; Eligibility Stats'!$A$8:$M$8,0))/1000)</f>
        <v>1.7424512077905236</v>
      </c>
      <c r="M45" s="358">
        <f>K45*(INDEX('Ex post LI &amp; Eligibility Stats'!$A:$N,MATCH($A45,'Ex post LI &amp; Eligibility Stats'!$A:$A,0),MATCH('Program MW '!L$29,'Ex post LI &amp; Eligibility Stats'!$A$8:$N$8,0))/1000)</f>
        <v>3.3709199999999999</v>
      </c>
      <c r="N45" s="160">
        <v>112332</v>
      </c>
      <c r="O45" s="357">
        <f>N45*(INDEX('Ex ante LI &amp; Eligibility Stats'!$A:$M,MATCH('Program MW '!$A45,'Ex ante LI &amp; Eligibility Stats'!$A:$A,0),MATCH('Program MW '!O$29,'Ex ante LI &amp; Eligibility Stats'!$A$8:$M$8,0))/1000)</f>
        <v>1.4317376101724804</v>
      </c>
      <c r="P45" s="358">
        <f>N45*(INDEX('Ex post LI &amp; Eligibility Stats'!$A:$N,MATCH($A45,'Ex post LI &amp; Eligibility Stats'!$A:$A,0),MATCH('Program MW '!O$29,'Ex post LI &amp; Eligibility Stats'!$A$8:$N$8,0))/1000)</f>
        <v>3.3699599999999998</v>
      </c>
      <c r="Q45" s="160">
        <v>0</v>
      </c>
      <c r="R45" s="357">
        <f>Q45*(INDEX('Ex ante LI &amp; Eligibility Stats'!$A:$M,MATCH('Program MW '!$A45,'Ex ante LI &amp; Eligibility Stats'!$A:$A,0),MATCH('Program MW '!R$29,'Ex ante LI &amp; Eligibility Stats'!$A$8:$M$8,0))/1000)</f>
        <v>0</v>
      </c>
      <c r="S45" s="358">
        <f>Q45*(INDEX('Ex post LI &amp; Eligibility Stats'!$A:$N,MATCH($A45,'Ex post LI &amp; Eligibility Stats'!$A:$A,0),MATCH('Program MW '!R$29,'Ex post LI &amp; Eligibility Stats'!$A$8:$N$8,0))/1000)</f>
        <v>0</v>
      </c>
      <c r="T45" s="4"/>
    </row>
    <row r="46" spans="1:26">
      <c r="A46" s="42" t="s">
        <v>27</v>
      </c>
      <c r="B46" s="284">
        <v>16192</v>
      </c>
      <c r="C46" s="357">
        <f>B46*(INDEX('Ex ante LI &amp; Eligibility Stats'!$A:$M,MATCH('Program MW '!$A46,'Ex ante LI &amp; Eligibility Stats'!$A:$A,0),MATCH('Program MW '!C$29,'Ex ante LI &amp; Eligibility Stats'!$A$8:$M$8,0))/1000)</f>
        <v>3.1104105689525605</v>
      </c>
      <c r="D46" s="358">
        <f>B46*(INDEX('Ex post LI &amp; Eligibility Stats'!$A:$N,MATCH($A46,'Ex post LI &amp; Eligibility Stats'!$A:$A,0),MATCH('Program MW '!C$29,'Ex post LI &amp; Eligibility Stats'!$A$8:$N$8,0))/1000)</f>
        <v>3.5622400000000001</v>
      </c>
      <c r="E46" s="284">
        <v>16302</v>
      </c>
      <c r="F46" s="357">
        <f>E46*(INDEX('Ex ante LI &amp; Eligibility Stats'!$A:$M,MATCH('Program MW '!$A46,'Ex ante LI &amp; Eligibility Stats'!$A:$A,0),MATCH('Program MW '!F$29,'Ex ante LI &amp; Eligibility Stats'!$A$8:$M$8,0))/1000)</f>
        <v>3.330096468642354</v>
      </c>
      <c r="G46" s="358">
        <f>E46*(INDEX('Ex post LI &amp; Eligibility Stats'!$A:$N,MATCH($A46,'Ex post LI &amp; Eligibility Stats'!$A:$A,0),MATCH('Program MW '!F$29,'Ex post LI &amp; Eligibility Stats'!$A$8:$N$8,0))/1000)</f>
        <v>3.5864400000000001</v>
      </c>
      <c r="H46" s="284">
        <v>15944</v>
      </c>
      <c r="I46" s="357">
        <f>H46*(INDEX('Ex ante LI &amp; Eligibility Stats'!$A:$M,MATCH('Program MW '!$A46,'Ex ante LI &amp; Eligibility Stats'!$A:$A,0),MATCH('Program MW '!I$29,'Ex ante LI &amp; Eligibility Stats'!$A$8:$M$8,0))/1000)</f>
        <v>3.3902472614645958</v>
      </c>
      <c r="J46" s="358">
        <f>H46*(INDEX('Ex post LI &amp; Eligibility Stats'!$A:$N,MATCH($A46,'Ex post LI &amp; Eligibility Stats'!$A:$A,0),MATCH('Program MW '!I$29,'Ex post LI &amp; Eligibility Stats'!$A$8:$N$8,0))/1000)</f>
        <v>3.5076800000000001</v>
      </c>
      <c r="K46" s="284">
        <v>15968</v>
      </c>
      <c r="L46" s="357">
        <f>K46*(INDEX('Ex ante LI &amp; Eligibility Stats'!$A:$M,MATCH('Program MW '!$A46,'Ex ante LI &amp; Eligibility Stats'!$A:$A,0),MATCH('Program MW '!L$29,'Ex ante LI &amp; Eligibility Stats'!$A$8:$M$8,0))/1000)</f>
        <v>2.9640188051462175</v>
      </c>
      <c r="M46" s="358">
        <f>K46*(INDEX('Ex post LI &amp; Eligibility Stats'!$A:$N,MATCH($A46,'Ex post LI &amp; Eligibility Stats'!$A:$A,0),MATCH('Program MW '!L$29,'Ex post LI &amp; Eligibility Stats'!$A$8:$N$8,0))/1000)</f>
        <v>3.5129600000000001</v>
      </c>
      <c r="N46" s="284">
        <v>16266</v>
      </c>
      <c r="O46" s="357">
        <f>N46*(INDEX('Ex ante LI &amp; Eligibility Stats'!$A:$M,MATCH('Program MW '!$A46,'Ex ante LI &amp; Eligibility Stats'!$A:$A,0),MATCH('Program MW '!O$29,'Ex ante LI &amp; Eligibility Stats'!$A$8:$M$8,0))/1000)</f>
        <v>0.48454691666364674</v>
      </c>
      <c r="P46" s="358">
        <f>N46*(INDEX('Ex post LI &amp; Eligibility Stats'!$A:$N,MATCH($A46,'Ex post LI &amp; Eligibility Stats'!$A:$A,0),MATCH('Program MW '!O$29,'Ex post LI &amp; Eligibility Stats'!$A$8:$N$8,0))/1000)</f>
        <v>3.5785200000000001</v>
      </c>
      <c r="Q46" s="284">
        <v>0</v>
      </c>
      <c r="R46" s="357">
        <f>Q46*(INDEX('Ex ante LI &amp; Eligibility Stats'!$A:$M,MATCH('Program MW '!$A46,'Ex ante LI &amp; Eligibility Stats'!$A:$A,0),MATCH('Program MW '!R$29,'Ex ante LI &amp; Eligibility Stats'!$A$8:$M$8,0))/1000)</f>
        <v>0</v>
      </c>
      <c r="S46" s="358">
        <f>Q46*(INDEX('Ex post LI &amp; Eligibility Stats'!$A:$N,MATCH($A46,'Ex post LI &amp; Eligibility Stats'!$A:$A,0),MATCH('Program MW '!R$29,'Ex post LI &amp; Eligibility Stats'!$A$8:$N$8,0))/1000)</f>
        <v>0</v>
      </c>
      <c r="T46" s="4"/>
    </row>
    <row r="47" spans="1:26" ht="13.5" thickBot="1">
      <c r="A47" s="188" t="s">
        <v>58</v>
      </c>
      <c r="B47" s="3">
        <f t="shared" ref="B47:Q47" si="13">SUM(B35:B46)</f>
        <v>171782</v>
      </c>
      <c r="C47" s="268">
        <f t="shared" ref="C47:D47" si="14">SUM(C35:C46)</f>
        <v>18.005113389750292</v>
      </c>
      <c r="D47" s="242">
        <f t="shared" si="14"/>
        <v>26.47784</v>
      </c>
      <c r="E47" s="3">
        <f t="shared" si="13"/>
        <v>172707</v>
      </c>
      <c r="F47" s="268">
        <f t="shared" ref="F47:G47" si="15">SUM(F35:F46)</f>
        <v>19.011018703177456</v>
      </c>
      <c r="G47" s="242">
        <f t="shared" si="15"/>
        <v>27.14771</v>
      </c>
      <c r="H47" s="3">
        <f t="shared" si="13"/>
        <v>171977</v>
      </c>
      <c r="I47" s="268">
        <f t="shared" ref="I47:J47" si="16">SUM(I35:I46)</f>
        <v>22.823676010608395</v>
      </c>
      <c r="J47" s="242">
        <f t="shared" si="16"/>
        <v>25.859270000000006</v>
      </c>
      <c r="K47" s="3">
        <f t="shared" si="13"/>
        <v>173438</v>
      </c>
      <c r="L47" s="268">
        <f t="shared" ref="L47:M47" si="17">SUM(L35:L46)</f>
        <v>13.821229058954891</v>
      </c>
      <c r="M47" s="242">
        <f t="shared" si="17"/>
        <v>26.291640000000001</v>
      </c>
      <c r="N47" s="3">
        <f t="shared" si="13"/>
        <v>175740</v>
      </c>
      <c r="O47" s="268">
        <f t="shared" ref="O47:P47" si="18">SUM(O35:O46)</f>
        <v>4.4729287351428706</v>
      </c>
      <c r="P47" s="242">
        <f t="shared" si="18"/>
        <v>23.32667</v>
      </c>
      <c r="Q47" s="3">
        <f t="shared" si="13"/>
        <v>0</v>
      </c>
      <c r="R47" s="268">
        <f t="shared" ref="R47:S47" si="19">SUM(R35:R46)</f>
        <v>0</v>
      </c>
      <c r="S47" s="242">
        <f t="shared" si="19"/>
        <v>0</v>
      </c>
      <c r="T47" s="9"/>
    </row>
    <row r="48" spans="1:26" ht="14.25" thickTop="1" thickBot="1">
      <c r="A48" s="195" t="s">
        <v>59</v>
      </c>
      <c r="B48" s="2">
        <f t="shared" ref="B48:Q48" si="20">+B33+B47</f>
        <v>171786</v>
      </c>
      <c r="C48" s="269">
        <f t="shared" si="20"/>
        <v>18.724508592387011</v>
      </c>
      <c r="D48" s="241">
        <f t="shared" si="20"/>
        <v>28.771704013671876</v>
      </c>
      <c r="E48" s="2">
        <f t="shared" si="20"/>
        <v>172711</v>
      </c>
      <c r="F48" s="269">
        <f t="shared" ref="F48:G48" si="21">+F33+F47</f>
        <v>19.72495339556027</v>
      </c>
      <c r="G48" s="241">
        <f t="shared" si="21"/>
        <v>29.441574013671875</v>
      </c>
      <c r="H48" s="2">
        <f t="shared" si="20"/>
        <v>171981</v>
      </c>
      <c r="I48" s="269">
        <f t="shared" si="20"/>
        <v>23.628849716663083</v>
      </c>
      <c r="J48" s="241">
        <f t="shared" si="20"/>
        <v>28.153134013671881</v>
      </c>
      <c r="K48" s="2">
        <f t="shared" si="20"/>
        <v>173442</v>
      </c>
      <c r="L48" s="269">
        <f t="shared" ref="L48:M48" si="22">+L33+L47</f>
        <v>14.484846307490047</v>
      </c>
      <c r="M48" s="241">
        <f t="shared" si="22"/>
        <v>28.585504013671876</v>
      </c>
      <c r="N48" s="2">
        <f t="shared" si="20"/>
        <v>175744</v>
      </c>
      <c r="O48" s="269">
        <f t="shared" si="20"/>
        <v>5.2421204465686522</v>
      </c>
      <c r="P48" s="241">
        <f t="shared" si="20"/>
        <v>25.620534013671875</v>
      </c>
      <c r="Q48" s="2">
        <f t="shared" si="20"/>
        <v>0</v>
      </c>
      <c r="R48" s="269">
        <f t="shared" ref="R48:S48" si="23">+R33+R47</f>
        <v>0</v>
      </c>
      <c r="S48" s="241">
        <f t="shared" si="23"/>
        <v>0</v>
      </c>
      <c r="T48" s="12"/>
      <c r="U48" s="6"/>
      <c r="V48" s="12"/>
      <c r="W48" s="12"/>
      <c r="X48" s="6"/>
      <c r="Y48" s="12"/>
      <c r="Z48" s="12"/>
    </row>
    <row r="49" spans="1:26" ht="13.5" thickTop="1">
      <c r="A49" s="147"/>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5">
      <c r="A50" s="259" t="s">
        <v>66</v>
      </c>
      <c r="B50" s="196"/>
      <c r="C50" s="196"/>
      <c r="D50" s="196"/>
      <c r="E50" s="425"/>
      <c r="F50" s="197"/>
      <c r="G50" s="196"/>
      <c r="H50" s="197"/>
      <c r="I50" s="196"/>
      <c r="J50" s="196"/>
      <c r="K50" s="196"/>
      <c r="L50" s="196"/>
      <c r="M50" s="196"/>
      <c r="N50" s="196"/>
      <c r="O50" s="196"/>
      <c r="P50" s="198"/>
      <c r="Q50" s="196"/>
      <c r="R50" s="196"/>
      <c r="S50" s="196"/>
      <c r="T50" s="13"/>
      <c r="U50" s="13"/>
      <c r="V50" s="13"/>
      <c r="W50" s="13"/>
      <c r="X50" s="13"/>
      <c r="Y50" s="13"/>
      <c r="Z50" s="13"/>
    </row>
    <row r="51" spans="1:26" ht="33.75" customHeight="1">
      <c r="A51" s="672" t="s">
        <v>67</v>
      </c>
      <c r="B51" s="672"/>
      <c r="C51" s="672"/>
      <c r="D51" s="672"/>
      <c r="E51" s="672"/>
      <c r="F51" s="672"/>
      <c r="G51" s="672"/>
      <c r="H51" s="672"/>
      <c r="I51" s="672"/>
      <c r="J51" s="672"/>
      <c r="K51" s="672"/>
      <c r="L51" s="672"/>
      <c r="M51" s="672"/>
      <c r="N51" s="672"/>
      <c r="O51" s="672"/>
    </row>
    <row r="52" spans="1:26" ht="47.25" customHeight="1">
      <c r="A52" s="672" t="s">
        <v>68</v>
      </c>
      <c r="B52" s="672"/>
      <c r="C52" s="672"/>
      <c r="D52" s="672"/>
      <c r="E52" s="672"/>
      <c r="F52" s="672"/>
      <c r="G52" s="672"/>
      <c r="H52" s="672"/>
      <c r="I52" s="672"/>
      <c r="J52" s="672"/>
      <c r="K52" s="672"/>
      <c r="L52" s="672"/>
      <c r="M52" s="672"/>
      <c r="N52" s="672"/>
      <c r="O52" s="672"/>
      <c r="P52" s="13"/>
      <c r="Q52" s="13"/>
      <c r="R52" s="13"/>
      <c r="S52" s="13"/>
      <c r="T52" s="147"/>
      <c r="U52" s="147"/>
      <c r="V52" s="147"/>
      <c r="W52" s="147"/>
      <c r="X52" s="147"/>
      <c r="Y52" s="147"/>
      <c r="Z52" s="147"/>
    </row>
    <row r="53" spans="1:26" s="153" customFormat="1" ht="18" customHeight="1">
      <c r="A53" s="672" t="s">
        <v>69</v>
      </c>
      <c r="B53" s="672"/>
      <c r="C53" s="672"/>
      <c r="D53" s="672"/>
      <c r="E53" s="672"/>
      <c r="F53" s="672"/>
      <c r="G53" s="672"/>
      <c r="H53" s="672"/>
      <c r="I53" s="672"/>
      <c r="J53" s="672"/>
      <c r="K53" s="672"/>
      <c r="L53" s="672"/>
      <c r="M53" s="672"/>
      <c r="N53" s="672"/>
      <c r="O53" s="672"/>
      <c r="P53" s="422"/>
      <c r="Q53" s="422"/>
      <c r="R53" s="422"/>
      <c r="S53" s="422"/>
      <c r="T53" s="207"/>
      <c r="U53" s="207"/>
      <c r="V53" s="207"/>
      <c r="W53" s="207"/>
      <c r="X53" s="207"/>
      <c r="Y53" s="207"/>
      <c r="Z53" s="207"/>
    </row>
    <row r="54" spans="1:26" s="153" customFormat="1" ht="18" customHeight="1">
      <c r="A54" s="672" t="s">
        <v>70</v>
      </c>
      <c r="B54" s="672"/>
      <c r="C54" s="672"/>
      <c r="D54" s="672"/>
      <c r="E54" s="672"/>
      <c r="F54" s="672"/>
      <c r="G54" s="672"/>
      <c r="H54" s="672"/>
      <c r="I54" s="672"/>
      <c r="J54" s="672"/>
      <c r="K54" s="672"/>
      <c r="L54" s="672"/>
      <c r="M54" s="672"/>
      <c r="N54" s="672"/>
      <c r="O54" s="672"/>
      <c r="P54" s="422"/>
      <c r="Q54" s="422"/>
      <c r="R54" s="422"/>
      <c r="S54" s="422"/>
      <c r="T54" s="207"/>
      <c r="U54" s="207"/>
      <c r="V54" s="207"/>
      <c r="W54" s="207"/>
      <c r="X54" s="207"/>
      <c r="Y54" s="207"/>
      <c r="Z54" s="207"/>
    </row>
    <row r="55" spans="1:26" ht="14.25">
      <c r="A55" s="492" t="s">
        <v>71</v>
      </c>
      <c r="B55" s="203"/>
      <c r="C55" s="203"/>
      <c r="D55" s="203"/>
      <c r="E55" s="203"/>
      <c r="F55" s="203"/>
      <c r="G55" s="203"/>
      <c r="H55" s="203"/>
      <c r="I55" s="203"/>
      <c r="J55" s="203"/>
      <c r="K55" s="203"/>
      <c r="L55" s="203"/>
      <c r="M55" s="203"/>
      <c r="N55" s="203"/>
      <c r="O55" s="474"/>
    </row>
    <row r="56" spans="1:26" ht="14.25">
      <c r="A56" s="492" t="s">
        <v>72</v>
      </c>
      <c r="B56" s="203"/>
      <c r="C56" s="203"/>
      <c r="D56" s="203"/>
      <c r="E56" s="203"/>
      <c r="F56" s="203"/>
      <c r="G56" s="203"/>
      <c r="H56" s="203"/>
      <c r="I56" s="203"/>
      <c r="J56" s="203"/>
      <c r="K56" s="203"/>
      <c r="L56" s="203"/>
      <c r="M56" s="203"/>
      <c r="N56" s="203"/>
      <c r="O56" s="474"/>
    </row>
    <row r="57" spans="1:26" ht="15">
      <c r="A57" s="243" t="s">
        <v>73</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19" zoomScaleNormal="100" zoomScaleSheetLayoutView="100" workbookViewId="0">
      <selection activeCell="E11" sqref="E11"/>
    </sheetView>
  </sheetViews>
  <sheetFormatPr defaultColWidth="9.28515625" defaultRowHeight="12.75"/>
  <cols>
    <col min="1" max="1" width="33.5703125" customWidth="1"/>
    <col min="2" max="2" width="9" customWidth="1"/>
    <col min="3" max="3" width="10.42578125" customWidth="1"/>
    <col min="4" max="4" width="9" customWidth="1"/>
    <col min="5" max="9" width="10.5703125" customWidth="1"/>
    <col min="10" max="10" width="11.5703125" customWidth="1"/>
    <col min="11" max="11" width="10.5703125" customWidth="1"/>
    <col min="12" max="12" width="10.7109375" customWidth="1"/>
    <col min="13" max="13" width="10.28515625" customWidth="1"/>
    <col min="14" max="14" width="18.7109375" style="154" customWidth="1"/>
    <col min="15" max="15" width="149.5703125" customWidth="1"/>
  </cols>
  <sheetData>
    <row r="2" spans="1:16">
      <c r="A2" s="38"/>
      <c r="H2" s="149" t="s">
        <v>39</v>
      </c>
      <c r="N2" s="381"/>
    </row>
    <row r="3" spans="1:16">
      <c r="E3" s="382"/>
      <c r="H3" s="152" t="str">
        <f>'Program MW '!H3</f>
        <v>November 2020</v>
      </c>
      <c r="N3" s="381"/>
    </row>
    <row r="4" spans="1:16">
      <c r="E4" s="151"/>
      <c r="F4" s="151"/>
      <c r="G4" s="151"/>
      <c r="I4" s="151"/>
      <c r="N4" s="381"/>
    </row>
    <row r="5" spans="1:16">
      <c r="B5" s="151"/>
      <c r="C5" s="151"/>
      <c r="D5" s="151"/>
      <c r="F5" s="150"/>
      <c r="N5" s="381"/>
      <c r="O5" s="41"/>
    </row>
    <row r="6" spans="1:16">
      <c r="F6" s="150"/>
      <c r="N6" s="381"/>
    </row>
    <row r="7" spans="1:16" ht="13.5" customHeight="1">
      <c r="A7" s="673" t="s">
        <v>74</v>
      </c>
      <c r="B7" s="674"/>
      <c r="C7" s="674"/>
      <c r="D7" s="674"/>
      <c r="E7" s="674"/>
      <c r="F7" s="674"/>
      <c r="G7" s="674"/>
      <c r="H7" s="674"/>
      <c r="I7" s="674"/>
      <c r="J7" s="674"/>
      <c r="K7" s="674"/>
      <c r="L7" s="674"/>
      <c r="M7" s="674"/>
      <c r="N7" s="675"/>
      <c r="O7" s="424"/>
    </row>
    <row r="8" spans="1:16" ht="38.25" customHeight="1">
      <c r="A8" s="40" t="s">
        <v>1</v>
      </c>
      <c r="B8" s="473" t="s">
        <v>41</v>
      </c>
      <c r="C8" s="473" t="s">
        <v>42</v>
      </c>
      <c r="D8" s="473" t="s">
        <v>43</v>
      </c>
      <c r="E8" s="473" t="s">
        <v>44</v>
      </c>
      <c r="F8" s="473" t="s">
        <v>31</v>
      </c>
      <c r="G8" s="473" t="s">
        <v>45</v>
      </c>
      <c r="H8" s="473" t="s">
        <v>60</v>
      </c>
      <c r="I8" s="473" t="s">
        <v>75</v>
      </c>
      <c r="J8" s="473" t="s">
        <v>76</v>
      </c>
      <c r="K8" s="473" t="s">
        <v>62</v>
      </c>
      <c r="L8" s="473" t="s">
        <v>77</v>
      </c>
      <c r="M8" s="473" t="s">
        <v>63</v>
      </c>
      <c r="N8" s="471" t="s">
        <v>78</v>
      </c>
      <c r="O8" s="287" t="s">
        <v>79</v>
      </c>
    </row>
    <row r="9" spans="1:16" ht="75.75" customHeight="1">
      <c r="A9" s="477" t="s">
        <v>8</v>
      </c>
      <c r="B9" s="478">
        <v>162.31</v>
      </c>
      <c r="C9" s="478">
        <v>108.46</v>
      </c>
      <c r="D9" s="478">
        <v>180.98283386230469</v>
      </c>
      <c r="E9" s="478">
        <v>161.99583435058594</v>
      </c>
      <c r="F9" s="478">
        <v>155.74085998535156</v>
      </c>
      <c r="G9" s="478">
        <v>192.36225891113281</v>
      </c>
      <c r="H9" s="478">
        <v>179.84880065917969</v>
      </c>
      <c r="I9" s="478">
        <v>178.48367309570313</v>
      </c>
      <c r="J9" s="478">
        <v>201.29342651367188</v>
      </c>
      <c r="K9" s="478">
        <v>165.90431213378906</v>
      </c>
      <c r="L9" s="478">
        <v>192.29792785644531</v>
      </c>
      <c r="M9" s="478">
        <v>120.63761901855469</v>
      </c>
      <c r="N9" s="479">
        <v>5432</v>
      </c>
      <c r="O9" s="478">
        <v>192.29792785644531</v>
      </c>
      <c r="P9" s="478">
        <v>120.63761901855469</v>
      </c>
    </row>
    <row r="10" spans="1:16" ht="75.75" customHeight="1">
      <c r="A10" s="480" t="s">
        <v>11</v>
      </c>
      <c r="B10" s="481">
        <v>0</v>
      </c>
      <c r="C10" s="481">
        <v>0</v>
      </c>
      <c r="D10" s="478">
        <v>0.14194809999999999</v>
      </c>
      <c r="E10" s="478">
        <v>0.13864950000000001</v>
      </c>
      <c r="F10" s="478">
        <v>0.13789029999999999</v>
      </c>
      <c r="G10" s="478">
        <v>0.13834830000000001</v>
      </c>
      <c r="H10" s="478">
        <v>0.27215230000000001</v>
      </c>
      <c r="I10" s="478">
        <v>0.1538371</v>
      </c>
      <c r="J10" s="478">
        <v>0.36014620000000003</v>
      </c>
      <c r="K10" s="478">
        <v>5.8280699999999998E-2</v>
      </c>
      <c r="L10" s="478">
        <v>0.1392467</v>
      </c>
      <c r="M10" s="478">
        <v>0.14194809999999999</v>
      </c>
      <c r="N10" s="482">
        <v>25707</v>
      </c>
      <c r="O10" s="464" t="s">
        <v>80</v>
      </c>
    </row>
    <row r="11" spans="1:16" ht="75.75" customHeight="1">
      <c r="A11" s="480" t="s">
        <v>17</v>
      </c>
      <c r="B11" s="481">
        <v>0</v>
      </c>
      <c r="C11" s="481">
        <v>0</v>
      </c>
      <c r="D11" s="478">
        <v>4.2860883695539087E-5</v>
      </c>
      <c r="E11" s="478">
        <v>8.4224827587604523E-2</v>
      </c>
      <c r="F11" s="478">
        <v>0.13438957929611206</v>
      </c>
      <c r="G11" s="478">
        <v>0.1173381507396698</v>
      </c>
      <c r="H11" s="478">
        <v>0.226332888007164</v>
      </c>
      <c r="I11" s="478">
        <v>0.30583557486534119</v>
      </c>
      <c r="J11" s="478">
        <v>0.37461391091346741</v>
      </c>
      <c r="K11" s="478">
        <v>0.2077384740114212</v>
      </c>
      <c r="L11" s="478">
        <v>2.7512801811099052E-2</v>
      </c>
      <c r="M11" s="478">
        <v>5.2312357183836866E-6</v>
      </c>
      <c r="N11" s="483">
        <v>718570</v>
      </c>
      <c r="O11" s="464" t="s">
        <v>81</v>
      </c>
    </row>
    <row r="12" spans="1:16" ht="75.75" customHeight="1">
      <c r="A12" s="480" t="s">
        <v>20</v>
      </c>
      <c r="B12" s="481">
        <v>0</v>
      </c>
      <c r="C12" s="481">
        <v>0</v>
      </c>
      <c r="D12" s="478">
        <v>1.7975203227251768E-3</v>
      </c>
      <c r="E12" s="478">
        <v>0.19116482138633728</v>
      </c>
      <c r="F12" s="478">
        <v>0.27700892090797424</v>
      </c>
      <c r="G12" s="478">
        <v>0.25767529010772705</v>
      </c>
      <c r="H12" s="478">
        <v>0.44397249817848206</v>
      </c>
      <c r="I12" s="478">
        <v>0.5556635856628418</v>
      </c>
      <c r="J12" s="478">
        <v>0.62934333086013794</v>
      </c>
      <c r="K12" s="478">
        <v>0.39233207702636719</v>
      </c>
      <c r="L12" s="478">
        <v>7.7378332614898682E-2</v>
      </c>
      <c r="M12" s="478">
        <v>1.5116055146791041E-4</v>
      </c>
      <c r="N12" s="483">
        <v>133178</v>
      </c>
      <c r="O12" s="464" t="s">
        <v>82</v>
      </c>
    </row>
    <row r="13" spans="1:16" ht="75.75" customHeight="1">
      <c r="A13" s="480" t="s">
        <v>21</v>
      </c>
      <c r="B13" s="484">
        <v>0</v>
      </c>
      <c r="C13" s="484">
        <v>0</v>
      </c>
      <c r="D13" s="478">
        <v>0</v>
      </c>
      <c r="E13" s="478">
        <v>0</v>
      </c>
      <c r="F13" s="478">
        <v>3.3419200000000003E-2</v>
      </c>
      <c r="G13" s="478">
        <v>2.9521E-3</v>
      </c>
      <c r="H13" s="478">
        <v>0.15266479999999999</v>
      </c>
      <c r="I13" s="478">
        <v>0.23155020000000001</v>
      </c>
      <c r="J13" s="478">
        <v>0.28352430000000001</v>
      </c>
      <c r="K13" s="478">
        <v>0.152222</v>
      </c>
      <c r="L13" s="478">
        <v>0</v>
      </c>
      <c r="M13" s="478">
        <v>0</v>
      </c>
      <c r="N13" s="483">
        <v>718570</v>
      </c>
      <c r="O13" s="464" t="s">
        <v>83</v>
      </c>
    </row>
    <row r="14" spans="1:16" ht="75.75" customHeight="1">
      <c r="A14" s="480" t="s">
        <v>23</v>
      </c>
      <c r="B14" s="484">
        <v>0</v>
      </c>
      <c r="C14" s="484">
        <v>0</v>
      </c>
      <c r="D14" s="478">
        <v>0</v>
      </c>
      <c r="E14" s="478">
        <v>5.43369E-2</v>
      </c>
      <c r="F14" s="478">
        <v>7.7479800000000001E-2</v>
      </c>
      <c r="G14" s="478">
        <v>5.96362E-2</v>
      </c>
      <c r="H14" s="478">
        <v>0.122186</v>
      </c>
      <c r="I14" s="478">
        <v>0.14931810000000001</v>
      </c>
      <c r="J14" s="478">
        <v>0.17929719999999999</v>
      </c>
      <c r="K14" s="478">
        <v>0.1209597</v>
      </c>
      <c r="L14" s="478">
        <v>0</v>
      </c>
      <c r="M14" s="478">
        <v>0</v>
      </c>
      <c r="N14" s="483">
        <v>133178</v>
      </c>
      <c r="O14" s="464" t="s">
        <v>84</v>
      </c>
    </row>
    <row r="15" spans="1:16" ht="75.75" customHeight="1">
      <c r="A15" s="480" t="s">
        <v>24</v>
      </c>
      <c r="B15" s="484">
        <v>0</v>
      </c>
      <c r="C15" s="484">
        <v>0</v>
      </c>
      <c r="D15" s="478">
        <v>0</v>
      </c>
      <c r="E15" s="478">
        <v>0</v>
      </c>
      <c r="F15" s="478">
        <v>18.7</v>
      </c>
      <c r="G15" s="478">
        <v>18.964878354203936</v>
      </c>
      <c r="H15" s="478">
        <v>18.703567799642219</v>
      </c>
      <c r="I15" s="478">
        <v>18.703567799642219</v>
      </c>
      <c r="J15" s="478">
        <v>18.703567799642219</v>
      </c>
      <c r="K15" s="478">
        <v>18.703567799642219</v>
      </c>
      <c r="L15" s="478">
        <v>0</v>
      </c>
      <c r="M15" s="478">
        <v>0</v>
      </c>
      <c r="N15" s="482">
        <v>15648</v>
      </c>
      <c r="O15" s="464" t="s">
        <v>85</v>
      </c>
    </row>
    <row r="16" spans="1:16" ht="75.75" customHeight="1">
      <c r="A16" s="480" t="s">
        <v>25</v>
      </c>
      <c r="B16" s="484">
        <v>0</v>
      </c>
      <c r="C16" s="484">
        <v>0</v>
      </c>
      <c r="D16" s="478">
        <v>0</v>
      </c>
      <c r="E16" s="478">
        <v>0</v>
      </c>
      <c r="F16" s="478">
        <v>17.017444903058085</v>
      </c>
      <c r="G16" s="478">
        <v>17.017444903058085</v>
      </c>
      <c r="H16" s="478">
        <v>17.017444903058085</v>
      </c>
      <c r="I16" s="478">
        <v>17.017444903058085</v>
      </c>
      <c r="J16" s="478">
        <v>17.017444903058085</v>
      </c>
      <c r="K16" s="478">
        <v>17.017444903058085</v>
      </c>
      <c r="L16" s="478">
        <v>0</v>
      </c>
      <c r="M16" s="478">
        <v>0</v>
      </c>
      <c r="N16" s="482">
        <v>972</v>
      </c>
      <c r="O16" s="464" t="s">
        <v>85</v>
      </c>
    </row>
    <row r="17" spans="1:15" ht="75.75" customHeight="1">
      <c r="A17" s="480" t="s">
        <v>27</v>
      </c>
      <c r="B17" s="481">
        <v>0.04</v>
      </c>
      <c r="C17" s="481">
        <v>0.04</v>
      </c>
      <c r="D17" s="478">
        <v>1.2769445776939392E-2</v>
      </c>
      <c r="E17" s="478">
        <v>1.2058593332767487E-2</v>
      </c>
      <c r="F17" s="478">
        <v>1.969686895608902E-2</v>
      </c>
      <c r="G17" s="478">
        <v>0.16704349219799042</v>
      </c>
      <c r="H17" s="478">
        <v>0.19209551438689232</v>
      </c>
      <c r="I17" s="478">
        <v>0.20427533239126205</v>
      </c>
      <c r="J17" s="478">
        <v>0.21263467520475388</v>
      </c>
      <c r="K17" s="478">
        <v>0.18562242016196251</v>
      </c>
      <c r="L17" s="478">
        <v>2.9788941144943237E-2</v>
      </c>
      <c r="M17" s="478">
        <v>4.4293880462646484E-2</v>
      </c>
      <c r="N17" s="482">
        <v>1278202</v>
      </c>
      <c r="O17" s="464" t="s">
        <v>86</v>
      </c>
    </row>
    <row r="18" spans="1:15" ht="160.5" customHeight="1">
      <c r="A18" s="480" t="s">
        <v>26</v>
      </c>
      <c r="B18" s="481">
        <v>0.01</v>
      </c>
      <c r="C18" s="481">
        <v>0.01</v>
      </c>
      <c r="D18" s="478">
        <v>1.1465738527476788E-2</v>
      </c>
      <c r="E18" s="478">
        <v>1.3987943530082703E-2</v>
      </c>
      <c r="F18" s="478">
        <v>1.4786232262849808E-2</v>
      </c>
      <c r="G18" s="478">
        <v>1.5152087435126305E-2</v>
      </c>
      <c r="H18" s="478">
        <v>1.6949338838458061E-2</v>
      </c>
      <c r="I18" s="478">
        <v>1.7762394621968269E-2</v>
      </c>
      <c r="J18" s="478">
        <v>1.707758940756321E-2</v>
      </c>
      <c r="K18" s="478">
        <v>1.5507201664149761E-2</v>
      </c>
      <c r="L18" s="478">
        <v>1.2745589949190617E-2</v>
      </c>
      <c r="M18" s="478">
        <v>1.1460551060736179E-2</v>
      </c>
      <c r="N18" s="482">
        <v>119606</v>
      </c>
      <c r="O18" s="464" t="s">
        <v>87</v>
      </c>
    </row>
    <row r="19" spans="1:15" ht="51">
      <c r="A19" s="480" t="s">
        <v>56</v>
      </c>
      <c r="B19" s="481">
        <v>0</v>
      </c>
      <c r="C19" s="481">
        <v>0</v>
      </c>
      <c r="D19" s="478">
        <v>7.2695836424827576E-3</v>
      </c>
      <c r="E19" s="478">
        <v>3.580629825592041E-2</v>
      </c>
      <c r="F19" s="478">
        <v>4.6173933893442154E-2</v>
      </c>
      <c r="G19" s="478">
        <v>4.6004347503185272E-2</v>
      </c>
      <c r="H19" s="478">
        <v>6.6882669925689697E-2</v>
      </c>
      <c r="I19" s="478">
        <v>7.7819600701332092E-2</v>
      </c>
      <c r="J19" s="478">
        <v>7.6827466487884521E-2</v>
      </c>
      <c r="K19" s="478">
        <v>5.6665807962417603E-2</v>
      </c>
      <c r="L19" s="478">
        <v>2.0815497264266014E-2</v>
      </c>
      <c r="M19" s="478">
        <v>7.0209093391895294E-3</v>
      </c>
      <c r="N19" s="482">
        <v>2795</v>
      </c>
      <c r="O19" s="464" t="s">
        <v>88</v>
      </c>
    </row>
    <row r="20" spans="1:15" ht="51" customHeight="1">
      <c r="A20" s="477" t="s">
        <v>55</v>
      </c>
      <c r="B20" s="481">
        <v>0</v>
      </c>
      <c r="C20" s="481">
        <v>0</v>
      </c>
      <c r="D20" s="478">
        <v>0</v>
      </c>
      <c r="E20" s="478">
        <v>0</v>
      </c>
      <c r="F20" s="478">
        <v>13.16</v>
      </c>
      <c r="G20" s="478">
        <v>13.16</v>
      </c>
      <c r="H20" s="478">
        <v>13.16</v>
      </c>
      <c r="I20" s="478">
        <v>13.16</v>
      </c>
      <c r="J20" s="478">
        <v>13.16</v>
      </c>
      <c r="K20" s="478">
        <v>13.16</v>
      </c>
      <c r="L20" s="478">
        <v>0</v>
      </c>
      <c r="M20" s="478">
        <v>0</v>
      </c>
      <c r="N20" s="488">
        <v>3</v>
      </c>
      <c r="O20" s="464" t="s">
        <v>89</v>
      </c>
    </row>
    <row r="21" spans="1:15">
      <c r="A21" s="522"/>
      <c r="B21" s="523"/>
      <c r="C21" s="523"/>
      <c r="D21" s="523"/>
      <c r="E21" s="523"/>
      <c r="F21" s="523"/>
      <c r="G21" s="523"/>
      <c r="H21" s="523"/>
      <c r="I21" s="523"/>
      <c r="J21" s="523"/>
      <c r="K21" s="523"/>
      <c r="L21" s="523"/>
      <c r="M21" s="523"/>
      <c r="N21" s="525"/>
      <c r="O21" s="470"/>
    </row>
    <row r="22" spans="1:15" ht="15">
      <c r="A22" s="260" t="s">
        <v>66</v>
      </c>
      <c r="B22" s="383"/>
      <c r="C22" s="383"/>
      <c r="D22" s="383"/>
      <c r="E22" s="383"/>
      <c r="F22" s="384"/>
      <c r="G22" s="383"/>
      <c r="H22" s="384"/>
      <c r="I22" s="383"/>
      <c r="J22" s="383"/>
      <c r="K22" s="383"/>
      <c r="L22" s="383"/>
      <c r="M22" s="383"/>
      <c r="N22" s="381"/>
      <c r="O22" s="383"/>
    </row>
    <row r="23" spans="1:15" ht="18" customHeight="1">
      <c r="A23" s="672" t="s">
        <v>90</v>
      </c>
      <c r="B23" s="672"/>
      <c r="C23" s="672"/>
      <c r="D23" s="672"/>
      <c r="E23" s="672"/>
      <c r="F23" s="672"/>
      <c r="G23" s="672"/>
      <c r="H23" s="672"/>
      <c r="I23" s="672"/>
      <c r="J23" s="672"/>
      <c r="K23" s="672"/>
      <c r="L23" s="672"/>
      <c r="M23" s="672"/>
      <c r="N23" s="672"/>
      <c r="O23" s="672"/>
    </row>
    <row r="24" spans="1:15" ht="14.25">
      <c r="A24" s="676" t="s">
        <v>91</v>
      </c>
      <c r="B24" s="677"/>
      <c r="C24" s="677"/>
      <c r="D24" s="677"/>
      <c r="E24" s="677"/>
      <c r="F24" s="677"/>
      <c r="G24" s="677"/>
      <c r="H24" s="677"/>
      <c r="I24" s="677"/>
      <c r="J24" s="677"/>
      <c r="K24" s="677"/>
      <c r="L24" s="677"/>
      <c r="M24" s="677"/>
      <c r="N24" s="677"/>
      <c r="O24" s="677"/>
    </row>
    <row r="25" spans="1:15" ht="14.25">
      <c r="A25" s="676" t="s">
        <v>92</v>
      </c>
      <c r="B25" s="677"/>
      <c r="C25" s="677"/>
      <c r="D25" s="677"/>
      <c r="E25" s="677"/>
      <c r="F25" s="677"/>
      <c r="G25" s="677"/>
      <c r="H25" s="677"/>
      <c r="I25" s="677"/>
      <c r="J25" s="677"/>
      <c r="K25" s="677"/>
      <c r="L25" s="677"/>
      <c r="M25" s="677"/>
      <c r="N25" s="677"/>
      <c r="O25" s="466"/>
    </row>
    <row r="26" spans="1:15" ht="14.25">
      <c r="A26" s="475" t="s">
        <v>93</v>
      </c>
      <c r="B26" s="466"/>
      <c r="C26" s="466"/>
      <c r="D26" s="466"/>
      <c r="E26" s="466"/>
      <c r="F26" s="466"/>
      <c r="N26"/>
    </row>
    <row r="27" spans="1:15" s="151" customFormat="1" ht="14.25">
      <c r="A27" s="476" t="s">
        <v>94</v>
      </c>
      <c r="B27" s="466"/>
      <c r="C27" s="466"/>
      <c r="D27" s="466"/>
      <c r="E27" s="466"/>
      <c r="F27" s="466"/>
      <c r="G27" s="466"/>
      <c r="H27" s="466"/>
      <c r="I27" s="466"/>
      <c r="J27" s="466"/>
      <c r="K27" s="466"/>
      <c r="L27" s="466"/>
      <c r="M27" s="466"/>
      <c r="N27" s="466"/>
      <c r="O27" s="466"/>
    </row>
    <row r="28" spans="1:15" ht="14.25">
      <c r="A28" s="678" t="s">
        <v>95</v>
      </c>
      <c r="B28" s="679"/>
      <c r="C28" s="679"/>
      <c r="D28" s="679"/>
      <c r="E28" s="679"/>
      <c r="F28" s="679"/>
      <c r="G28" s="679"/>
      <c r="H28" s="679"/>
      <c r="I28" s="679"/>
      <c r="J28" s="679"/>
      <c r="K28" s="679"/>
      <c r="L28" s="679"/>
      <c r="M28" s="679"/>
      <c r="N28" s="679"/>
      <c r="O28" s="485" t="s">
        <v>96</v>
      </c>
    </row>
    <row r="29" spans="1:15" ht="14.25">
      <c r="A29" s="563"/>
      <c r="B29" s="489"/>
      <c r="C29" s="489"/>
      <c r="D29" s="489"/>
      <c r="E29" s="489"/>
      <c r="F29" s="489"/>
      <c r="G29" s="489"/>
      <c r="H29" s="489"/>
      <c r="I29" s="489"/>
      <c r="J29" s="489"/>
      <c r="K29" s="489"/>
      <c r="L29" s="489"/>
      <c r="M29" s="489"/>
      <c r="N29" s="489"/>
      <c r="O29" s="489"/>
    </row>
    <row r="30" spans="1:15" ht="15">
      <c r="A30" s="243" t="s">
        <v>73</v>
      </c>
      <c r="N30" s="381"/>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topLeftCell="A19" zoomScaleNormal="100" zoomScaleSheetLayoutView="100" workbookViewId="0">
      <selection activeCell="A14" sqref="A14"/>
    </sheetView>
  </sheetViews>
  <sheetFormatPr defaultColWidth="9.28515625" defaultRowHeight="40.5" customHeight="1"/>
  <cols>
    <col min="1" max="1" width="35" customWidth="1"/>
    <col min="2" max="9" width="10.7109375" customWidth="1"/>
    <col min="10" max="10" width="11.42578125" customWidth="1"/>
    <col min="11" max="13" width="10.7109375" customWidth="1"/>
    <col min="14" max="14" width="14.28515625" style="205" bestFit="1" customWidth="1"/>
    <col min="15" max="15" width="149.5703125" customWidth="1"/>
  </cols>
  <sheetData>
    <row r="1" spans="1:16" ht="12.75">
      <c r="N1" s="385"/>
    </row>
    <row r="2" spans="1:16" ht="12.75">
      <c r="H2" s="149" t="s">
        <v>39</v>
      </c>
      <c r="N2" s="385"/>
    </row>
    <row r="3" spans="1:16" ht="12.75">
      <c r="H3" s="202" t="str">
        <f>'Program MW '!H3</f>
        <v>November 2020</v>
      </c>
      <c r="N3" s="385"/>
    </row>
    <row r="4" spans="1:16" ht="12.75">
      <c r="F4" s="151"/>
      <c r="G4" s="151"/>
      <c r="I4" s="151"/>
      <c r="N4" s="385"/>
      <c r="O4" s="41"/>
    </row>
    <row r="5" spans="1:16" ht="12.75">
      <c r="B5" s="151"/>
      <c r="C5" s="151"/>
      <c r="D5" s="151"/>
      <c r="F5" s="149"/>
      <c r="N5" s="385"/>
    </row>
    <row r="6" spans="1:16" ht="12.75">
      <c r="F6" s="149"/>
      <c r="N6" s="385"/>
    </row>
    <row r="7" spans="1:16" ht="22.5" customHeight="1">
      <c r="A7" s="680" t="s">
        <v>97</v>
      </c>
      <c r="B7" s="681"/>
      <c r="C7" s="681"/>
      <c r="D7" s="681"/>
      <c r="E7" s="681"/>
      <c r="F7" s="681"/>
      <c r="G7" s="681"/>
      <c r="H7" s="681"/>
      <c r="I7" s="681"/>
      <c r="J7" s="681"/>
      <c r="K7" s="681"/>
      <c r="L7" s="681"/>
      <c r="M7" s="681"/>
      <c r="N7" s="682"/>
      <c r="O7" s="39"/>
    </row>
    <row r="8" spans="1:16" ht="40.5" customHeight="1">
      <c r="A8" s="40" t="s">
        <v>1</v>
      </c>
      <c r="B8" s="473" t="s">
        <v>41</v>
      </c>
      <c r="C8" s="473" t="s">
        <v>42</v>
      </c>
      <c r="D8" s="473" t="s">
        <v>43</v>
      </c>
      <c r="E8" s="473" t="s">
        <v>44</v>
      </c>
      <c r="F8" s="473" t="s">
        <v>31</v>
      </c>
      <c r="G8" s="473" t="s">
        <v>45</v>
      </c>
      <c r="H8" s="473" t="s">
        <v>60</v>
      </c>
      <c r="I8" s="473" t="s">
        <v>75</v>
      </c>
      <c r="J8" s="473" t="s">
        <v>76</v>
      </c>
      <c r="K8" s="473" t="s">
        <v>62</v>
      </c>
      <c r="L8" s="473" t="s">
        <v>77</v>
      </c>
      <c r="M8" s="473" t="s">
        <v>63</v>
      </c>
      <c r="N8" s="472" t="str">
        <f>'Ex ante LI &amp; Eligibility Stats'!N8:N8</f>
        <v>Eligible Accounts as of January</v>
      </c>
      <c r="O8" s="287" t="s">
        <v>79</v>
      </c>
    </row>
    <row r="9" spans="1:16" ht="75.75" customHeight="1">
      <c r="A9" s="477" t="s">
        <v>8</v>
      </c>
      <c r="B9" s="478">
        <v>378.93</v>
      </c>
      <c r="C9" s="478">
        <v>378.93</v>
      </c>
      <c r="D9" s="478">
        <v>573.46600341796875</v>
      </c>
      <c r="E9" s="478">
        <v>573.46600341796875</v>
      </c>
      <c r="F9" s="478">
        <v>573.46600341796875</v>
      </c>
      <c r="G9" s="478">
        <v>573.46600341796875</v>
      </c>
      <c r="H9" s="478">
        <v>573.46600341796875</v>
      </c>
      <c r="I9" s="478">
        <v>573.46600341796875</v>
      </c>
      <c r="J9" s="478">
        <v>573.46600341796875</v>
      </c>
      <c r="K9" s="478">
        <v>573.46600341796875</v>
      </c>
      <c r="L9" s="478">
        <v>573.46600341796875</v>
      </c>
      <c r="M9" s="478">
        <v>573.46600341796875</v>
      </c>
      <c r="N9" s="486">
        <v>5432</v>
      </c>
      <c r="O9" s="478">
        <v>573.46600341796875</v>
      </c>
      <c r="P9" s="478">
        <v>573.46600341796875</v>
      </c>
    </row>
    <row r="10" spans="1:16" ht="75.75" customHeight="1">
      <c r="A10" s="480" t="s">
        <v>11</v>
      </c>
      <c r="B10" s="481">
        <v>0.73</v>
      </c>
      <c r="C10" s="481">
        <v>0.73</v>
      </c>
      <c r="D10" s="478">
        <v>0.73</v>
      </c>
      <c r="E10" s="478">
        <v>0.73</v>
      </c>
      <c r="F10" s="478">
        <v>0.73</v>
      </c>
      <c r="G10" s="478">
        <v>0.73</v>
      </c>
      <c r="H10" s="478">
        <v>0.73</v>
      </c>
      <c r="I10" s="478">
        <v>0.73</v>
      </c>
      <c r="J10" s="478">
        <v>0.73</v>
      </c>
      <c r="K10" s="478">
        <v>0.73</v>
      </c>
      <c r="L10" s="478">
        <v>0.73</v>
      </c>
      <c r="M10" s="478">
        <v>0.73</v>
      </c>
      <c r="N10" s="483">
        <v>25707</v>
      </c>
      <c r="O10" s="288"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80" t="s">
        <v>17</v>
      </c>
      <c r="B11" s="481">
        <v>0.16</v>
      </c>
      <c r="C11" s="481">
        <v>0.16</v>
      </c>
      <c r="D11" s="478">
        <v>0.22</v>
      </c>
      <c r="E11" s="478">
        <v>0.22</v>
      </c>
      <c r="F11" s="478">
        <v>0.22</v>
      </c>
      <c r="G11" s="478">
        <v>0.22</v>
      </c>
      <c r="H11" s="478">
        <v>0.22</v>
      </c>
      <c r="I11" s="478">
        <v>0.22</v>
      </c>
      <c r="J11" s="478">
        <v>0.22</v>
      </c>
      <c r="K11" s="478">
        <v>0.22</v>
      </c>
      <c r="L11" s="478">
        <v>0.22</v>
      </c>
      <c r="M11" s="478">
        <v>0.22</v>
      </c>
      <c r="N11" s="483">
        <v>718570</v>
      </c>
      <c r="O11" s="288"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6" ht="75.75" customHeight="1">
      <c r="A12" s="480" t="s">
        <v>20</v>
      </c>
      <c r="B12" s="481">
        <v>0.47</v>
      </c>
      <c r="C12" s="481">
        <v>0.47</v>
      </c>
      <c r="D12" s="478">
        <v>0.36</v>
      </c>
      <c r="E12" s="478">
        <v>0.36</v>
      </c>
      <c r="F12" s="478">
        <v>0.36</v>
      </c>
      <c r="G12" s="478">
        <v>0.36</v>
      </c>
      <c r="H12" s="478">
        <v>0.36</v>
      </c>
      <c r="I12" s="478">
        <v>0.36</v>
      </c>
      <c r="J12" s="478">
        <v>0.36</v>
      </c>
      <c r="K12" s="478">
        <v>0.36</v>
      </c>
      <c r="L12" s="478">
        <v>0.36</v>
      </c>
      <c r="M12" s="478">
        <v>0.36</v>
      </c>
      <c r="N12" s="483">
        <v>133178</v>
      </c>
      <c r="O12" s="288"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80" t="s">
        <v>21</v>
      </c>
      <c r="B13" s="481">
        <v>0.25</v>
      </c>
      <c r="C13" s="481">
        <v>0.25</v>
      </c>
      <c r="D13" s="478">
        <v>0.11</v>
      </c>
      <c r="E13" s="478">
        <v>0.11</v>
      </c>
      <c r="F13" s="478">
        <v>0.11</v>
      </c>
      <c r="G13" s="478">
        <v>0.11</v>
      </c>
      <c r="H13" s="478">
        <v>0.11</v>
      </c>
      <c r="I13" s="478">
        <v>0.11</v>
      </c>
      <c r="J13" s="478">
        <v>0.11</v>
      </c>
      <c r="K13" s="478">
        <v>0.11</v>
      </c>
      <c r="L13" s="478">
        <v>0.11</v>
      </c>
      <c r="M13" s="478">
        <v>0.11</v>
      </c>
      <c r="N13" s="483">
        <v>718570</v>
      </c>
      <c r="O13" s="288"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6" ht="75.75" customHeight="1">
      <c r="A14" s="480" t="s">
        <v>23</v>
      </c>
      <c r="B14" s="481">
        <v>0.12</v>
      </c>
      <c r="C14" s="481">
        <v>0.12</v>
      </c>
      <c r="D14" s="478">
        <v>0.09</v>
      </c>
      <c r="E14" s="478">
        <v>0.09</v>
      </c>
      <c r="F14" s="478">
        <v>0.09</v>
      </c>
      <c r="G14" s="478">
        <v>0.09</v>
      </c>
      <c r="H14" s="478">
        <v>0.09</v>
      </c>
      <c r="I14" s="478">
        <v>0.09</v>
      </c>
      <c r="J14" s="478">
        <v>0.09</v>
      </c>
      <c r="K14" s="478">
        <v>0.09</v>
      </c>
      <c r="L14" s="478">
        <v>0.09</v>
      </c>
      <c r="M14" s="478">
        <v>0.09</v>
      </c>
      <c r="N14" s="483">
        <v>133178</v>
      </c>
      <c r="O14" s="288"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6" ht="75.75" customHeight="1">
      <c r="A15" s="480" t="s">
        <v>24</v>
      </c>
      <c r="B15" s="481">
        <v>6.95</v>
      </c>
      <c r="C15" s="481">
        <v>6.95</v>
      </c>
      <c r="D15" s="478">
        <v>26.3</v>
      </c>
      <c r="E15" s="478">
        <v>26.3</v>
      </c>
      <c r="F15" s="478">
        <v>26.3</v>
      </c>
      <c r="G15" s="478">
        <v>26.3</v>
      </c>
      <c r="H15" s="478">
        <v>26.3</v>
      </c>
      <c r="I15" s="478">
        <v>26.3</v>
      </c>
      <c r="J15" s="478">
        <v>26.3</v>
      </c>
      <c r="K15" s="478">
        <v>26.3</v>
      </c>
      <c r="L15" s="478">
        <v>26.3</v>
      </c>
      <c r="M15" s="478">
        <v>26.3</v>
      </c>
      <c r="N15" s="483">
        <v>15648</v>
      </c>
      <c r="O15" s="288"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480" t="s">
        <v>25</v>
      </c>
      <c r="B16" s="487">
        <v>18.59</v>
      </c>
      <c r="C16" s="487">
        <v>18.59</v>
      </c>
      <c r="D16" s="478">
        <v>19.600000000000001</v>
      </c>
      <c r="E16" s="478">
        <v>19.600000000000001</v>
      </c>
      <c r="F16" s="478">
        <v>19.600000000000001</v>
      </c>
      <c r="G16" s="478">
        <v>19.600000000000001</v>
      </c>
      <c r="H16" s="478">
        <v>19.600000000000001</v>
      </c>
      <c r="I16" s="478">
        <v>19.600000000000001</v>
      </c>
      <c r="J16" s="478">
        <v>19.600000000000001</v>
      </c>
      <c r="K16" s="478">
        <v>19.600000000000001</v>
      </c>
      <c r="L16" s="478">
        <v>19.600000000000001</v>
      </c>
      <c r="M16" s="478">
        <v>19.600000000000001</v>
      </c>
      <c r="N16" s="483">
        <v>972</v>
      </c>
      <c r="O16" s="288"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80" t="s">
        <v>27</v>
      </c>
      <c r="B17" s="478">
        <v>0.22</v>
      </c>
      <c r="C17" s="478">
        <v>0.22</v>
      </c>
      <c r="D17" s="478">
        <v>0.22</v>
      </c>
      <c r="E17" s="478">
        <v>0.22</v>
      </c>
      <c r="F17" s="478">
        <v>0.22</v>
      </c>
      <c r="G17" s="478">
        <v>0.22</v>
      </c>
      <c r="H17" s="478">
        <v>0.22</v>
      </c>
      <c r="I17" s="478">
        <v>0.22</v>
      </c>
      <c r="J17" s="478">
        <v>0.22</v>
      </c>
      <c r="K17" s="478">
        <v>0.22</v>
      </c>
      <c r="L17" s="478">
        <v>0.22</v>
      </c>
      <c r="M17" s="478">
        <v>0.22</v>
      </c>
      <c r="N17" s="483">
        <v>1278202</v>
      </c>
      <c r="O17" s="288"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480" t="s">
        <v>26</v>
      </c>
      <c r="B18" s="481">
        <v>0.03</v>
      </c>
      <c r="C18" s="481">
        <v>0.03</v>
      </c>
      <c r="D18" s="478">
        <v>0.03</v>
      </c>
      <c r="E18" s="478">
        <v>0.03</v>
      </c>
      <c r="F18" s="478">
        <v>0.03</v>
      </c>
      <c r="G18" s="478">
        <v>0.03</v>
      </c>
      <c r="H18" s="478">
        <v>0.03</v>
      </c>
      <c r="I18" s="478">
        <v>0.03</v>
      </c>
      <c r="J18" s="478">
        <v>0.03</v>
      </c>
      <c r="K18" s="478">
        <v>0.03</v>
      </c>
      <c r="L18" s="478">
        <v>0.03</v>
      </c>
      <c r="M18" s="478">
        <v>0.03</v>
      </c>
      <c r="N18" s="483">
        <v>119606</v>
      </c>
      <c r="O18" s="465"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480" t="s">
        <v>56</v>
      </c>
      <c r="B19" s="481">
        <v>1.73</v>
      </c>
      <c r="C19" s="481">
        <v>1.73</v>
      </c>
      <c r="D19" s="481">
        <v>1.73</v>
      </c>
      <c r="E19" s="481">
        <v>1.73</v>
      </c>
      <c r="F19" s="481">
        <v>1.73</v>
      </c>
      <c r="G19" s="481">
        <v>1.73</v>
      </c>
      <c r="H19" s="481">
        <v>1.73</v>
      </c>
      <c r="I19" s="481">
        <v>1.73</v>
      </c>
      <c r="J19" s="481">
        <v>1.73</v>
      </c>
      <c r="K19" s="481">
        <v>1.73</v>
      </c>
      <c r="L19" s="481">
        <v>1.73</v>
      </c>
      <c r="M19" s="481">
        <v>1.73</v>
      </c>
      <c r="N19" s="488">
        <v>2795</v>
      </c>
      <c r="O19" s="464"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477" t="s">
        <v>55</v>
      </c>
      <c r="B20" s="481"/>
      <c r="C20" s="481"/>
      <c r="D20" s="481">
        <v>13.16</v>
      </c>
      <c r="E20" s="481">
        <v>13.16</v>
      </c>
      <c r="F20" s="481">
        <v>13.16</v>
      </c>
      <c r="G20" s="481">
        <v>13.16</v>
      </c>
      <c r="H20" s="481">
        <v>13.16</v>
      </c>
      <c r="I20" s="481">
        <v>13.16</v>
      </c>
      <c r="J20" s="481">
        <v>13.16</v>
      </c>
      <c r="K20" s="481">
        <v>13.16</v>
      </c>
      <c r="L20" s="481">
        <v>13.16</v>
      </c>
      <c r="M20" s="481">
        <v>13.16</v>
      </c>
      <c r="N20" s="488">
        <v>3</v>
      </c>
      <c r="O20" s="464" t="s">
        <v>89</v>
      </c>
    </row>
    <row r="21" spans="1:26" ht="23.25" customHeight="1">
      <c r="A21" s="522"/>
      <c r="B21" s="523"/>
      <c r="C21" s="523"/>
      <c r="D21" s="523"/>
      <c r="E21" s="523"/>
      <c r="F21" s="523"/>
      <c r="G21" s="523"/>
      <c r="H21" s="523"/>
      <c r="I21" s="523"/>
      <c r="J21" s="523"/>
      <c r="K21" s="523"/>
      <c r="L21" s="523"/>
      <c r="M21" s="523"/>
      <c r="N21" s="524"/>
      <c r="O21" s="470"/>
    </row>
    <row r="22" spans="1:26" ht="15">
      <c r="A22" s="683" t="s">
        <v>98</v>
      </c>
      <c r="B22" s="683"/>
      <c r="C22" s="683"/>
      <c r="D22" s="683"/>
      <c r="E22" s="683"/>
      <c r="F22" s="683"/>
      <c r="G22" s="683"/>
      <c r="H22" s="683"/>
      <c r="I22" s="683"/>
      <c r="J22" s="683"/>
      <c r="K22" s="683"/>
      <c r="L22" s="683"/>
      <c r="M22" s="683"/>
      <c r="N22" s="683"/>
      <c r="O22" s="683"/>
    </row>
    <row r="23" spans="1:26" s="10" customFormat="1" ht="18.75" customHeight="1">
      <c r="A23" s="672" t="s">
        <v>90</v>
      </c>
      <c r="B23" s="672"/>
      <c r="C23" s="672"/>
      <c r="D23" s="672"/>
      <c r="E23" s="672"/>
      <c r="F23" s="672"/>
      <c r="G23" s="672"/>
      <c r="H23" s="672"/>
      <c r="I23" s="672"/>
      <c r="J23" s="672"/>
      <c r="K23" s="672"/>
      <c r="L23" s="672"/>
      <c r="M23" s="672"/>
      <c r="N23" s="672"/>
      <c r="O23" s="672"/>
      <c r="P23" s="13"/>
      <c r="Q23" s="13"/>
      <c r="R23" s="13"/>
      <c r="S23" s="13"/>
      <c r="T23" s="147"/>
      <c r="U23" s="147"/>
      <c r="V23" s="147"/>
      <c r="W23" s="147"/>
      <c r="X23" s="147"/>
      <c r="Y23" s="147"/>
      <c r="Z23" s="147"/>
    </row>
    <row r="24" spans="1:26" ht="12.75" customHeight="1">
      <c r="A24" s="676" t="s">
        <v>99</v>
      </c>
      <c r="B24" s="677"/>
      <c r="C24" s="677"/>
      <c r="D24" s="677"/>
      <c r="E24" s="677"/>
      <c r="F24" s="677"/>
      <c r="G24" s="677"/>
      <c r="H24" s="677"/>
      <c r="I24" s="677"/>
      <c r="J24" s="677"/>
      <c r="K24" s="677"/>
      <c r="L24" s="677"/>
      <c r="M24" s="677"/>
      <c r="N24" s="677"/>
      <c r="O24" s="677"/>
    </row>
    <row r="25" spans="1:26" ht="12.75" customHeight="1">
      <c r="A25" s="676" t="s">
        <v>100</v>
      </c>
      <c r="B25" s="677"/>
      <c r="C25" s="677"/>
      <c r="D25" s="677"/>
      <c r="E25" s="677"/>
      <c r="F25" s="677"/>
      <c r="G25" s="677"/>
      <c r="H25" s="677"/>
      <c r="I25" s="677"/>
      <c r="J25" s="677"/>
      <c r="K25" s="677"/>
      <c r="L25" s="677"/>
      <c r="M25" s="677"/>
      <c r="N25" s="677"/>
      <c r="O25" s="677"/>
    </row>
    <row r="26" spans="1:26" s="10" customFormat="1" ht="14.25">
      <c r="A26" s="678" t="s">
        <v>95</v>
      </c>
      <c r="B26" s="679"/>
      <c r="C26" s="679"/>
      <c r="D26" s="679"/>
      <c r="E26" s="679"/>
      <c r="F26" s="679"/>
      <c r="G26" s="679"/>
      <c r="H26" s="679"/>
      <c r="I26" s="679"/>
      <c r="J26" s="679"/>
      <c r="K26" s="679"/>
      <c r="L26" s="679"/>
      <c r="M26" s="679"/>
      <c r="N26" s="679"/>
      <c r="O26" s="466"/>
      <c r="P26" s="13"/>
      <c r="Q26" s="13"/>
      <c r="R26" s="13"/>
      <c r="S26" s="13"/>
      <c r="T26" s="147"/>
      <c r="U26" s="147"/>
      <c r="V26" s="147"/>
      <c r="W26" s="147"/>
      <c r="X26" s="147"/>
      <c r="Y26" s="147"/>
      <c r="Z26" s="147"/>
    </row>
    <row r="27" spans="1:26" s="10" customFormat="1" ht="14.25">
      <c r="A27" s="678"/>
      <c r="B27" s="679"/>
      <c r="C27" s="679"/>
      <c r="D27" s="679"/>
      <c r="E27" s="679"/>
      <c r="F27" s="679"/>
      <c r="G27" s="679"/>
      <c r="H27" s="679"/>
      <c r="I27" s="679"/>
      <c r="J27" s="679"/>
      <c r="K27" s="679"/>
      <c r="L27" s="679"/>
      <c r="M27" s="679"/>
      <c r="N27" s="679"/>
      <c r="O27" s="466"/>
      <c r="P27" s="13"/>
      <c r="Q27" s="13"/>
      <c r="R27" s="13"/>
      <c r="S27" s="13"/>
      <c r="T27" s="147"/>
      <c r="U27" s="147"/>
      <c r="V27" s="147"/>
      <c r="W27" s="147"/>
      <c r="X27" s="147"/>
      <c r="Y27" s="147"/>
      <c r="Z27" s="147"/>
    </row>
    <row r="28" spans="1:26" ht="40.5" customHeight="1">
      <c r="A28" s="261" t="s">
        <v>73</v>
      </c>
      <c r="N28" s="385"/>
    </row>
    <row r="55" spans="1:1" ht="40.5" customHeight="1">
      <c r="A55" s="208"/>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8515625" defaultRowHeight="12.75"/>
  <cols>
    <col min="1" max="1" width="45.7109375" style="44" customWidth="1"/>
    <col min="2" max="4" width="10.7109375" style="44" customWidth="1"/>
    <col min="5" max="5" width="12.7109375" style="44" customWidth="1"/>
    <col min="6" max="8" width="10.5703125" style="44" customWidth="1"/>
    <col min="9" max="9" width="12.7109375" style="44" customWidth="1"/>
    <col min="10" max="12" width="10.7109375" style="44" customWidth="1"/>
    <col min="13" max="13" width="12.7109375" style="44" customWidth="1"/>
    <col min="14" max="16" width="10.7109375" style="44" customWidth="1"/>
    <col min="17" max="17" width="12.7109375" style="44" customWidth="1"/>
    <col min="18" max="20" width="10.7109375" style="44" customWidth="1"/>
    <col min="21" max="21" width="12.7109375" style="44" customWidth="1"/>
    <col min="22" max="24" width="10.7109375" style="44" customWidth="1"/>
    <col min="25" max="25" width="12.7109375" style="44" customWidth="1"/>
    <col min="26" max="16384" width="9.28515625" style="44"/>
  </cols>
  <sheetData>
    <row r="1" spans="1:25">
      <c r="A1" s="43" t="s">
        <v>101</v>
      </c>
    </row>
    <row r="3" spans="1:25" ht="21.75" customHeight="1">
      <c r="A3" s="94">
        <v>2016</v>
      </c>
      <c r="B3" s="684" t="s">
        <v>41</v>
      </c>
      <c r="C3" s="684"/>
      <c r="D3" s="684"/>
      <c r="E3" s="684"/>
      <c r="F3" s="685" t="s">
        <v>42</v>
      </c>
      <c r="G3" s="685"/>
      <c r="H3" s="685"/>
      <c r="I3" s="685"/>
      <c r="J3" s="685" t="s">
        <v>43</v>
      </c>
      <c r="K3" s="685"/>
      <c r="L3" s="685"/>
      <c r="M3" s="685"/>
      <c r="N3" s="685" t="s">
        <v>44</v>
      </c>
      <c r="O3" s="685"/>
      <c r="P3" s="685"/>
      <c r="Q3" s="685"/>
      <c r="R3" s="685" t="s">
        <v>31</v>
      </c>
      <c r="S3" s="685"/>
      <c r="T3" s="685"/>
      <c r="U3" s="685"/>
      <c r="V3" s="685" t="s">
        <v>45</v>
      </c>
      <c r="W3" s="685"/>
      <c r="X3" s="685"/>
      <c r="Y3" s="685"/>
    </row>
    <row r="4" spans="1:25" ht="79.5" customHeight="1">
      <c r="A4" s="564" t="s">
        <v>102</v>
      </c>
      <c r="B4" s="54" t="s">
        <v>103</v>
      </c>
      <c r="C4" s="54" t="s">
        <v>104</v>
      </c>
      <c r="D4" s="54" t="s">
        <v>105</v>
      </c>
      <c r="E4" s="54" t="s">
        <v>106</v>
      </c>
      <c r="F4" s="54" t="s">
        <v>103</v>
      </c>
      <c r="G4" s="54" t="s">
        <v>104</v>
      </c>
      <c r="H4" s="54" t="s">
        <v>105</v>
      </c>
      <c r="I4" s="54" t="s">
        <v>106</v>
      </c>
      <c r="J4" s="54" t="s">
        <v>103</v>
      </c>
      <c r="K4" s="54" t="s">
        <v>104</v>
      </c>
      <c r="L4" s="54" t="s">
        <v>105</v>
      </c>
      <c r="M4" s="54" t="s">
        <v>106</v>
      </c>
      <c r="N4" s="54" t="s">
        <v>103</v>
      </c>
      <c r="O4" s="54" t="s">
        <v>104</v>
      </c>
      <c r="P4" s="54" t="s">
        <v>105</v>
      </c>
      <c r="Q4" s="54" t="s">
        <v>106</v>
      </c>
      <c r="R4" s="54" t="s">
        <v>103</v>
      </c>
      <c r="S4" s="54" t="s">
        <v>104</v>
      </c>
      <c r="T4" s="54" t="s">
        <v>105</v>
      </c>
      <c r="U4" s="54" t="s">
        <v>106</v>
      </c>
      <c r="V4" s="54" t="s">
        <v>103</v>
      </c>
      <c r="W4" s="54" t="s">
        <v>104</v>
      </c>
      <c r="X4" s="54" t="s">
        <v>105</v>
      </c>
      <c r="Y4" s="54" t="s">
        <v>106</v>
      </c>
    </row>
    <row r="5" spans="1:25">
      <c r="A5" s="95" t="s">
        <v>107</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c r="A6" s="95" t="s">
        <v>108</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c r="A7" s="96" t="s">
        <v>109</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c r="A9" s="97" t="s">
        <v>51</v>
      </c>
      <c r="B9" s="65"/>
      <c r="C9" s="54"/>
      <c r="D9" s="54"/>
      <c r="E9" s="565"/>
      <c r="F9" s="65"/>
      <c r="G9" s="66"/>
      <c r="H9" s="67"/>
      <c r="I9" s="67"/>
      <c r="J9" s="68"/>
      <c r="K9" s="66"/>
      <c r="L9" s="67"/>
      <c r="M9" s="60"/>
      <c r="N9" s="68"/>
      <c r="O9" s="66"/>
      <c r="P9" s="67"/>
      <c r="Q9" s="60"/>
      <c r="R9" s="68"/>
      <c r="S9" s="66"/>
      <c r="T9" s="67"/>
      <c r="U9" s="60"/>
      <c r="V9" s="68"/>
      <c r="W9" s="66"/>
      <c r="X9" s="67"/>
      <c r="Y9" s="60">
        <f>SUM(W9:X9)</f>
        <v>0</v>
      </c>
    </row>
    <row r="10" spans="1:25">
      <c r="A10" s="95" t="s">
        <v>110</v>
      </c>
      <c r="B10" s="103"/>
      <c r="C10" s="103"/>
      <c r="D10" s="57"/>
      <c r="E10" s="59"/>
      <c r="F10" s="55"/>
      <c r="G10" s="58"/>
      <c r="H10" s="57"/>
      <c r="I10" s="59"/>
      <c r="J10" s="62"/>
      <c r="K10" s="57" t="s">
        <v>57</v>
      </c>
      <c r="L10" s="57"/>
      <c r="M10" s="60"/>
      <c r="N10" s="62"/>
      <c r="O10" s="57" t="s">
        <v>57</v>
      </c>
      <c r="P10" s="57"/>
      <c r="Q10" s="60"/>
      <c r="R10" s="62"/>
      <c r="S10" s="57" t="s">
        <v>57</v>
      </c>
      <c r="T10" s="57"/>
      <c r="U10" s="60"/>
      <c r="V10" s="62"/>
      <c r="W10" s="57" t="s">
        <v>57</v>
      </c>
      <c r="X10" s="57"/>
      <c r="Y10" s="60">
        <f>SUM(W10:X10)</f>
        <v>0</v>
      </c>
    </row>
    <row r="11" spans="1:25">
      <c r="A11" s="95" t="s">
        <v>111</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c r="A12" s="95"/>
      <c r="B12" s="56"/>
      <c r="C12" s="57"/>
      <c r="D12" s="57"/>
      <c r="E12" s="109"/>
      <c r="F12" s="55"/>
      <c r="G12" s="58"/>
      <c r="H12" s="58"/>
      <c r="I12" s="62"/>
      <c r="J12" s="62"/>
      <c r="K12" s="58"/>
      <c r="L12" s="58"/>
      <c r="M12" s="60" t="s">
        <v>57</v>
      </c>
      <c r="N12" s="62"/>
      <c r="O12" s="58"/>
      <c r="P12" s="58"/>
      <c r="Q12" s="60" t="s">
        <v>57</v>
      </c>
      <c r="R12" s="62"/>
      <c r="S12" s="58"/>
      <c r="T12" s="58"/>
      <c r="U12" s="60" t="s">
        <v>57</v>
      </c>
      <c r="V12" s="62"/>
      <c r="W12" s="58"/>
      <c r="X12" s="58"/>
      <c r="Y12" s="60" t="s">
        <v>57</v>
      </c>
    </row>
    <row r="13" spans="1:25" s="43" customFormat="1">
      <c r="A13" s="96" t="s">
        <v>109</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106</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c r="A17" s="564" t="s">
        <v>112</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c r="A18" s="99" t="s">
        <v>113</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c r="A20" s="100" t="s">
        <v>109</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c r="A22" s="96" t="s">
        <v>114</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c r="A25" s="101"/>
      <c r="B25" s="685" t="s">
        <v>60</v>
      </c>
      <c r="C25" s="685"/>
      <c r="D25" s="685"/>
      <c r="E25" s="685"/>
      <c r="F25" s="685" t="s">
        <v>75</v>
      </c>
      <c r="G25" s="685"/>
      <c r="H25" s="685"/>
      <c r="I25" s="685" t="s">
        <v>60</v>
      </c>
      <c r="J25" s="685" t="s">
        <v>76</v>
      </c>
      <c r="K25" s="685"/>
      <c r="L25" s="685"/>
      <c r="M25" s="685" t="s">
        <v>60</v>
      </c>
      <c r="N25" s="685" t="s">
        <v>62</v>
      </c>
      <c r="O25" s="685"/>
      <c r="P25" s="685"/>
      <c r="Q25" s="685" t="s">
        <v>60</v>
      </c>
      <c r="R25" s="685" t="s">
        <v>77</v>
      </c>
      <c r="S25" s="685"/>
      <c r="T25" s="685"/>
      <c r="U25" s="685" t="s">
        <v>60</v>
      </c>
      <c r="V25" s="685" t="s">
        <v>63</v>
      </c>
      <c r="W25" s="685"/>
      <c r="X25" s="685"/>
      <c r="Y25" s="685" t="s">
        <v>60</v>
      </c>
    </row>
    <row r="26" spans="1:25" ht="38.25">
      <c r="A26" s="564" t="s">
        <v>102</v>
      </c>
      <c r="B26" s="54" t="s">
        <v>103</v>
      </c>
      <c r="C26" s="54" t="s">
        <v>104</v>
      </c>
      <c r="D26" s="54" t="s">
        <v>105</v>
      </c>
      <c r="E26" s="54" t="s">
        <v>106</v>
      </c>
      <c r="F26" s="54" t="s">
        <v>103</v>
      </c>
      <c r="G26" s="54" t="s">
        <v>104</v>
      </c>
      <c r="H26" s="54" t="s">
        <v>105</v>
      </c>
      <c r="I26" s="54" t="s">
        <v>106</v>
      </c>
      <c r="J26" s="54" t="s">
        <v>103</v>
      </c>
      <c r="K26" s="54" t="s">
        <v>104</v>
      </c>
      <c r="L26" s="54" t="s">
        <v>105</v>
      </c>
      <c r="M26" s="54" t="s">
        <v>106</v>
      </c>
      <c r="N26" s="54" t="s">
        <v>103</v>
      </c>
      <c r="O26" s="54" t="s">
        <v>104</v>
      </c>
      <c r="P26" s="54" t="s">
        <v>105</v>
      </c>
      <c r="Q26" s="54" t="s">
        <v>106</v>
      </c>
      <c r="R26" s="54" t="s">
        <v>103</v>
      </c>
      <c r="S26" s="54" t="s">
        <v>104</v>
      </c>
      <c r="T26" s="54" t="s">
        <v>105</v>
      </c>
      <c r="U26" s="54" t="s">
        <v>106</v>
      </c>
      <c r="V26" s="54" t="s">
        <v>103</v>
      </c>
      <c r="W26" s="54" t="s">
        <v>104</v>
      </c>
      <c r="X26" s="54" t="s">
        <v>105</v>
      </c>
      <c r="Y26" s="54" t="s">
        <v>106</v>
      </c>
    </row>
    <row r="27" spans="1:25">
      <c r="A27" s="95" t="s">
        <v>115</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c r="A28" s="95" t="s">
        <v>108</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c r="A29" s="95" t="s">
        <v>116</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c r="A30" s="95" t="s">
        <v>117</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c r="A31" s="95" t="s">
        <v>118</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c r="A32" s="95" t="s">
        <v>119</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c r="A33" s="96" t="s">
        <v>109</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c r="A36" s="95" t="s">
        <v>110</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c r="A37" s="95" t="s">
        <v>120</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c r="A38" s="95" t="s">
        <v>111</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c r="A40" s="96" t="s">
        <v>109</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106</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c r="A44" s="564" t="s">
        <v>112</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c r="A45" s="99" t="s">
        <v>113</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c r="A47" s="100" t="s">
        <v>109</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c r="A49" s="96" t="s">
        <v>114</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c r="A51" s="43" t="s">
        <v>66</v>
      </c>
      <c r="B51" s="43"/>
      <c r="C51" s="45" t="s">
        <v>121</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c r="A53" s="43" t="s">
        <v>122</v>
      </c>
      <c r="B53" s="43" t="s">
        <v>123</v>
      </c>
      <c r="D53" s="45"/>
      <c r="G53" s="45"/>
      <c r="I53" s="43"/>
      <c r="K53" s="45"/>
      <c r="M53" s="43"/>
      <c r="O53" s="45"/>
      <c r="P53" s="45"/>
      <c r="S53" s="45"/>
      <c r="T53" s="45"/>
      <c r="W53" s="45"/>
      <c r="X53" s="45"/>
    </row>
    <row r="54" spans="1:25">
      <c r="A54" s="43" t="s">
        <v>124</v>
      </c>
      <c r="B54" s="43" t="s">
        <v>125</v>
      </c>
      <c r="D54" s="45"/>
      <c r="G54" s="45"/>
      <c r="I54" s="43"/>
      <c r="K54" s="45"/>
      <c r="M54" s="43"/>
      <c r="O54" s="45"/>
      <c r="P54" s="45"/>
      <c r="S54" s="45"/>
      <c r="T54" s="45"/>
    </row>
    <row r="55" spans="1:25">
      <c r="A55" s="43" t="s">
        <v>126</v>
      </c>
      <c r="B55" s="43" t="s">
        <v>127</v>
      </c>
      <c r="D55" s="45"/>
      <c r="G55" s="45"/>
      <c r="I55" s="43"/>
      <c r="K55" s="45"/>
      <c r="M55" s="43"/>
      <c r="U55" s="52"/>
      <c r="V55" s="52"/>
      <c r="Y55" s="52"/>
    </row>
    <row r="56" spans="1:25">
      <c r="A56" s="43" t="s">
        <v>128</v>
      </c>
      <c r="B56" s="43" t="s">
        <v>129</v>
      </c>
      <c r="D56" s="45"/>
      <c r="F56" s="52"/>
      <c r="I56" s="52"/>
      <c r="J56" s="52"/>
      <c r="M56" s="52"/>
      <c r="N56" s="52"/>
      <c r="Q56" s="52"/>
      <c r="R56" s="52"/>
      <c r="W56" s="45"/>
      <c r="X56" s="45"/>
    </row>
    <row r="57" spans="1:25">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9"/>
  <sheetViews>
    <sheetView showRuler="0" showWhiteSpace="0" topLeftCell="A9" zoomScale="80" zoomScaleNormal="80" workbookViewId="0">
      <selection activeCell="K37" sqref="K37"/>
    </sheetView>
  </sheetViews>
  <sheetFormatPr defaultColWidth="9.28515625" defaultRowHeight="12.75"/>
  <cols>
    <col min="1" max="1" width="48" style="44" customWidth="1"/>
    <col min="2" max="3" width="13" style="44" customWidth="1"/>
    <col min="4" max="13" width="13.42578125" style="44" customWidth="1"/>
    <col min="14" max="14" width="23.28515625" style="44" bestFit="1" customWidth="1"/>
    <col min="15" max="16384" width="9.28515625" style="44"/>
  </cols>
  <sheetData>
    <row r="2" spans="1:13" ht="20.25">
      <c r="B2" s="364" t="s">
        <v>39</v>
      </c>
      <c r="C2" s="43"/>
      <c r="D2" s="43"/>
      <c r="E2" s="365"/>
      <c r="F2" s="365"/>
      <c r="G2" s="365"/>
      <c r="H2" s="365"/>
      <c r="I2" s="365"/>
      <c r="J2" s="365"/>
      <c r="K2" s="365"/>
      <c r="L2" s="365"/>
      <c r="M2" s="365"/>
    </row>
    <row r="3" spans="1:13" ht="18">
      <c r="B3" s="686" t="s">
        <v>130</v>
      </c>
      <c r="C3" s="686"/>
      <c r="D3" s="686"/>
      <c r="E3" s="686"/>
      <c r="F3" s="686"/>
      <c r="G3" s="686"/>
      <c r="H3" s="686"/>
      <c r="I3" s="686"/>
      <c r="J3" s="686"/>
      <c r="K3" s="686"/>
      <c r="L3" s="686"/>
      <c r="M3" s="686"/>
    </row>
    <row r="4" spans="1:13" ht="18">
      <c r="A4" s="165"/>
      <c r="B4" s="43"/>
      <c r="C4" s="43"/>
      <c r="D4" s="43"/>
      <c r="E4" s="43"/>
      <c r="F4" s="366"/>
      <c r="G4" s="687" t="str">
        <f>'Program MW '!H3</f>
        <v>November 2020</v>
      </c>
      <c r="H4" s="687"/>
      <c r="I4" s="366"/>
      <c r="J4" s="43"/>
      <c r="K4" s="43"/>
      <c r="L4" s="43"/>
      <c r="M4" s="43"/>
    </row>
    <row r="5" spans="1:13">
      <c r="B5" s="203"/>
      <c r="C5" s="203"/>
      <c r="D5" s="203"/>
    </row>
    <row r="7" spans="1:13" ht="21.75" customHeight="1">
      <c r="A7" s="94"/>
      <c r="B7" s="166" t="s">
        <v>10</v>
      </c>
      <c r="C7" s="166" t="s">
        <v>28</v>
      </c>
      <c r="D7" s="166" t="s">
        <v>43</v>
      </c>
      <c r="E7" s="166" t="s">
        <v>44</v>
      </c>
      <c r="F7" s="166" t="s">
        <v>131</v>
      </c>
      <c r="G7" s="166" t="s">
        <v>45</v>
      </c>
      <c r="H7" s="166" t="s">
        <v>60</v>
      </c>
      <c r="I7" s="166" t="s">
        <v>75</v>
      </c>
      <c r="J7" s="166" t="s">
        <v>76</v>
      </c>
      <c r="K7" s="166" t="s">
        <v>62</v>
      </c>
      <c r="L7" s="166" t="s">
        <v>77</v>
      </c>
      <c r="M7" s="167" t="s">
        <v>63</v>
      </c>
    </row>
    <row r="8" spans="1:13" ht="38.25">
      <c r="A8" s="290" t="s">
        <v>132</v>
      </c>
      <c r="B8" s="317" t="s">
        <v>104</v>
      </c>
      <c r="C8" s="128" t="s">
        <v>104</v>
      </c>
      <c r="D8" s="128" t="s">
        <v>104</v>
      </c>
      <c r="E8" s="128" t="s">
        <v>104</v>
      </c>
      <c r="F8" s="128" t="s">
        <v>104</v>
      </c>
      <c r="G8" s="128" t="s">
        <v>104</v>
      </c>
      <c r="H8" s="128" t="s">
        <v>104</v>
      </c>
      <c r="I8" s="128" t="s">
        <v>104</v>
      </c>
      <c r="J8" s="128" t="s">
        <v>104</v>
      </c>
      <c r="K8" s="128" t="s">
        <v>104</v>
      </c>
      <c r="L8" s="128" t="s">
        <v>133</v>
      </c>
      <c r="M8" s="128" t="s">
        <v>133</v>
      </c>
    </row>
    <row r="9" spans="1:13">
      <c r="A9" s="316" t="s">
        <v>107</v>
      </c>
      <c r="B9" s="318">
        <v>1.23E-2</v>
      </c>
      <c r="C9" s="318">
        <v>1.23E-2</v>
      </c>
      <c r="D9" s="318">
        <v>1.23E-2</v>
      </c>
      <c r="E9" s="318">
        <v>1.23E-2</v>
      </c>
      <c r="F9" s="318">
        <v>1.23E-2</v>
      </c>
      <c r="G9" s="318">
        <v>1.23E-2</v>
      </c>
      <c r="H9" s="318">
        <v>1.23E-2</v>
      </c>
      <c r="I9" s="318">
        <v>1.23E-2</v>
      </c>
      <c r="J9" s="318">
        <v>1.23E-2</v>
      </c>
      <c r="K9" s="318">
        <v>1.23E-2</v>
      </c>
      <c r="L9" s="318">
        <v>1.23E-2</v>
      </c>
      <c r="M9" s="318">
        <v>1.23E-2</v>
      </c>
    </row>
    <row r="10" spans="1:13">
      <c r="A10" s="316" t="s">
        <v>108</v>
      </c>
      <c r="B10" s="318">
        <v>0</v>
      </c>
      <c r="C10" s="318">
        <v>0</v>
      </c>
      <c r="D10" s="318">
        <v>0</v>
      </c>
      <c r="E10" s="318">
        <v>0</v>
      </c>
      <c r="F10" s="318">
        <v>0</v>
      </c>
      <c r="G10" s="318">
        <v>0</v>
      </c>
      <c r="H10" s="318">
        <v>0</v>
      </c>
      <c r="I10" s="318">
        <v>0</v>
      </c>
      <c r="J10" s="318">
        <v>0</v>
      </c>
      <c r="K10" s="318">
        <v>0</v>
      </c>
      <c r="L10" s="318">
        <v>0</v>
      </c>
      <c r="M10" s="318">
        <v>0</v>
      </c>
    </row>
    <row r="11" spans="1:13">
      <c r="A11" s="169" t="s">
        <v>134</v>
      </c>
      <c r="B11" s="318">
        <v>0</v>
      </c>
      <c r="C11" s="318">
        <v>0</v>
      </c>
      <c r="D11" s="318">
        <v>0</v>
      </c>
      <c r="E11" s="318">
        <v>0</v>
      </c>
      <c r="F11" s="318">
        <v>0</v>
      </c>
      <c r="G11" s="318">
        <v>0</v>
      </c>
      <c r="H11" s="318">
        <v>0</v>
      </c>
      <c r="I11" s="318">
        <v>0</v>
      </c>
      <c r="J11" s="318">
        <v>0</v>
      </c>
      <c r="K11" s="318">
        <v>0</v>
      </c>
      <c r="L11" s="318">
        <v>0</v>
      </c>
      <c r="M11" s="57">
        <v>0</v>
      </c>
    </row>
    <row r="12" spans="1:13">
      <c r="A12" s="169" t="s">
        <v>135</v>
      </c>
      <c r="B12" s="318">
        <v>0</v>
      </c>
      <c r="C12" s="318">
        <v>0</v>
      </c>
      <c r="D12" s="318">
        <v>0</v>
      </c>
      <c r="E12" s="318">
        <v>0</v>
      </c>
      <c r="F12" s="318">
        <v>0</v>
      </c>
      <c r="G12" s="318">
        <v>0</v>
      </c>
      <c r="H12" s="318">
        <v>0</v>
      </c>
      <c r="I12" s="318">
        <v>0</v>
      </c>
      <c r="J12" s="318">
        <v>0</v>
      </c>
      <c r="K12" s="318">
        <v>0</v>
      </c>
      <c r="L12" s="318">
        <v>0</v>
      </c>
      <c r="M12" s="104">
        <v>0</v>
      </c>
    </row>
    <row r="13" spans="1:13" s="43" customFormat="1">
      <c r="A13" s="168" t="s">
        <v>109</v>
      </c>
      <c r="B13" s="106">
        <f t="shared" ref="B13:G13" si="0">SUM(B9:B12)</f>
        <v>1.23E-2</v>
      </c>
      <c r="C13" s="106">
        <f t="shared" si="0"/>
        <v>1.23E-2</v>
      </c>
      <c r="D13" s="106">
        <f t="shared" si="0"/>
        <v>1.23E-2</v>
      </c>
      <c r="E13" s="106">
        <f t="shared" si="0"/>
        <v>1.23E-2</v>
      </c>
      <c r="F13" s="106">
        <f t="shared" si="0"/>
        <v>1.23E-2</v>
      </c>
      <c r="G13" s="106">
        <f t="shared" si="0"/>
        <v>1.23E-2</v>
      </c>
      <c r="H13" s="60">
        <f t="shared" ref="H13" si="1">SUM(H9:H12)</f>
        <v>1.23E-2</v>
      </c>
      <c r="I13" s="60">
        <f t="shared" ref="I13:M13" si="2">SUM(I9:I12)</f>
        <v>1.23E-2</v>
      </c>
      <c r="J13" s="60">
        <f t="shared" si="2"/>
        <v>1.23E-2</v>
      </c>
      <c r="K13" s="60">
        <f>SUM(K9:K12)</f>
        <v>1.23E-2</v>
      </c>
      <c r="L13" s="60">
        <f>SUM(L9:L12)</f>
        <v>1.23E-2</v>
      </c>
      <c r="M13" s="60">
        <f t="shared" si="2"/>
        <v>1.23E-2</v>
      </c>
    </row>
    <row r="14" spans="1:13" s="51" customFormat="1">
      <c r="A14" s="43"/>
      <c r="B14" s="47"/>
      <c r="C14" s="49"/>
      <c r="D14" s="49"/>
      <c r="E14" s="49"/>
      <c r="F14" s="49"/>
      <c r="G14" s="49"/>
    </row>
    <row r="15" spans="1:13" ht="15">
      <c r="A15" s="262" t="s">
        <v>66</v>
      </c>
      <c r="G15" s="45"/>
    </row>
    <row r="16" spans="1:13" ht="15">
      <c r="A16" s="405" t="s">
        <v>136</v>
      </c>
      <c r="B16" s="203"/>
      <c r="C16" s="203"/>
      <c r="D16" s="300"/>
      <c r="E16" s="300"/>
      <c r="F16" s="300"/>
      <c r="G16" s="203"/>
      <c r="H16" s="203"/>
      <c r="I16" s="203"/>
      <c r="J16" s="203"/>
      <c r="K16" s="203"/>
    </row>
    <row r="17" spans="1:14" ht="15">
      <c r="A17" s="404"/>
    </row>
    <row r="20" spans="1:14" ht="21.75" customHeight="1">
      <c r="A20" s="94"/>
      <c r="B20" s="166" t="s">
        <v>10</v>
      </c>
      <c r="C20" s="166" t="s">
        <v>28</v>
      </c>
      <c r="D20" s="166" t="s">
        <v>43</v>
      </c>
      <c r="E20" s="166" t="s">
        <v>44</v>
      </c>
      <c r="F20" s="166" t="s">
        <v>131</v>
      </c>
      <c r="G20" s="166" t="s">
        <v>45</v>
      </c>
      <c r="H20" s="166" t="s">
        <v>60</v>
      </c>
      <c r="I20" s="166" t="s">
        <v>75</v>
      </c>
      <c r="J20" s="166" t="s">
        <v>76</v>
      </c>
      <c r="K20" s="166" t="s">
        <v>62</v>
      </c>
      <c r="L20" s="166" t="s">
        <v>77</v>
      </c>
      <c r="M20" s="167" t="s">
        <v>63</v>
      </c>
      <c r="N20" s="369"/>
    </row>
    <row r="21" spans="1:14" ht="51">
      <c r="A21" s="289" t="s">
        <v>132</v>
      </c>
      <c r="B21" s="128" t="s">
        <v>137</v>
      </c>
      <c r="C21" s="128" t="str">
        <f>B21</f>
        <v>Technology Deployment- Residential MWs</v>
      </c>
      <c r="D21" s="128" t="str">
        <f>B21</f>
        <v>Technology Deployment- Residential MWs</v>
      </c>
      <c r="E21" s="128" t="str">
        <f t="shared" ref="E21:M21" si="3">C21</f>
        <v>Technology Deployment- Residential MWs</v>
      </c>
      <c r="F21" s="128" t="str">
        <f t="shared" si="3"/>
        <v>Technology Deployment- Residential MWs</v>
      </c>
      <c r="G21" s="128" t="str">
        <f t="shared" si="3"/>
        <v>Technology Deployment- Residential MWs</v>
      </c>
      <c r="H21" s="128" t="str">
        <f t="shared" si="3"/>
        <v>Technology Deployment- Residential MWs</v>
      </c>
      <c r="I21" s="128" t="str">
        <f t="shared" si="3"/>
        <v>Technology Deployment- Residential MWs</v>
      </c>
      <c r="J21" s="128" t="str">
        <f t="shared" si="3"/>
        <v>Technology Deployment- Residential MWs</v>
      </c>
      <c r="K21" s="128" t="str">
        <f t="shared" si="3"/>
        <v>Technology Deployment- Residential MWs</v>
      </c>
      <c r="L21" s="128" t="str">
        <f t="shared" si="3"/>
        <v>Technology Deployment- Residential MWs</v>
      </c>
      <c r="M21" s="128" t="str">
        <f t="shared" si="3"/>
        <v>Technology Deployment- Residential MWs</v>
      </c>
      <c r="N21" s="369"/>
    </row>
    <row r="22" spans="1:14">
      <c r="A22" s="169" t="s">
        <v>17</v>
      </c>
      <c r="B22" s="57">
        <f>'Program MW '!D15</f>
        <v>3.0827200000000001</v>
      </c>
      <c r="C22" s="57">
        <f>'Program MW '!G15</f>
        <v>3.1022400000000001</v>
      </c>
      <c r="D22" s="57">
        <f>'Program MW '!J15</f>
        <v>4.2930799999999998</v>
      </c>
      <c r="E22" s="57">
        <f>'Program MW '!M15</f>
        <v>3.3770000000000002</v>
      </c>
      <c r="F22" s="57">
        <f>'Program MW '!P15</f>
        <v>3.4425600000000003</v>
      </c>
      <c r="G22" s="57">
        <f>'Program MW '!S15</f>
        <v>3.2876799999999999</v>
      </c>
      <c r="H22" s="57">
        <f>'Program MW '!D38</f>
        <v>3.3235399999999999</v>
      </c>
      <c r="I22" s="57">
        <f>'Program MW '!G38</f>
        <v>3.3682000000000003</v>
      </c>
      <c r="J22" s="57">
        <f>'Program MW '!J38</f>
        <v>3.4177</v>
      </c>
      <c r="K22" s="57">
        <f>'Program MW '!M38</f>
        <v>3.6825800000000002</v>
      </c>
      <c r="L22" s="57">
        <f>'Program MW '!P38</f>
        <v>3.8093000000000004</v>
      </c>
      <c r="M22" s="57">
        <v>0</v>
      </c>
      <c r="N22" s="369"/>
    </row>
    <row r="23" spans="1:14">
      <c r="A23" s="169" t="s">
        <v>27</v>
      </c>
      <c r="B23" s="57">
        <f>'Ex post LI &amp; Eligibility Stats'!B11*1008/1000</f>
        <v>0.16128000000000001</v>
      </c>
      <c r="C23" s="57">
        <f>'Ex post LI &amp; Eligibility Stats'!C11*1014/1000</f>
        <v>0.16224</v>
      </c>
      <c r="D23" s="57">
        <f>'Ex post LI &amp; Eligibility Stats'!D11*1015/1000</f>
        <v>0.2233</v>
      </c>
      <c r="E23" s="57">
        <f>'Ex post LI &amp; Eligibility Stats'!E11*960/1000</f>
        <v>0.2112</v>
      </c>
      <c r="F23" s="57">
        <f>'Ex post LI &amp; Eligibility Stats'!F11*994/1000</f>
        <v>0.21868000000000001</v>
      </c>
      <c r="G23" s="57">
        <f>'Ex post LI &amp; Eligibility Stats'!G11*980/1000</f>
        <v>0.21559999999999999</v>
      </c>
      <c r="H23" s="57">
        <f>'Ex post LI &amp; Eligibility Stats'!H11*977/1000</f>
        <v>0.21493999999999999</v>
      </c>
      <c r="I23" s="57">
        <f>'Ex post LI &amp; Eligibility Stats'!I11*960/1000</f>
        <v>0.2112</v>
      </c>
      <c r="J23" s="57">
        <f>'Ex post LI &amp; Eligibility Stats'!J11*948/1000</f>
        <v>0.20856</v>
      </c>
      <c r="K23" s="57">
        <f>'Ex post LI &amp; Eligibility Stats'!J11*1041/1000</f>
        <v>0.22902</v>
      </c>
      <c r="L23" s="57">
        <f>'Ex post LI &amp; Eligibility Stats'!K11*1093/1000</f>
        <v>0.24046000000000001</v>
      </c>
      <c r="M23" s="57">
        <v>0</v>
      </c>
    </row>
    <row r="24" spans="1:14">
      <c r="A24" s="169" t="s">
        <v>135</v>
      </c>
      <c r="B24" s="57">
        <f>'Ex post LI &amp; Eligibility Stats'!B11*1489/1000</f>
        <v>0.23824000000000001</v>
      </c>
      <c r="C24" s="57">
        <f>'Ex post LI &amp; Eligibility Stats'!C11*1487/1000</f>
        <v>0.23792000000000002</v>
      </c>
      <c r="D24" s="57">
        <f>'Ex post LI &amp; Eligibility Stats'!D11*1490/1000</f>
        <v>0.32780000000000004</v>
      </c>
      <c r="E24" s="57">
        <f>'Ex post LI &amp; Eligibility Stats'!E11*1442/1000</f>
        <v>0.31724000000000002</v>
      </c>
      <c r="F24" s="57">
        <f>'Ex post LI &amp; Eligibility Stats'!F11*1513/1000</f>
        <v>0.33285999999999999</v>
      </c>
      <c r="G24" s="57">
        <f>'Ex post LI &amp; Eligibility Stats'!G11*1511/1000</f>
        <v>0.33241999999999999</v>
      </c>
      <c r="H24" s="57">
        <f>'Ex post LI &amp; Eligibility Stats'!H11*1574/1000</f>
        <v>0.34628000000000003</v>
      </c>
      <c r="I24" s="57">
        <f>'Ex post LI &amp; Eligibility Stats'!I11*1877/1000</f>
        <v>0.41293999999999997</v>
      </c>
      <c r="J24" s="57">
        <f>'Ex post LI &amp; Eligibility Stats'!J11*1909/1000</f>
        <v>0.41998000000000002</v>
      </c>
      <c r="K24" s="57">
        <f>'Ex post LI &amp; Eligibility Stats'!K11*1909/1000</f>
        <v>0.41998000000000002</v>
      </c>
      <c r="L24" s="57">
        <f>'Ex post LI &amp; Eligibility Stats'!L11*1926/1000</f>
        <v>0.42372000000000004</v>
      </c>
      <c r="M24" s="57">
        <v>0</v>
      </c>
    </row>
    <row r="25" spans="1:14" s="43" customFormat="1">
      <c r="A25" s="168" t="s">
        <v>109</v>
      </c>
      <c r="B25" s="106">
        <f t="shared" ref="B25:H25" si="4">SUM(B22:B24)</f>
        <v>3.48224</v>
      </c>
      <c r="C25" s="60">
        <f t="shared" si="4"/>
        <v>3.5024000000000002</v>
      </c>
      <c r="D25" s="60">
        <f t="shared" si="4"/>
        <v>4.8441799999999997</v>
      </c>
      <c r="E25" s="60">
        <f t="shared" si="4"/>
        <v>3.90544</v>
      </c>
      <c r="F25" s="60">
        <f t="shared" ref="F25" si="5">SUM(F22:F24)</f>
        <v>3.9941000000000004</v>
      </c>
      <c r="G25" s="60">
        <f t="shared" si="4"/>
        <v>3.8356999999999997</v>
      </c>
      <c r="H25" s="60">
        <f t="shared" si="4"/>
        <v>3.88476</v>
      </c>
      <c r="I25" s="60">
        <f t="shared" ref="I25:J25" si="6">SUM(I22:I24)</f>
        <v>3.99234</v>
      </c>
      <c r="J25" s="60">
        <f t="shared" si="6"/>
        <v>4.0462400000000001</v>
      </c>
      <c r="K25" s="60">
        <f>SUM(K22:K24)</f>
        <v>4.3315799999999998</v>
      </c>
      <c r="L25" s="60">
        <f>SUM(L22:L24)</f>
        <v>4.4734800000000003</v>
      </c>
      <c r="M25" s="60">
        <f t="shared" ref="M25" si="7">SUM(M22:M24)</f>
        <v>0</v>
      </c>
    </row>
    <row r="26" spans="1:14" s="51" customFormat="1">
      <c r="A26" s="43"/>
      <c r="B26" s="47"/>
      <c r="C26" s="49"/>
      <c r="D26" s="49"/>
      <c r="E26" s="49"/>
      <c r="F26" s="49"/>
      <c r="G26" s="49"/>
    </row>
    <row r="27" spans="1:14" ht="15">
      <c r="A27" s="262" t="s">
        <v>66</v>
      </c>
      <c r="G27" s="45"/>
    </row>
    <row r="28" spans="1:14" ht="15">
      <c r="A28" s="403" t="s">
        <v>138</v>
      </c>
      <c r="G28" s="45"/>
    </row>
    <row r="29" spans="1:14" ht="15">
      <c r="A29" s="404"/>
      <c r="C29" s="45"/>
      <c r="D29" s="45"/>
      <c r="E29" s="45"/>
      <c r="F29" s="45"/>
      <c r="G29" s="45"/>
    </row>
    <row r="30" spans="1:14">
      <c r="C30" s="45"/>
      <c r="D30" s="45"/>
      <c r="E30" s="45"/>
      <c r="F30" s="45"/>
      <c r="G30" s="45"/>
    </row>
    <row r="31" spans="1:14" ht="21.75" customHeight="1">
      <c r="A31" s="94"/>
      <c r="B31" s="166" t="s">
        <v>10</v>
      </c>
      <c r="C31" s="166" t="s">
        <v>28</v>
      </c>
      <c r="D31" s="166" t="s">
        <v>43</v>
      </c>
      <c r="E31" s="166" t="s">
        <v>44</v>
      </c>
      <c r="F31" s="166" t="s">
        <v>131</v>
      </c>
      <c r="G31" s="166" t="s">
        <v>45</v>
      </c>
      <c r="H31" s="166" t="s">
        <v>60</v>
      </c>
      <c r="I31" s="166" t="s">
        <v>75</v>
      </c>
      <c r="J31" s="166" t="s">
        <v>76</v>
      </c>
      <c r="K31" s="166" t="s">
        <v>62</v>
      </c>
      <c r="L31" s="166" t="s">
        <v>77</v>
      </c>
      <c r="M31" s="167" t="s">
        <v>63</v>
      </c>
    </row>
    <row r="32" spans="1:14" ht="51">
      <c r="A32" s="289" t="s">
        <v>132</v>
      </c>
      <c r="B32" s="128" t="s">
        <v>139</v>
      </c>
      <c r="C32" s="128" t="str">
        <f>B32</f>
        <v>Technology Deployment- Commercial MWs</v>
      </c>
      <c r="D32" s="128" t="str">
        <f>B32</f>
        <v>Technology Deployment- Commercial MWs</v>
      </c>
      <c r="E32" s="128" t="str">
        <f t="shared" ref="E32" si="8">C32</f>
        <v>Technology Deployment- Commercial MWs</v>
      </c>
      <c r="F32" s="128" t="str">
        <f t="shared" ref="F32" si="9">D32</f>
        <v>Technology Deployment- Commercial MWs</v>
      </c>
      <c r="G32" s="128" t="str">
        <f t="shared" ref="G32" si="10">E32</f>
        <v>Technology Deployment- Commercial MWs</v>
      </c>
      <c r="H32" s="128" t="str">
        <f t="shared" ref="H32" si="11">F32</f>
        <v>Technology Deployment- Commercial MWs</v>
      </c>
      <c r="I32" s="128" t="s">
        <v>140</v>
      </c>
      <c r="J32" s="128" t="str">
        <f t="shared" ref="J32" si="12">H32</f>
        <v>Technology Deployment- Commercial MWs</v>
      </c>
      <c r="K32" s="128" t="str">
        <f>B32</f>
        <v>Technology Deployment- Commercial MWs</v>
      </c>
      <c r="L32" s="128" t="s">
        <v>140</v>
      </c>
      <c r="M32" s="128" t="str">
        <f t="shared" ref="M32" si="13">K32</f>
        <v>Technology Deployment- Commercial MWs</v>
      </c>
    </row>
    <row r="33" spans="1:13">
      <c r="A33" s="169" t="s">
        <v>20</v>
      </c>
      <c r="B33" s="57">
        <f>'Program MW '!D18</f>
        <v>0.37775999999999998</v>
      </c>
      <c r="C33" s="57">
        <f>'Program MW '!G16</f>
        <v>0.76703999999999994</v>
      </c>
      <c r="D33" s="57">
        <f>'Program MW '!J16</f>
        <v>0.58787999999999996</v>
      </c>
      <c r="E33" s="57">
        <f>'Program MW '!M16</f>
        <v>0.34559999999999996</v>
      </c>
      <c r="F33" s="57">
        <f>'Program MW '!P16</f>
        <v>0.34991999999999995</v>
      </c>
      <c r="G33" s="57">
        <f>'Program MW '!S16</f>
        <v>0.35279999999999995</v>
      </c>
      <c r="H33" s="57">
        <f>'Program MW '!D39</f>
        <v>0.35495999999999994</v>
      </c>
      <c r="I33" s="57">
        <f>'Program MW '!G39</f>
        <v>0.37475999999999998</v>
      </c>
      <c r="J33" s="57">
        <f>'Program MW '!J41</f>
        <v>0.28538999999999998</v>
      </c>
      <c r="K33" s="57">
        <f>'Program MW '!P39</f>
        <v>0.30239999999999995</v>
      </c>
      <c r="L33" s="57">
        <f>'Program MW '!P39</f>
        <v>0.30239999999999995</v>
      </c>
      <c r="M33" s="57">
        <v>0</v>
      </c>
    </row>
    <row r="34" spans="1:13">
      <c r="A34" s="169" t="s">
        <v>26</v>
      </c>
      <c r="B34" s="57">
        <f>'Ex post LI &amp; Eligibility Stats'!B12*1165/1000</f>
        <v>0.54754999999999998</v>
      </c>
      <c r="C34" s="57">
        <f>'Ex post LI &amp; Eligibility Stats'!C12*1151/1000</f>
        <v>0.54096999999999995</v>
      </c>
      <c r="D34" s="57">
        <f>'Ex post LI &amp; Eligibility Stats'!D12*727/1000</f>
        <v>0.26171999999999995</v>
      </c>
      <c r="E34" s="57">
        <f>'Ex post LI &amp; Eligibility Stats'!E12*1152/1000</f>
        <v>0.41471999999999998</v>
      </c>
      <c r="F34" s="57">
        <f>'Ex post LI &amp; Eligibility Stats'!F12*774/1000</f>
        <v>0.27864</v>
      </c>
      <c r="G34" s="57">
        <f>'Ex post LI &amp; Eligibility Stats'!G12*709/1000</f>
        <v>0.25523999999999997</v>
      </c>
      <c r="H34" s="57">
        <f>'Ex post LI &amp; Eligibility Stats'!H12*698/1000</f>
        <v>0.25128</v>
      </c>
      <c r="I34" s="57">
        <f>'Ex post LI &amp; Eligibility Stats'!I12*687/1000</f>
        <v>0.24731999999999998</v>
      </c>
      <c r="J34" s="57">
        <f>'Ex post LI &amp; Eligibility Stats'!J12*679/1000</f>
        <v>0.24443999999999999</v>
      </c>
      <c r="K34" s="57">
        <f>'Ex post LI &amp; Eligibility Stats'!K12*674/1000</f>
        <v>0.24263999999999999</v>
      </c>
      <c r="L34" s="57">
        <f>'Ex post LI &amp; Eligibility Stats'!L12*751/1000</f>
        <v>0.27035999999999999</v>
      </c>
      <c r="M34" s="57">
        <v>0</v>
      </c>
    </row>
    <row r="35" spans="1:13">
      <c r="A35" s="490" t="s">
        <v>56</v>
      </c>
      <c r="B35" s="462">
        <v>0</v>
      </c>
      <c r="C35" s="462">
        <v>0</v>
      </c>
      <c r="D35" s="462">
        <v>0</v>
      </c>
      <c r="E35" s="462">
        <v>0</v>
      </c>
      <c r="F35" s="462">
        <v>0</v>
      </c>
      <c r="G35" s="462">
        <v>0</v>
      </c>
      <c r="H35" s="462">
        <v>0</v>
      </c>
      <c r="I35" s="462">
        <v>0</v>
      </c>
      <c r="J35" s="462">
        <v>0</v>
      </c>
      <c r="K35" s="462">
        <v>0</v>
      </c>
      <c r="L35" s="462">
        <v>0</v>
      </c>
      <c r="M35" s="57">
        <v>0</v>
      </c>
    </row>
    <row r="36" spans="1:13">
      <c r="A36" s="169" t="s">
        <v>107</v>
      </c>
      <c r="B36" s="57">
        <f>'Ex post LI &amp; Eligibility Stats'!B12*570/1000</f>
        <v>0.26789999999999997</v>
      </c>
      <c r="C36" s="57">
        <f>'Ex post LI &amp; Eligibility Stats'!C12*569/1000</f>
        <v>0.26743</v>
      </c>
      <c r="D36" s="57">
        <f>'Ex post LI &amp; Eligibility Stats'!D12*466/1000</f>
        <v>0.16775999999999999</v>
      </c>
      <c r="E36" s="57">
        <f>'Ex post LI &amp; Eligibility Stats'!E12*569/1000</f>
        <v>0.20483999999999999</v>
      </c>
      <c r="F36" s="57">
        <f>'Ex post LI &amp; Eligibility Stats'!F12*457/1000</f>
        <v>0.16451999999999997</v>
      </c>
      <c r="G36" s="57">
        <f>'Ex post LI &amp; Eligibility Stats'!G12*447/1000</f>
        <v>0.16091999999999998</v>
      </c>
      <c r="H36" s="57">
        <f>'Ex post LI &amp; Eligibility Stats'!H12*440/1000</f>
        <v>0.15840000000000001</v>
      </c>
      <c r="I36" s="57">
        <f>'Ex post LI &amp; Eligibility Stats'!I12*388/1000</f>
        <v>0.13968</v>
      </c>
      <c r="J36" s="57">
        <f>'Ex post LI &amp; Eligibility Stats'!J12*386/1000</f>
        <v>0.13896</v>
      </c>
      <c r="K36" s="57">
        <f>'Ex post LI &amp; Eligibility Stats'!K12*374/1000</f>
        <v>0.13463999999999998</v>
      </c>
      <c r="L36" s="57">
        <f>'Ex post LI &amp; Eligibility Stats'!L12*386/1000</f>
        <v>0.13896</v>
      </c>
      <c r="M36" s="57">
        <v>0</v>
      </c>
    </row>
    <row r="37" spans="1:13">
      <c r="A37" s="169" t="s">
        <v>108</v>
      </c>
      <c r="B37" s="57">
        <f>'Ex post LI &amp; Eligibility Stats'!B13*570/1000</f>
        <v>0.14249999999999999</v>
      </c>
      <c r="C37" s="57">
        <f>'Program MW '!E19</f>
        <v>0</v>
      </c>
      <c r="D37" s="57">
        <f>'Program MW '!F19</f>
        <v>0</v>
      </c>
      <c r="E37" s="57">
        <v>0</v>
      </c>
      <c r="F37" s="57">
        <v>0</v>
      </c>
      <c r="G37" s="57">
        <v>0</v>
      </c>
      <c r="H37" s="57">
        <v>0</v>
      </c>
      <c r="I37" s="57">
        <v>0</v>
      </c>
      <c r="J37" s="57">
        <v>0</v>
      </c>
      <c r="K37" s="57">
        <v>0</v>
      </c>
      <c r="L37" s="57">
        <v>0</v>
      </c>
      <c r="M37" s="57">
        <v>0</v>
      </c>
    </row>
    <row r="38" spans="1:13">
      <c r="A38" s="169" t="s">
        <v>134</v>
      </c>
      <c r="B38" s="57">
        <f>'Ex post LI &amp; Eligibility Stats'!B14*570/1000</f>
        <v>6.8399999999999989E-2</v>
      </c>
      <c r="C38" s="57">
        <f>'Program MW '!E20</f>
        <v>0</v>
      </c>
      <c r="D38" s="57">
        <f>'Program MW '!F20</f>
        <v>0</v>
      </c>
      <c r="E38" s="57">
        <v>0</v>
      </c>
      <c r="F38" s="57">
        <v>0</v>
      </c>
      <c r="G38" s="57">
        <v>0</v>
      </c>
      <c r="H38" s="57">
        <v>0</v>
      </c>
      <c r="I38" s="57">
        <v>0</v>
      </c>
      <c r="J38" s="57">
        <v>0</v>
      </c>
      <c r="K38" s="57">
        <v>0</v>
      </c>
      <c r="L38" s="57">
        <v>0</v>
      </c>
      <c r="M38" s="57">
        <v>0</v>
      </c>
    </row>
    <row r="39" spans="1:13">
      <c r="A39" s="169" t="s">
        <v>135</v>
      </c>
      <c r="B39" s="57">
        <f>'Ex post LI &amp; Eligibility Stats'!B15*1/1000</f>
        <v>6.9500000000000004E-3</v>
      </c>
      <c r="C39" s="57">
        <f>'Ex post LI &amp; Eligibility Stats'!C15*1/1000</f>
        <v>6.9500000000000004E-3</v>
      </c>
      <c r="D39" s="57">
        <f>'Ex post LI &amp; Eligibility Stats'!D15*1/1000</f>
        <v>2.63E-2</v>
      </c>
      <c r="E39" s="57">
        <v>0</v>
      </c>
      <c r="F39" s="57">
        <v>0</v>
      </c>
      <c r="G39" s="57">
        <v>0</v>
      </c>
      <c r="H39" s="57">
        <v>0</v>
      </c>
      <c r="I39" s="57">
        <v>0</v>
      </c>
      <c r="J39" s="57">
        <v>0</v>
      </c>
      <c r="K39" s="57">
        <v>0</v>
      </c>
      <c r="L39" s="57">
        <v>0</v>
      </c>
      <c r="M39" s="57">
        <v>0</v>
      </c>
    </row>
    <row r="40" spans="1:13" s="43" customFormat="1">
      <c r="A40" s="168" t="s">
        <v>109</v>
      </c>
      <c r="B40" s="106">
        <f t="shared" ref="B40:C40" si="14">SUM(B33:B39)</f>
        <v>1.41106</v>
      </c>
      <c r="C40" s="106">
        <f t="shared" si="14"/>
        <v>1.58239</v>
      </c>
      <c r="D40" s="106">
        <f t="shared" ref="D40:M40" si="15">SUM(D33:D39)</f>
        <v>1.0436599999999998</v>
      </c>
      <c r="E40" s="106">
        <f t="shared" si="15"/>
        <v>0.96515999999999991</v>
      </c>
      <c r="F40" s="106">
        <f t="shared" ref="F40" si="16">SUM(F33:F39)</f>
        <v>0.79308000000000001</v>
      </c>
      <c r="G40" s="106">
        <f t="shared" si="15"/>
        <v>0.76895999999999987</v>
      </c>
      <c r="H40" s="106">
        <f t="shared" si="15"/>
        <v>0.76463999999999988</v>
      </c>
      <c r="I40" s="106">
        <f t="shared" si="15"/>
        <v>0.76175999999999999</v>
      </c>
      <c r="J40" s="106">
        <f t="shared" ref="J40" si="17">SUM(J33:J39)</f>
        <v>0.66879</v>
      </c>
      <c r="K40" s="106">
        <f>SUM(K33:K39)</f>
        <v>0.67967999999999995</v>
      </c>
      <c r="L40" s="106">
        <f>SUM(L33:L39)</f>
        <v>0.71171999999999991</v>
      </c>
      <c r="M40" s="106">
        <f t="shared" si="15"/>
        <v>0</v>
      </c>
    </row>
    <row r="41" spans="1:13">
      <c r="C41" s="45"/>
      <c r="D41" s="45"/>
      <c r="E41" s="45"/>
      <c r="F41" s="45"/>
      <c r="G41" s="45"/>
    </row>
    <row r="42" spans="1:13" ht="15">
      <c r="A42" s="262" t="s">
        <v>66</v>
      </c>
      <c r="G42" s="45"/>
    </row>
    <row r="43" spans="1:13" ht="14.25">
      <c r="A43" s="493" t="s">
        <v>138</v>
      </c>
      <c r="B43" s="203"/>
      <c r="C43" s="203"/>
      <c r="D43" s="300"/>
      <c r="E43" s="300"/>
      <c r="F43" s="300"/>
      <c r="G43" s="203"/>
      <c r="H43" s="203"/>
      <c r="I43" s="203"/>
      <c r="J43" s="203"/>
      <c r="K43" s="203"/>
    </row>
    <row r="44" spans="1:13" ht="14.25">
      <c r="A44" s="499"/>
      <c r="B44" s="203"/>
      <c r="C44" s="203"/>
      <c r="D44" s="300"/>
      <c r="E44" s="300"/>
      <c r="F44" s="300"/>
      <c r="G44" s="203"/>
      <c r="H44" s="203"/>
      <c r="I44" s="203"/>
      <c r="J44" s="203"/>
      <c r="K44" s="203"/>
    </row>
    <row r="45" spans="1:13" ht="15">
      <c r="A45" s="263" t="s">
        <v>73</v>
      </c>
    </row>
    <row r="47" spans="1:13" ht="15">
      <c r="A47" s="148" t="s">
        <v>57</v>
      </c>
    </row>
    <row r="49" spans="1:1">
      <c r="A49" s="212"/>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B11" activePane="bottomRight" state="frozen"/>
      <selection pane="topRight" activeCell="V16" sqref="V16"/>
      <selection pane="bottomLeft" activeCell="V16" sqref="V16"/>
      <selection pane="bottomRight"/>
    </sheetView>
  </sheetViews>
  <sheetFormatPr defaultRowHeight="12"/>
  <cols>
    <col min="1" max="1" width="84.28515625" style="278" customWidth="1"/>
    <col min="2" max="3" width="12.7109375" style="278" customWidth="1"/>
    <col min="4" max="4" width="9.42578125" style="278" bestFit="1" customWidth="1"/>
    <col min="5" max="10" width="12.7109375" style="278" customWidth="1"/>
    <col min="11" max="11" width="10.7109375" style="278" customWidth="1"/>
    <col min="12" max="13" width="12.7109375" style="278" customWidth="1"/>
    <col min="14" max="14" width="17.28515625" style="278" customWidth="1"/>
    <col min="15" max="15" width="11.7109375" style="278" customWidth="1"/>
    <col min="16" max="16" width="13.28515625" style="278" hidden="1" customWidth="1"/>
    <col min="17" max="17" width="11.7109375" style="278" customWidth="1"/>
    <col min="18" max="256" width="9.28515625" style="278"/>
    <col min="257" max="257" width="70" style="278" customWidth="1"/>
    <col min="258" max="269" width="12.7109375" style="278" customWidth="1"/>
    <col min="270" max="270" width="11" style="278" customWidth="1"/>
    <col min="271" max="271" width="0" style="278" hidden="1" customWidth="1"/>
    <col min="272" max="273" width="11.7109375" style="278" customWidth="1"/>
    <col min="274" max="512" width="9.28515625" style="278"/>
    <col min="513" max="513" width="70" style="278" customWidth="1"/>
    <col min="514" max="525" width="12.7109375" style="278" customWidth="1"/>
    <col min="526" max="526" width="11" style="278" customWidth="1"/>
    <col min="527" max="527" width="0" style="278" hidden="1" customWidth="1"/>
    <col min="528" max="529" width="11.7109375" style="278" customWidth="1"/>
    <col min="530" max="768" width="9.28515625" style="278"/>
    <col min="769" max="769" width="70" style="278" customWidth="1"/>
    <col min="770" max="781" width="12.7109375" style="278" customWidth="1"/>
    <col min="782" max="782" width="11" style="278" customWidth="1"/>
    <col min="783" max="783" width="0" style="278" hidden="1" customWidth="1"/>
    <col min="784" max="785" width="11.7109375" style="278" customWidth="1"/>
    <col min="786" max="1024" width="9.28515625" style="278"/>
    <col min="1025" max="1025" width="70" style="278" customWidth="1"/>
    <col min="1026" max="1037" width="12.7109375" style="278" customWidth="1"/>
    <col min="1038" max="1038" width="11" style="278" customWidth="1"/>
    <col min="1039" max="1039" width="0" style="278" hidden="1" customWidth="1"/>
    <col min="1040" max="1041" width="11.7109375" style="278" customWidth="1"/>
    <col min="1042" max="1280" width="9.28515625" style="278"/>
    <col min="1281" max="1281" width="70" style="278" customWidth="1"/>
    <col min="1282" max="1293" width="12.7109375" style="278" customWidth="1"/>
    <col min="1294" max="1294" width="11" style="278" customWidth="1"/>
    <col min="1295" max="1295" width="0" style="278" hidden="1" customWidth="1"/>
    <col min="1296" max="1297" width="11.7109375" style="278" customWidth="1"/>
    <col min="1298" max="1536" width="9.28515625" style="278"/>
    <col min="1537" max="1537" width="70" style="278" customWidth="1"/>
    <col min="1538" max="1549" width="12.7109375" style="278" customWidth="1"/>
    <col min="1550" max="1550" width="11" style="278" customWidth="1"/>
    <col min="1551" max="1551" width="0" style="278" hidden="1" customWidth="1"/>
    <col min="1552" max="1553" width="11.7109375" style="278" customWidth="1"/>
    <col min="1554" max="1792" width="9.28515625" style="278"/>
    <col min="1793" max="1793" width="70" style="278" customWidth="1"/>
    <col min="1794" max="1805" width="12.7109375" style="278" customWidth="1"/>
    <col min="1806" max="1806" width="11" style="278" customWidth="1"/>
    <col min="1807" max="1807" width="0" style="278" hidden="1" customWidth="1"/>
    <col min="1808" max="1809" width="11.7109375" style="278" customWidth="1"/>
    <col min="1810" max="2048" width="9.28515625" style="278"/>
    <col min="2049" max="2049" width="70" style="278" customWidth="1"/>
    <col min="2050" max="2061" width="12.7109375" style="278" customWidth="1"/>
    <col min="2062" max="2062" width="11" style="278" customWidth="1"/>
    <col min="2063" max="2063" width="0" style="278" hidden="1" customWidth="1"/>
    <col min="2064" max="2065" width="11.7109375" style="278" customWidth="1"/>
    <col min="2066" max="2304" width="9.28515625" style="278"/>
    <col min="2305" max="2305" width="70" style="278" customWidth="1"/>
    <col min="2306" max="2317" width="12.7109375" style="278" customWidth="1"/>
    <col min="2318" max="2318" width="11" style="278" customWidth="1"/>
    <col min="2319" max="2319" width="0" style="278" hidden="1" customWidth="1"/>
    <col min="2320" max="2321" width="11.7109375" style="278" customWidth="1"/>
    <col min="2322" max="2560" width="9.28515625" style="278"/>
    <col min="2561" max="2561" width="70" style="278" customWidth="1"/>
    <col min="2562" max="2573" width="12.7109375" style="278" customWidth="1"/>
    <col min="2574" max="2574" width="11" style="278" customWidth="1"/>
    <col min="2575" max="2575" width="0" style="278" hidden="1" customWidth="1"/>
    <col min="2576" max="2577" width="11.7109375" style="278" customWidth="1"/>
    <col min="2578" max="2816" width="9.28515625" style="278"/>
    <col min="2817" max="2817" width="70" style="278" customWidth="1"/>
    <col min="2818" max="2829" width="12.7109375" style="278" customWidth="1"/>
    <col min="2830" max="2830" width="11" style="278" customWidth="1"/>
    <col min="2831" max="2831" width="0" style="278" hidden="1" customWidth="1"/>
    <col min="2832" max="2833" width="11.7109375" style="278" customWidth="1"/>
    <col min="2834" max="3072" width="9.28515625" style="278"/>
    <col min="3073" max="3073" width="70" style="278" customWidth="1"/>
    <col min="3074" max="3085" width="12.7109375" style="278" customWidth="1"/>
    <col min="3086" max="3086" width="11" style="278" customWidth="1"/>
    <col min="3087" max="3087" width="0" style="278" hidden="1" customWidth="1"/>
    <col min="3088" max="3089" width="11.7109375" style="278" customWidth="1"/>
    <col min="3090" max="3328" width="9.28515625" style="278"/>
    <col min="3329" max="3329" width="70" style="278" customWidth="1"/>
    <col min="3330" max="3341" width="12.7109375" style="278" customWidth="1"/>
    <col min="3342" max="3342" width="11" style="278" customWidth="1"/>
    <col min="3343" max="3343" width="0" style="278" hidden="1" customWidth="1"/>
    <col min="3344" max="3345" width="11.7109375" style="278" customWidth="1"/>
    <col min="3346" max="3584" width="9.28515625" style="278"/>
    <col min="3585" max="3585" width="70" style="278" customWidth="1"/>
    <col min="3586" max="3597" width="12.7109375" style="278" customWidth="1"/>
    <col min="3598" max="3598" width="11" style="278" customWidth="1"/>
    <col min="3599" max="3599" width="0" style="278" hidden="1" customWidth="1"/>
    <col min="3600" max="3601" width="11.7109375" style="278" customWidth="1"/>
    <col min="3602" max="3840" width="9.28515625" style="278"/>
    <col min="3841" max="3841" width="70" style="278" customWidth="1"/>
    <col min="3842" max="3853" width="12.7109375" style="278" customWidth="1"/>
    <col min="3854" max="3854" width="11" style="278" customWidth="1"/>
    <col min="3855" max="3855" width="0" style="278" hidden="1" customWidth="1"/>
    <col min="3856" max="3857" width="11.7109375" style="278" customWidth="1"/>
    <col min="3858" max="4096" width="9.28515625" style="278"/>
    <col min="4097" max="4097" width="70" style="278" customWidth="1"/>
    <col min="4098" max="4109" width="12.7109375" style="278" customWidth="1"/>
    <col min="4110" max="4110" width="11" style="278" customWidth="1"/>
    <col min="4111" max="4111" width="0" style="278" hidden="1" customWidth="1"/>
    <col min="4112" max="4113" width="11.7109375" style="278" customWidth="1"/>
    <col min="4114" max="4352" width="9.28515625" style="278"/>
    <col min="4353" max="4353" width="70" style="278" customWidth="1"/>
    <col min="4354" max="4365" width="12.7109375" style="278" customWidth="1"/>
    <col min="4366" max="4366" width="11" style="278" customWidth="1"/>
    <col min="4367" max="4367" width="0" style="278" hidden="1" customWidth="1"/>
    <col min="4368" max="4369" width="11.7109375" style="278" customWidth="1"/>
    <col min="4370" max="4608" width="9.28515625" style="278"/>
    <col min="4609" max="4609" width="70" style="278" customWidth="1"/>
    <col min="4610" max="4621" width="12.7109375" style="278" customWidth="1"/>
    <col min="4622" max="4622" width="11" style="278" customWidth="1"/>
    <col min="4623" max="4623" width="0" style="278" hidden="1" customWidth="1"/>
    <col min="4624" max="4625" width="11.7109375" style="278" customWidth="1"/>
    <col min="4626" max="4864" width="9.28515625" style="278"/>
    <col min="4865" max="4865" width="70" style="278" customWidth="1"/>
    <col min="4866" max="4877" width="12.7109375" style="278" customWidth="1"/>
    <col min="4878" max="4878" width="11" style="278" customWidth="1"/>
    <col min="4879" max="4879" width="0" style="278" hidden="1" customWidth="1"/>
    <col min="4880" max="4881" width="11.7109375" style="278" customWidth="1"/>
    <col min="4882" max="5120" width="9.28515625" style="278"/>
    <col min="5121" max="5121" width="70" style="278" customWidth="1"/>
    <col min="5122" max="5133" width="12.7109375" style="278" customWidth="1"/>
    <col min="5134" max="5134" width="11" style="278" customWidth="1"/>
    <col min="5135" max="5135" width="0" style="278" hidden="1" customWidth="1"/>
    <col min="5136" max="5137" width="11.7109375" style="278" customWidth="1"/>
    <col min="5138" max="5376" width="9.28515625" style="278"/>
    <col min="5377" max="5377" width="70" style="278" customWidth="1"/>
    <col min="5378" max="5389" width="12.7109375" style="278" customWidth="1"/>
    <col min="5390" max="5390" width="11" style="278" customWidth="1"/>
    <col min="5391" max="5391" width="0" style="278" hidden="1" customWidth="1"/>
    <col min="5392" max="5393" width="11.7109375" style="278" customWidth="1"/>
    <col min="5394" max="5632" width="9.28515625" style="278"/>
    <col min="5633" max="5633" width="70" style="278" customWidth="1"/>
    <col min="5634" max="5645" width="12.7109375" style="278" customWidth="1"/>
    <col min="5646" max="5646" width="11" style="278" customWidth="1"/>
    <col min="5647" max="5647" width="0" style="278" hidden="1" customWidth="1"/>
    <col min="5648" max="5649" width="11.7109375" style="278" customWidth="1"/>
    <col min="5650" max="5888" width="9.28515625" style="278"/>
    <col min="5889" max="5889" width="70" style="278" customWidth="1"/>
    <col min="5890" max="5901" width="12.7109375" style="278" customWidth="1"/>
    <col min="5902" max="5902" width="11" style="278" customWidth="1"/>
    <col min="5903" max="5903" width="0" style="278" hidden="1" customWidth="1"/>
    <col min="5904" max="5905" width="11.7109375" style="278" customWidth="1"/>
    <col min="5906" max="6144" width="9.28515625" style="278"/>
    <col min="6145" max="6145" width="70" style="278" customWidth="1"/>
    <col min="6146" max="6157" width="12.7109375" style="278" customWidth="1"/>
    <col min="6158" max="6158" width="11" style="278" customWidth="1"/>
    <col min="6159" max="6159" width="0" style="278" hidden="1" customWidth="1"/>
    <col min="6160" max="6161" width="11.7109375" style="278" customWidth="1"/>
    <col min="6162" max="6400" width="9.28515625" style="278"/>
    <col min="6401" max="6401" width="70" style="278" customWidth="1"/>
    <col min="6402" max="6413" width="12.7109375" style="278" customWidth="1"/>
    <col min="6414" max="6414" width="11" style="278" customWidth="1"/>
    <col min="6415" max="6415" width="0" style="278" hidden="1" customWidth="1"/>
    <col min="6416" max="6417" width="11.7109375" style="278" customWidth="1"/>
    <col min="6418" max="6656" width="9.28515625" style="278"/>
    <col min="6657" max="6657" width="70" style="278" customWidth="1"/>
    <col min="6658" max="6669" width="12.7109375" style="278" customWidth="1"/>
    <col min="6670" max="6670" width="11" style="278" customWidth="1"/>
    <col min="6671" max="6671" width="0" style="278" hidden="1" customWidth="1"/>
    <col min="6672" max="6673" width="11.7109375" style="278" customWidth="1"/>
    <col min="6674" max="6912" width="9.28515625" style="278"/>
    <col min="6913" max="6913" width="70" style="278" customWidth="1"/>
    <col min="6914" max="6925" width="12.7109375" style="278" customWidth="1"/>
    <col min="6926" max="6926" width="11" style="278" customWidth="1"/>
    <col min="6927" max="6927" width="0" style="278" hidden="1" customWidth="1"/>
    <col min="6928" max="6929" width="11.7109375" style="278" customWidth="1"/>
    <col min="6930" max="7168" width="9.28515625" style="278"/>
    <col min="7169" max="7169" width="70" style="278" customWidth="1"/>
    <col min="7170" max="7181" width="12.7109375" style="278" customWidth="1"/>
    <col min="7182" max="7182" width="11" style="278" customWidth="1"/>
    <col min="7183" max="7183" width="0" style="278" hidden="1" customWidth="1"/>
    <col min="7184" max="7185" width="11.7109375" style="278" customWidth="1"/>
    <col min="7186" max="7424" width="9.28515625" style="278"/>
    <col min="7425" max="7425" width="70" style="278" customWidth="1"/>
    <col min="7426" max="7437" width="12.7109375" style="278" customWidth="1"/>
    <col min="7438" max="7438" width="11" style="278" customWidth="1"/>
    <col min="7439" max="7439" width="0" style="278" hidden="1" customWidth="1"/>
    <col min="7440" max="7441" width="11.7109375" style="278" customWidth="1"/>
    <col min="7442" max="7680" width="9.28515625" style="278"/>
    <col min="7681" max="7681" width="70" style="278" customWidth="1"/>
    <col min="7682" max="7693" width="12.7109375" style="278" customWidth="1"/>
    <col min="7694" max="7694" width="11" style="278" customWidth="1"/>
    <col min="7695" max="7695" width="0" style="278" hidden="1" customWidth="1"/>
    <col min="7696" max="7697" width="11.7109375" style="278" customWidth="1"/>
    <col min="7698" max="7936" width="9.28515625" style="278"/>
    <col min="7937" max="7937" width="70" style="278" customWidth="1"/>
    <col min="7938" max="7949" width="12.7109375" style="278" customWidth="1"/>
    <col min="7950" max="7950" width="11" style="278" customWidth="1"/>
    <col min="7951" max="7951" width="0" style="278" hidden="1" customWidth="1"/>
    <col min="7952" max="7953" width="11.7109375" style="278" customWidth="1"/>
    <col min="7954" max="8192" width="9.28515625" style="278"/>
    <col min="8193" max="8193" width="70" style="278" customWidth="1"/>
    <col min="8194" max="8205" width="12.7109375" style="278" customWidth="1"/>
    <col min="8206" max="8206" width="11" style="278" customWidth="1"/>
    <col min="8207" max="8207" width="0" style="278" hidden="1" customWidth="1"/>
    <col min="8208" max="8209" width="11.7109375" style="278" customWidth="1"/>
    <col min="8210" max="8448" width="9.28515625" style="278"/>
    <col min="8449" max="8449" width="70" style="278" customWidth="1"/>
    <col min="8450" max="8461" width="12.7109375" style="278" customWidth="1"/>
    <col min="8462" max="8462" width="11" style="278" customWidth="1"/>
    <col min="8463" max="8463" width="0" style="278" hidden="1" customWidth="1"/>
    <col min="8464" max="8465" width="11.7109375" style="278" customWidth="1"/>
    <col min="8466" max="8704" width="9.28515625" style="278"/>
    <col min="8705" max="8705" width="70" style="278" customWidth="1"/>
    <col min="8706" max="8717" width="12.7109375" style="278" customWidth="1"/>
    <col min="8718" max="8718" width="11" style="278" customWidth="1"/>
    <col min="8719" max="8719" width="0" style="278" hidden="1" customWidth="1"/>
    <col min="8720" max="8721" width="11.7109375" style="278" customWidth="1"/>
    <col min="8722" max="8960" width="9.28515625" style="278"/>
    <col min="8961" max="8961" width="70" style="278" customWidth="1"/>
    <col min="8962" max="8973" width="12.7109375" style="278" customWidth="1"/>
    <col min="8974" max="8974" width="11" style="278" customWidth="1"/>
    <col min="8975" max="8975" width="0" style="278" hidden="1" customWidth="1"/>
    <col min="8976" max="8977" width="11.7109375" style="278" customWidth="1"/>
    <col min="8978" max="9216" width="9.28515625" style="278"/>
    <col min="9217" max="9217" width="70" style="278" customWidth="1"/>
    <col min="9218" max="9229" width="12.7109375" style="278" customWidth="1"/>
    <col min="9230" max="9230" width="11" style="278" customWidth="1"/>
    <col min="9231" max="9231" width="0" style="278" hidden="1" customWidth="1"/>
    <col min="9232" max="9233" width="11.7109375" style="278" customWidth="1"/>
    <col min="9234" max="9472" width="9.28515625" style="278"/>
    <col min="9473" max="9473" width="70" style="278" customWidth="1"/>
    <col min="9474" max="9485" width="12.7109375" style="278" customWidth="1"/>
    <col min="9486" max="9486" width="11" style="278" customWidth="1"/>
    <col min="9487" max="9487" width="0" style="278" hidden="1" customWidth="1"/>
    <col min="9488" max="9489" width="11.7109375" style="278" customWidth="1"/>
    <col min="9490" max="9728" width="9.28515625" style="278"/>
    <col min="9729" max="9729" width="70" style="278" customWidth="1"/>
    <col min="9730" max="9741" width="12.7109375" style="278" customWidth="1"/>
    <col min="9742" max="9742" width="11" style="278" customWidth="1"/>
    <col min="9743" max="9743" width="0" style="278" hidden="1" customWidth="1"/>
    <col min="9744" max="9745" width="11.7109375" style="278" customWidth="1"/>
    <col min="9746" max="9984" width="9.28515625" style="278"/>
    <col min="9985" max="9985" width="70" style="278" customWidth="1"/>
    <col min="9986" max="9997" width="12.7109375" style="278" customWidth="1"/>
    <col min="9998" max="9998" width="11" style="278" customWidth="1"/>
    <col min="9999" max="9999" width="0" style="278" hidden="1" customWidth="1"/>
    <col min="10000" max="10001" width="11.7109375" style="278" customWidth="1"/>
    <col min="10002" max="10240" width="9.28515625" style="278"/>
    <col min="10241" max="10241" width="70" style="278" customWidth="1"/>
    <col min="10242" max="10253" width="12.7109375" style="278" customWidth="1"/>
    <col min="10254" max="10254" width="11" style="278" customWidth="1"/>
    <col min="10255" max="10255" width="0" style="278" hidden="1" customWidth="1"/>
    <col min="10256" max="10257" width="11.7109375" style="278" customWidth="1"/>
    <col min="10258" max="10496" width="9.28515625" style="278"/>
    <col min="10497" max="10497" width="70" style="278" customWidth="1"/>
    <col min="10498" max="10509" width="12.7109375" style="278" customWidth="1"/>
    <col min="10510" max="10510" width="11" style="278" customWidth="1"/>
    <col min="10511" max="10511" width="0" style="278" hidden="1" customWidth="1"/>
    <col min="10512" max="10513" width="11.7109375" style="278" customWidth="1"/>
    <col min="10514" max="10752" width="9.28515625" style="278"/>
    <col min="10753" max="10753" width="70" style="278" customWidth="1"/>
    <col min="10754" max="10765" width="12.7109375" style="278" customWidth="1"/>
    <col min="10766" max="10766" width="11" style="278" customWidth="1"/>
    <col min="10767" max="10767" width="0" style="278" hidden="1" customWidth="1"/>
    <col min="10768" max="10769" width="11.7109375" style="278" customWidth="1"/>
    <col min="10770" max="11008" width="9.28515625" style="278"/>
    <col min="11009" max="11009" width="70" style="278" customWidth="1"/>
    <col min="11010" max="11021" width="12.7109375" style="278" customWidth="1"/>
    <col min="11022" max="11022" width="11" style="278" customWidth="1"/>
    <col min="11023" max="11023" width="0" style="278" hidden="1" customWidth="1"/>
    <col min="11024" max="11025" width="11.7109375" style="278" customWidth="1"/>
    <col min="11026" max="11264" width="9.28515625" style="278"/>
    <col min="11265" max="11265" width="70" style="278" customWidth="1"/>
    <col min="11266" max="11277" width="12.7109375" style="278" customWidth="1"/>
    <col min="11278" max="11278" width="11" style="278" customWidth="1"/>
    <col min="11279" max="11279" width="0" style="278" hidden="1" customWidth="1"/>
    <col min="11280" max="11281" width="11.7109375" style="278" customWidth="1"/>
    <col min="11282" max="11520" width="9.28515625" style="278"/>
    <col min="11521" max="11521" width="70" style="278" customWidth="1"/>
    <col min="11522" max="11533" width="12.7109375" style="278" customWidth="1"/>
    <col min="11534" max="11534" width="11" style="278" customWidth="1"/>
    <col min="11535" max="11535" width="0" style="278" hidden="1" customWidth="1"/>
    <col min="11536" max="11537" width="11.7109375" style="278" customWidth="1"/>
    <col min="11538" max="11776" width="9.28515625" style="278"/>
    <col min="11777" max="11777" width="70" style="278" customWidth="1"/>
    <col min="11778" max="11789" width="12.7109375" style="278" customWidth="1"/>
    <col min="11790" max="11790" width="11" style="278" customWidth="1"/>
    <col min="11791" max="11791" width="0" style="278" hidden="1" customWidth="1"/>
    <col min="11792" max="11793" width="11.7109375" style="278" customWidth="1"/>
    <col min="11794" max="12032" width="9.28515625" style="278"/>
    <col min="12033" max="12033" width="70" style="278" customWidth="1"/>
    <col min="12034" max="12045" width="12.7109375" style="278" customWidth="1"/>
    <col min="12046" max="12046" width="11" style="278" customWidth="1"/>
    <col min="12047" max="12047" width="0" style="278" hidden="1" customWidth="1"/>
    <col min="12048" max="12049" width="11.7109375" style="278" customWidth="1"/>
    <col min="12050" max="12288" width="9.28515625" style="278"/>
    <col min="12289" max="12289" width="70" style="278" customWidth="1"/>
    <col min="12290" max="12301" width="12.7109375" style="278" customWidth="1"/>
    <col min="12302" max="12302" width="11" style="278" customWidth="1"/>
    <col min="12303" max="12303" width="0" style="278" hidden="1" customWidth="1"/>
    <col min="12304" max="12305" width="11.7109375" style="278" customWidth="1"/>
    <col min="12306" max="12544" width="9.28515625" style="278"/>
    <col min="12545" max="12545" width="70" style="278" customWidth="1"/>
    <col min="12546" max="12557" width="12.7109375" style="278" customWidth="1"/>
    <col min="12558" max="12558" width="11" style="278" customWidth="1"/>
    <col min="12559" max="12559" width="0" style="278" hidden="1" customWidth="1"/>
    <col min="12560" max="12561" width="11.7109375" style="278" customWidth="1"/>
    <col min="12562" max="12800" width="9.28515625" style="278"/>
    <col min="12801" max="12801" width="70" style="278" customWidth="1"/>
    <col min="12802" max="12813" width="12.7109375" style="278" customWidth="1"/>
    <col min="12814" max="12814" width="11" style="278" customWidth="1"/>
    <col min="12815" max="12815" width="0" style="278" hidden="1" customWidth="1"/>
    <col min="12816" max="12817" width="11.7109375" style="278" customWidth="1"/>
    <col min="12818" max="13056" width="9.28515625" style="278"/>
    <col min="13057" max="13057" width="70" style="278" customWidth="1"/>
    <col min="13058" max="13069" width="12.7109375" style="278" customWidth="1"/>
    <col min="13070" max="13070" width="11" style="278" customWidth="1"/>
    <col min="13071" max="13071" width="0" style="278" hidden="1" customWidth="1"/>
    <col min="13072" max="13073" width="11.7109375" style="278" customWidth="1"/>
    <col min="13074" max="13312" width="9.28515625" style="278"/>
    <col min="13313" max="13313" width="70" style="278" customWidth="1"/>
    <col min="13314" max="13325" width="12.7109375" style="278" customWidth="1"/>
    <col min="13326" max="13326" width="11" style="278" customWidth="1"/>
    <col min="13327" max="13327" width="0" style="278" hidden="1" customWidth="1"/>
    <col min="13328" max="13329" width="11.7109375" style="278" customWidth="1"/>
    <col min="13330" max="13568" width="9.28515625" style="278"/>
    <col min="13569" max="13569" width="70" style="278" customWidth="1"/>
    <col min="13570" max="13581" width="12.7109375" style="278" customWidth="1"/>
    <col min="13582" max="13582" width="11" style="278" customWidth="1"/>
    <col min="13583" max="13583" width="0" style="278" hidden="1" customWidth="1"/>
    <col min="13584" max="13585" width="11.7109375" style="278" customWidth="1"/>
    <col min="13586" max="13824" width="9.28515625" style="278"/>
    <col min="13825" max="13825" width="70" style="278" customWidth="1"/>
    <col min="13826" max="13837" width="12.7109375" style="278" customWidth="1"/>
    <col min="13838" max="13838" width="11" style="278" customWidth="1"/>
    <col min="13839" max="13839" width="0" style="278" hidden="1" customWidth="1"/>
    <col min="13840" max="13841" width="11.7109375" style="278" customWidth="1"/>
    <col min="13842" max="14080" width="9.28515625" style="278"/>
    <col min="14081" max="14081" width="70" style="278" customWidth="1"/>
    <col min="14082" max="14093" width="12.7109375" style="278" customWidth="1"/>
    <col min="14094" max="14094" width="11" style="278" customWidth="1"/>
    <col min="14095" max="14095" width="0" style="278" hidden="1" customWidth="1"/>
    <col min="14096" max="14097" width="11.7109375" style="278" customWidth="1"/>
    <col min="14098" max="14336" width="9.28515625" style="278"/>
    <col min="14337" max="14337" width="70" style="278" customWidth="1"/>
    <col min="14338" max="14349" width="12.7109375" style="278" customWidth="1"/>
    <col min="14350" max="14350" width="11" style="278" customWidth="1"/>
    <col min="14351" max="14351" width="0" style="278" hidden="1" customWidth="1"/>
    <col min="14352" max="14353" width="11.7109375" style="278" customWidth="1"/>
    <col min="14354" max="14592" width="9.28515625" style="278"/>
    <col min="14593" max="14593" width="70" style="278" customWidth="1"/>
    <col min="14594" max="14605" width="12.7109375" style="278" customWidth="1"/>
    <col min="14606" max="14606" width="11" style="278" customWidth="1"/>
    <col min="14607" max="14607" width="0" style="278" hidden="1" customWidth="1"/>
    <col min="14608" max="14609" width="11.7109375" style="278" customWidth="1"/>
    <col min="14610" max="14848" width="9.28515625" style="278"/>
    <col min="14849" max="14849" width="70" style="278" customWidth="1"/>
    <col min="14850" max="14861" width="12.7109375" style="278" customWidth="1"/>
    <col min="14862" max="14862" width="11" style="278" customWidth="1"/>
    <col min="14863" max="14863" width="0" style="278" hidden="1" customWidth="1"/>
    <col min="14864" max="14865" width="11.7109375" style="278" customWidth="1"/>
    <col min="14866" max="15104" width="9.28515625" style="278"/>
    <col min="15105" max="15105" width="70" style="278" customWidth="1"/>
    <col min="15106" max="15117" width="12.7109375" style="278" customWidth="1"/>
    <col min="15118" max="15118" width="11" style="278" customWidth="1"/>
    <col min="15119" max="15119" width="0" style="278" hidden="1" customWidth="1"/>
    <col min="15120" max="15121" width="11.7109375" style="278" customWidth="1"/>
    <col min="15122" max="15360" width="9.28515625" style="278"/>
    <col min="15361" max="15361" width="70" style="278" customWidth="1"/>
    <col min="15362" max="15373" width="12.7109375" style="278" customWidth="1"/>
    <col min="15374" max="15374" width="11" style="278" customWidth="1"/>
    <col min="15375" max="15375" width="0" style="278" hidden="1" customWidth="1"/>
    <col min="15376" max="15377" width="11.7109375" style="278" customWidth="1"/>
    <col min="15378" max="15616" width="9.28515625" style="278"/>
    <col min="15617" max="15617" width="70" style="278" customWidth="1"/>
    <col min="15618" max="15629" width="12.7109375" style="278" customWidth="1"/>
    <col min="15630" max="15630" width="11" style="278" customWidth="1"/>
    <col min="15631" max="15631" width="0" style="278" hidden="1" customWidth="1"/>
    <col min="15632" max="15633" width="11.7109375" style="278" customWidth="1"/>
    <col min="15634" max="15872" width="9.28515625" style="278"/>
    <col min="15873" max="15873" width="70" style="278" customWidth="1"/>
    <col min="15874" max="15885" width="12.7109375" style="278" customWidth="1"/>
    <col min="15886" max="15886" width="11" style="278" customWidth="1"/>
    <col min="15887" max="15887" width="0" style="278" hidden="1" customWidth="1"/>
    <col min="15888" max="15889" width="11.7109375" style="278" customWidth="1"/>
    <col min="15890" max="16128" width="9.28515625" style="278"/>
    <col min="16129" max="16129" width="70" style="278" customWidth="1"/>
    <col min="16130" max="16141" width="12.7109375" style="278" customWidth="1"/>
    <col min="16142" max="16142" width="11" style="278" customWidth="1"/>
    <col min="16143" max="16143" width="0" style="278" hidden="1" customWidth="1"/>
    <col min="16144" max="16145" width="11.7109375" style="278" customWidth="1"/>
    <col min="16146" max="16384" width="9.28515625" style="278"/>
  </cols>
  <sheetData>
    <row r="1" spans="1:17" ht="13.5" customHeight="1">
      <c r="L1" s="279"/>
      <c r="O1" s="279"/>
      <c r="P1" s="279"/>
      <c r="Q1" s="279"/>
    </row>
    <row r="2" spans="1:17" ht="13.5" customHeight="1">
      <c r="C2" s="408" t="s">
        <v>39</v>
      </c>
      <c r="L2" s="279"/>
      <c r="O2" s="279"/>
      <c r="P2" s="279"/>
      <c r="Q2" s="279"/>
    </row>
    <row r="3" spans="1:17" ht="13.5" customHeight="1">
      <c r="C3" s="408" t="s">
        <v>141</v>
      </c>
      <c r="F3" s="280"/>
      <c r="G3" s="280"/>
      <c r="H3" s="280"/>
      <c r="I3" s="280"/>
      <c r="L3" s="279"/>
      <c r="O3" s="279"/>
      <c r="P3" s="279"/>
      <c r="Q3" s="279"/>
    </row>
    <row r="4" spans="1:17" ht="13.5" customHeight="1">
      <c r="B4" s="280"/>
      <c r="C4" s="409" t="str">
        <f>'Program MW '!H3</f>
        <v>November 2020</v>
      </c>
      <c r="D4" s="280"/>
      <c r="L4" s="279"/>
      <c r="O4" s="279"/>
      <c r="P4" s="279"/>
      <c r="Q4" s="279"/>
    </row>
    <row r="5" spans="1:17" ht="13.5" customHeight="1">
      <c r="L5" s="279"/>
      <c r="O5" s="279"/>
      <c r="P5" s="279"/>
      <c r="Q5" s="279"/>
    </row>
    <row r="6" spans="1:17" s="292" customFormat="1" ht="13.5" customHeight="1"/>
    <row r="7" spans="1:17" s="292" customFormat="1" ht="18" customHeight="1">
      <c r="A7" s="329"/>
      <c r="B7" s="410" t="s">
        <v>142</v>
      </c>
      <c r="C7" s="329"/>
      <c r="D7" s="329"/>
      <c r="E7" s="329"/>
      <c r="F7" s="329"/>
      <c r="G7" s="329"/>
      <c r="H7" s="329"/>
      <c r="I7" s="329"/>
      <c r="J7" s="329"/>
      <c r="K7" s="329"/>
      <c r="L7" s="329"/>
      <c r="M7" s="330"/>
      <c r="N7" s="690" t="s">
        <v>143</v>
      </c>
      <c r="O7" s="688" t="s">
        <v>144</v>
      </c>
      <c r="P7" s="293"/>
      <c r="Q7" s="690" t="s">
        <v>145</v>
      </c>
    </row>
    <row r="8" spans="1:17" s="292" customFormat="1" ht="39" customHeight="1">
      <c r="A8" s="398"/>
      <c r="B8" s="411" t="s">
        <v>41</v>
      </c>
      <c r="C8" s="412" t="s">
        <v>42</v>
      </c>
      <c r="D8" s="412" t="s">
        <v>43</v>
      </c>
      <c r="E8" s="412" t="s">
        <v>44</v>
      </c>
      <c r="F8" s="412" t="s">
        <v>31</v>
      </c>
      <c r="G8" s="412" t="s">
        <v>45</v>
      </c>
      <c r="H8" s="412" t="s">
        <v>60</v>
      </c>
      <c r="I8" s="412" t="s">
        <v>75</v>
      </c>
      <c r="J8" s="412" t="s">
        <v>76</v>
      </c>
      <c r="K8" s="444" t="s">
        <v>146</v>
      </c>
      <c r="L8" s="412" t="s">
        <v>77</v>
      </c>
      <c r="M8" s="413" t="s">
        <v>63</v>
      </c>
      <c r="N8" s="691"/>
      <c r="O8" s="689"/>
      <c r="P8" s="294" t="s">
        <v>147</v>
      </c>
      <c r="Q8" s="691"/>
    </row>
    <row r="9" spans="1:17" s="292" customFormat="1" ht="15.75">
      <c r="A9" s="418" t="s">
        <v>148</v>
      </c>
      <c r="B9" s="396"/>
      <c r="N9" s="337"/>
      <c r="Q9" s="301"/>
    </row>
    <row r="10" spans="1:17" s="292" customFormat="1" ht="12.75">
      <c r="A10" s="414" t="s">
        <v>149</v>
      </c>
      <c r="B10" s="396"/>
      <c r="C10" s="396"/>
      <c r="D10" s="396"/>
      <c r="E10" s="396"/>
      <c r="F10" s="396"/>
      <c r="G10" s="396"/>
      <c r="H10" s="396"/>
      <c r="I10" s="396"/>
      <c r="J10" s="396"/>
      <c r="K10" s="396"/>
      <c r="L10" s="396"/>
      <c r="M10" s="396"/>
      <c r="N10" s="337"/>
      <c r="O10" s="395"/>
      <c r="P10" s="296"/>
      <c r="Q10" s="302"/>
    </row>
    <row r="11" spans="1:17" s="292" customFormat="1" ht="12.75">
      <c r="A11" s="415" t="s">
        <v>150</v>
      </c>
      <c r="B11" s="568">
        <v>14260.61</v>
      </c>
      <c r="C11" s="568">
        <v>38618.559999999998</v>
      </c>
      <c r="D11" s="568">
        <v>65925.58</v>
      </c>
      <c r="E11" s="568">
        <v>60546.049999999996</v>
      </c>
      <c r="F11" s="568">
        <v>28183</v>
      </c>
      <c r="G11" s="568">
        <v>27409.63</v>
      </c>
      <c r="H11" s="568">
        <v>29410.42</v>
      </c>
      <c r="I11" s="568">
        <v>24717.63</v>
      </c>
      <c r="J11" s="568">
        <v>35061.53</v>
      </c>
      <c r="K11" s="568">
        <v>31390</v>
      </c>
      <c r="L11" s="568">
        <v>37955</v>
      </c>
      <c r="M11" s="568">
        <v>0</v>
      </c>
      <c r="N11" s="574">
        <f t="shared" ref="N11:N22" si="0">SUM(B11:M11)</f>
        <v>393478.01</v>
      </c>
      <c r="O11" s="575">
        <f>707138+443068+N11</f>
        <v>1543684.01</v>
      </c>
      <c r="P11" s="576"/>
      <c r="Q11" s="571">
        <f>857842+424005+425005</f>
        <v>1706852</v>
      </c>
    </row>
    <row r="12" spans="1:17" s="292" customFormat="1" ht="14.25">
      <c r="A12" s="415" t="s">
        <v>151</v>
      </c>
      <c r="B12" s="568">
        <v>0</v>
      </c>
      <c r="C12" s="568">
        <v>0</v>
      </c>
      <c r="D12" s="568">
        <v>0</v>
      </c>
      <c r="E12" s="568">
        <v>105.33</v>
      </c>
      <c r="F12" s="568">
        <v>47.64</v>
      </c>
      <c r="G12" s="568">
        <v>1049.6499999999999</v>
      </c>
      <c r="H12" s="568">
        <v>-156.18</v>
      </c>
      <c r="I12" s="568">
        <v>1720.7199999999998</v>
      </c>
      <c r="J12" s="568">
        <v>2871.4700000000003</v>
      </c>
      <c r="K12" s="568">
        <v>880.66</v>
      </c>
      <c r="L12" s="568">
        <v>0</v>
      </c>
      <c r="M12" s="568">
        <v>0</v>
      </c>
      <c r="N12" s="669">
        <f t="shared" si="0"/>
        <v>6519.29</v>
      </c>
      <c r="O12" s="569">
        <f>7806+9482+N12</f>
        <v>23807.29</v>
      </c>
      <c r="P12" s="570"/>
      <c r="Q12" s="571">
        <v>35302</v>
      </c>
    </row>
    <row r="13" spans="1:17" s="292" customFormat="1" ht="12.75">
      <c r="A13" s="415" t="s">
        <v>152</v>
      </c>
      <c r="B13" s="568">
        <v>0</v>
      </c>
      <c r="C13" s="568">
        <v>0</v>
      </c>
      <c r="D13" s="568">
        <v>0</v>
      </c>
      <c r="E13" s="568">
        <v>0</v>
      </c>
      <c r="F13" s="568">
        <v>0</v>
      </c>
      <c r="G13" s="568">
        <v>0</v>
      </c>
      <c r="H13" s="568">
        <v>0</v>
      </c>
      <c r="I13" s="568">
        <v>0</v>
      </c>
      <c r="J13" s="568">
        <v>0</v>
      </c>
      <c r="K13" s="568">
        <v>0</v>
      </c>
      <c r="L13" s="568">
        <v>0</v>
      </c>
      <c r="M13" s="568">
        <v>0</v>
      </c>
      <c r="N13" s="669">
        <f t="shared" si="0"/>
        <v>0</v>
      </c>
      <c r="O13" s="569">
        <f>0+N13</f>
        <v>0</v>
      </c>
      <c r="P13" s="572"/>
      <c r="Q13" s="573">
        <v>1000</v>
      </c>
    </row>
    <row r="14" spans="1:17" s="292" customFormat="1" ht="14.25">
      <c r="A14" s="415" t="s">
        <v>153</v>
      </c>
      <c r="B14" s="568">
        <v>0</v>
      </c>
      <c r="C14" s="568">
        <v>0</v>
      </c>
      <c r="D14" s="568">
        <v>0</v>
      </c>
      <c r="E14" s="568">
        <v>209.39</v>
      </c>
      <c r="F14" s="568">
        <v>478.83</v>
      </c>
      <c r="G14" s="568">
        <v>2086.67</v>
      </c>
      <c r="H14" s="568">
        <v>-310.49</v>
      </c>
      <c r="I14" s="568">
        <v>3420.71</v>
      </c>
      <c r="J14" s="568">
        <v>5728.29</v>
      </c>
      <c r="K14" s="568">
        <v>1730.7499999999989</v>
      </c>
      <c r="L14" s="568">
        <v>0</v>
      </c>
      <c r="M14" s="568">
        <v>0</v>
      </c>
      <c r="N14" s="669">
        <f t="shared" si="0"/>
        <v>13344.15</v>
      </c>
      <c r="O14" s="569">
        <f>4890+16665+N14</f>
        <v>34899.15</v>
      </c>
      <c r="P14" s="572"/>
      <c r="Q14" s="573">
        <v>78149</v>
      </c>
    </row>
    <row r="15" spans="1:17" s="292" customFormat="1" ht="14.25">
      <c r="A15" s="415" t="s">
        <v>154</v>
      </c>
      <c r="B15" s="568">
        <v>0</v>
      </c>
      <c r="C15" s="568">
        <v>0</v>
      </c>
      <c r="D15" s="568">
        <v>0</v>
      </c>
      <c r="E15" s="568">
        <v>519.02</v>
      </c>
      <c r="F15" s="568">
        <v>1186.9199999999998</v>
      </c>
      <c r="G15" s="568">
        <v>5168.42</v>
      </c>
      <c r="H15" s="568">
        <v>-769.66000000000008</v>
      </c>
      <c r="I15" s="568">
        <v>15279.8</v>
      </c>
      <c r="J15" s="568">
        <v>12614.86</v>
      </c>
      <c r="K15" s="568">
        <v>5874.6000000000022</v>
      </c>
      <c r="L15" s="568">
        <v>0</v>
      </c>
      <c r="M15" s="568">
        <v>0</v>
      </c>
      <c r="N15" s="669">
        <f t="shared" si="0"/>
        <v>39873.960000000006</v>
      </c>
      <c r="O15" s="569">
        <f>49397+43752+N15</f>
        <v>133022.96000000002</v>
      </c>
      <c r="P15" s="570"/>
      <c r="Q15" s="571">
        <f>606299/2</f>
        <v>303149.5</v>
      </c>
    </row>
    <row r="16" spans="1:17" s="292" customFormat="1" ht="14.25">
      <c r="A16" s="415" t="s">
        <v>155</v>
      </c>
      <c r="B16" s="568">
        <v>0</v>
      </c>
      <c r="C16" s="568">
        <v>0</v>
      </c>
      <c r="D16" s="568">
        <v>0</v>
      </c>
      <c r="E16" s="568">
        <v>1211.9000000000001</v>
      </c>
      <c r="F16" s="568">
        <v>5021.41</v>
      </c>
      <c r="G16" s="568">
        <v>16592.310000000001</v>
      </c>
      <c r="H16" s="568">
        <v>-1797.0600000000002</v>
      </c>
      <c r="I16" s="568">
        <v>19798.63</v>
      </c>
      <c r="J16" s="568">
        <v>30547.449999999997</v>
      </c>
      <c r="K16" s="568">
        <v>12624.620000000006</v>
      </c>
      <c r="L16" s="568">
        <v>0</v>
      </c>
      <c r="M16" s="568">
        <v>0</v>
      </c>
      <c r="N16" s="669">
        <f t="shared" si="0"/>
        <v>83999.260000000009</v>
      </c>
      <c r="O16" s="569">
        <f>30844+118853+N16</f>
        <v>233696.26</v>
      </c>
      <c r="P16" s="572"/>
      <c r="Q16" s="573">
        <v>303150</v>
      </c>
    </row>
    <row r="17" spans="1:122" s="292" customFormat="1" ht="14.25">
      <c r="A17" s="415" t="s">
        <v>156</v>
      </c>
      <c r="B17" s="568">
        <v>0</v>
      </c>
      <c r="C17" s="568">
        <v>0</v>
      </c>
      <c r="D17" s="568">
        <v>0</v>
      </c>
      <c r="E17" s="568">
        <v>1834.97</v>
      </c>
      <c r="F17" s="568">
        <v>4196.3</v>
      </c>
      <c r="G17" s="568">
        <v>18286.830000000002</v>
      </c>
      <c r="H17" s="568">
        <v>-2721.01</v>
      </c>
      <c r="I17" s="568">
        <v>29977.850000000002</v>
      </c>
      <c r="J17" s="568">
        <v>36981.78</v>
      </c>
      <c r="K17" s="568">
        <v>19349.280000000002</v>
      </c>
      <c r="L17" s="568">
        <v>0</v>
      </c>
      <c r="M17" s="568">
        <v>0</v>
      </c>
      <c r="N17" s="669">
        <f t="shared" si="0"/>
        <v>107906</v>
      </c>
      <c r="O17" s="569">
        <f>73279+155232+N17</f>
        <v>336417</v>
      </c>
      <c r="P17" s="572"/>
      <c r="Q17" s="573">
        <v>643043</v>
      </c>
    </row>
    <row r="18" spans="1:122" s="292" customFormat="1" ht="14.25">
      <c r="A18" s="416" t="s">
        <v>157</v>
      </c>
      <c r="B18" s="568">
        <v>0</v>
      </c>
      <c r="C18" s="568">
        <v>0</v>
      </c>
      <c r="D18" s="568">
        <v>0</v>
      </c>
      <c r="E18" s="568">
        <v>944.13000000000011</v>
      </c>
      <c r="F18" s="568">
        <v>2352.33</v>
      </c>
      <c r="G18" s="568">
        <v>9408.9700000000012</v>
      </c>
      <c r="H18" s="568">
        <v>-1400.01</v>
      </c>
      <c r="I18" s="568">
        <v>15424.27</v>
      </c>
      <c r="J18" s="568">
        <v>22490.170000000002</v>
      </c>
      <c r="K18" s="568">
        <v>11143.329999999998</v>
      </c>
      <c r="L18" s="568">
        <v>0</v>
      </c>
      <c r="M18" s="568">
        <v>0</v>
      </c>
      <c r="N18" s="669">
        <f t="shared" si="0"/>
        <v>60363.19</v>
      </c>
      <c r="O18" s="569">
        <f>21090+92048+N18</f>
        <v>173501.19</v>
      </c>
      <c r="P18" s="572"/>
      <c r="Q18" s="573">
        <v>383701</v>
      </c>
    </row>
    <row r="19" spans="1:122" s="292" customFormat="1" ht="16.5">
      <c r="A19" s="416" t="s">
        <v>158</v>
      </c>
      <c r="B19" s="568">
        <v>385</v>
      </c>
      <c r="C19" s="568">
        <v>5068</v>
      </c>
      <c r="D19" s="568">
        <v>-1050</v>
      </c>
      <c r="E19" s="568">
        <v>3145.85</v>
      </c>
      <c r="F19" s="568">
        <v>7194.05</v>
      </c>
      <c r="G19" s="568">
        <v>31405.890000000003</v>
      </c>
      <c r="H19" s="568">
        <v>-1194.8400000000001</v>
      </c>
      <c r="I19" s="568">
        <v>44666.89</v>
      </c>
      <c r="J19" s="568">
        <v>132837.10999999999</v>
      </c>
      <c r="K19" s="568">
        <v>2981.4700000000012</v>
      </c>
      <c r="L19" s="568">
        <v>30196.81</v>
      </c>
      <c r="M19" s="568">
        <v>0</v>
      </c>
      <c r="N19" s="669">
        <f t="shared" si="0"/>
        <v>255636.23</v>
      </c>
      <c r="O19" s="569">
        <f>107380+332447+N19</f>
        <v>695463.23</v>
      </c>
      <c r="P19" s="572"/>
      <c r="Q19" s="573">
        <v>1102357</v>
      </c>
    </row>
    <row r="20" spans="1:122" s="292" customFormat="1" ht="16.5">
      <c r="A20" s="416" t="s">
        <v>159</v>
      </c>
      <c r="B20" s="568">
        <v>5222.442</v>
      </c>
      <c r="C20" s="568">
        <v>0</v>
      </c>
      <c r="D20" s="568">
        <v>-244.96</v>
      </c>
      <c r="E20" s="568">
        <v>4719.42</v>
      </c>
      <c r="F20" s="568">
        <v>10792.54</v>
      </c>
      <c r="G20" s="568">
        <v>47032.25</v>
      </c>
      <c r="H20" s="568">
        <v>-4333.2599999999993</v>
      </c>
      <c r="I20" s="568">
        <v>115956.73999999999</v>
      </c>
      <c r="J20" s="568">
        <v>174798.23999999996</v>
      </c>
      <c r="K20" s="568">
        <v>26310.779999999984</v>
      </c>
      <c r="L20" s="568">
        <v>29147.98</v>
      </c>
      <c r="M20" s="568">
        <v>0</v>
      </c>
      <c r="N20" s="669">
        <f t="shared" si="0"/>
        <v>409402.1719999999</v>
      </c>
      <c r="O20" s="569">
        <f>210841+454256+N20</f>
        <v>1074499.1719999998</v>
      </c>
      <c r="P20" s="572"/>
      <c r="Q20" s="573">
        <v>1653537</v>
      </c>
    </row>
    <row r="21" spans="1:122" s="292" customFormat="1" ht="12.75">
      <c r="A21" s="416" t="s">
        <v>160</v>
      </c>
      <c r="B21" s="568">
        <v>0</v>
      </c>
      <c r="C21" s="568">
        <v>0</v>
      </c>
      <c r="D21" s="568">
        <v>0</v>
      </c>
      <c r="E21" s="568">
        <v>0</v>
      </c>
      <c r="F21" s="568">
        <v>0</v>
      </c>
      <c r="G21" s="568">
        <v>0</v>
      </c>
      <c r="H21" s="568">
        <v>0</v>
      </c>
      <c r="I21" s="568">
        <v>0</v>
      </c>
      <c r="J21" s="568">
        <v>0</v>
      </c>
      <c r="K21" s="568">
        <v>0</v>
      </c>
      <c r="L21" s="568">
        <v>0</v>
      </c>
      <c r="M21" s="568">
        <v>0</v>
      </c>
      <c r="N21" s="669">
        <f t="shared" si="0"/>
        <v>0</v>
      </c>
      <c r="O21" s="569">
        <f>2329+N21</f>
        <v>2329</v>
      </c>
      <c r="P21" s="572"/>
      <c r="Q21" s="573">
        <v>0</v>
      </c>
    </row>
    <row r="22" spans="1:122" s="292" customFormat="1" ht="12.75">
      <c r="A22" s="417" t="s">
        <v>161</v>
      </c>
      <c r="B22" s="568">
        <v>0</v>
      </c>
      <c r="C22" s="568">
        <v>0</v>
      </c>
      <c r="D22" s="568">
        <v>0</v>
      </c>
      <c r="E22" s="568">
        <v>0</v>
      </c>
      <c r="F22" s="568">
        <v>0</v>
      </c>
      <c r="G22" s="568">
        <v>0</v>
      </c>
      <c r="H22" s="568">
        <v>0</v>
      </c>
      <c r="I22" s="568">
        <v>0</v>
      </c>
      <c r="J22" s="568">
        <v>0</v>
      </c>
      <c r="K22" s="568">
        <v>0</v>
      </c>
      <c r="L22" s="568">
        <v>0</v>
      </c>
      <c r="M22" s="568">
        <v>0</v>
      </c>
      <c r="N22" s="669">
        <f t="shared" si="0"/>
        <v>0</v>
      </c>
      <c r="O22" s="569">
        <f>530.37+N22</f>
        <v>530.37</v>
      </c>
      <c r="P22" s="572"/>
      <c r="Q22" s="573">
        <v>50000</v>
      </c>
    </row>
    <row r="23" spans="1:122" s="297" customFormat="1" ht="15.75">
      <c r="A23" s="419" t="s">
        <v>162</v>
      </c>
      <c r="B23" s="577">
        <f t="shared" ref="B23:M23" si="1">SUM(B11:B22)</f>
        <v>19868.052</v>
      </c>
      <c r="C23" s="577">
        <f t="shared" si="1"/>
        <v>43686.559999999998</v>
      </c>
      <c r="D23" s="577">
        <f t="shared" si="1"/>
        <v>64630.62</v>
      </c>
      <c r="E23" s="577">
        <f t="shared" si="1"/>
        <v>73236.06</v>
      </c>
      <c r="F23" s="577">
        <f t="shared" si="1"/>
        <v>59453.020000000011</v>
      </c>
      <c r="G23" s="577">
        <f t="shared" si="1"/>
        <v>158440.62</v>
      </c>
      <c r="H23" s="577">
        <f t="shared" si="1"/>
        <v>16727.91</v>
      </c>
      <c r="I23" s="577">
        <f t="shared" si="1"/>
        <v>270963.24</v>
      </c>
      <c r="J23" s="577">
        <f t="shared" si="1"/>
        <v>453930.9</v>
      </c>
      <c r="K23" s="577">
        <f t="shared" si="1"/>
        <v>112285.48999999999</v>
      </c>
      <c r="L23" s="577">
        <f t="shared" si="1"/>
        <v>97299.79</v>
      </c>
      <c r="M23" s="577">
        <f t="shared" si="1"/>
        <v>0</v>
      </c>
      <c r="N23" s="578">
        <f>SUM(N11:N22)</f>
        <v>1370522.2620000001</v>
      </c>
      <c r="O23" s="579">
        <f>SUM(O11:O22)</f>
        <v>4251849.6320000002</v>
      </c>
      <c r="P23" s="580"/>
      <c r="Q23" s="579">
        <f>SUM(Q11:Q22)</f>
        <v>6260240.5</v>
      </c>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row>
    <row r="24" spans="1:122" s="292" customFormat="1" ht="12.75">
      <c r="A24" s="303"/>
      <c r="B24" s="581"/>
      <c r="C24" s="582"/>
      <c r="D24" s="582"/>
      <c r="E24" s="582"/>
      <c r="F24" s="582"/>
      <c r="G24" s="582"/>
      <c r="H24" s="582"/>
      <c r="I24" s="582"/>
      <c r="J24" s="582"/>
      <c r="K24" s="582"/>
      <c r="L24" s="582"/>
      <c r="M24" s="582"/>
      <c r="N24" s="582"/>
      <c r="O24" s="582"/>
      <c r="P24" s="582"/>
      <c r="Q24" s="583"/>
    </row>
    <row r="25" spans="1:122" s="292" customFormat="1" ht="15.75">
      <c r="A25" s="420" t="s">
        <v>163</v>
      </c>
      <c r="B25" s="581"/>
      <c r="C25" s="584"/>
      <c r="D25" s="584"/>
      <c r="E25" s="584"/>
      <c r="F25" s="584"/>
      <c r="G25" s="584"/>
      <c r="H25" s="584"/>
      <c r="I25" s="584"/>
      <c r="J25" s="584"/>
      <c r="K25" s="584"/>
      <c r="L25" s="584"/>
      <c r="M25" s="584"/>
      <c r="N25" s="585"/>
      <c r="O25" s="584"/>
      <c r="P25" s="582"/>
      <c r="Q25" s="586"/>
    </row>
    <row r="26" spans="1:122" s="292" customFormat="1" ht="12.75">
      <c r="A26" s="416" t="s">
        <v>164</v>
      </c>
      <c r="B26" s="587">
        <v>0</v>
      </c>
      <c r="C26" s="588">
        <v>0</v>
      </c>
      <c r="D26" s="588">
        <v>0</v>
      </c>
      <c r="E26" s="588">
        <v>0</v>
      </c>
      <c r="F26" s="588">
        <v>0</v>
      </c>
      <c r="G26" s="588">
        <v>0</v>
      </c>
      <c r="H26" s="588">
        <v>0</v>
      </c>
      <c r="I26" s="588">
        <v>0</v>
      </c>
      <c r="J26" s="588">
        <v>0</v>
      </c>
      <c r="K26" s="588">
        <v>0</v>
      </c>
      <c r="L26" s="588">
        <v>0</v>
      </c>
      <c r="M26" s="589">
        <v>0</v>
      </c>
      <c r="N26" s="573">
        <f t="shared" ref="N26:N30" si="2">SUM(B26:M26)</f>
        <v>0</v>
      </c>
      <c r="O26" s="590">
        <f>0+N26</f>
        <v>0</v>
      </c>
      <c r="P26" s="582"/>
      <c r="Q26" s="583"/>
    </row>
    <row r="27" spans="1:122" s="292" customFormat="1" ht="16.5">
      <c r="A27" s="415" t="s">
        <v>165</v>
      </c>
      <c r="B27" s="591">
        <v>400.64</v>
      </c>
      <c r="C27" s="568">
        <v>0</v>
      </c>
      <c r="D27" s="568">
        <v>-1294.95</v>
      </c>
      <c r="E27" s="568">
        <v>0</v>
      </c>
      <c r="F27" s="568">
        <v>2250</v>
      </c>
      <c r="G27" s="568">
        <v>0</v>
      </c>
      <c r="H27" s="568">
        <v>6134.95</v>
      </c>
      <c r="I27" s="568">
        <v>19265.82</v>
      </c>
      <c r="J27" s="568">
        <v>106649.36</v>
      </c>
      <c r="K27" s="568">
        <v>0</v>
      </c>
      <c r="L27" s="568">
        <v>1048.8399999999999</v>
      </c>
      <c r="M27" s="573">
        <v>0</v>
      </c>
      <c r="N27" s="573">
        <f t="shared" si="2"/>
        <v>134454.66</v>
      </c>
      <c r="O27" s="569">
        <f>79345+33670+N27</f>
        <v>247469.66</v>
      </c>
      <c r="P27" s="582"/>
      <c r="Q27" s="583"/>
    </row>
    <row r="28" spans="1:122" s="292" customFormat="1" ht="12.75">
      <c r="A28" s="415" t="s">
        <v>166</v>
      </c>
      <c r="B28" s="591">
        <v>14249.57</v>
      </c>
      <c r="C28" s="568">
        <v>23788.179999999993</v>
      </c>
      <c r="D28" s="568">
        <v>23213.869999999992</v>
      </c>
      <c r="E28" s="568">
        <v>28825.01999999999</v>
      </c>
      <c r="F28" s="568">
        <v>23882.450000000004</v>
      </c>
      <c r="G28" s="568">
        <v>24572.129999999997</v>
      </c>
      <c r="H28" s="568">
        <v>24822.92</v>
      </c>
      <c r="I28" s="568">
        <v>12835.38</v>
      </c>
      <c r="J28" s="568">
        <v>18599.53</v>
      </c>
      <c r="K28" s="568">
        <v>26713</v>
      </c>
      <c r="L28" s="568">
        <v>24748.429999999993</v>
      </c>
      <c r="M28" s="573">
        <v>0</v>
      </c>
      <c r="N28" s="573">
        <f t="shared" si="2"/>
        <v>246250.47999999995</v>
      </c>
      <c r="O28" s="569">
        <f>426331+346126+N28</f>
        <v>1018707.48</v>
      </c>
      <c r="P28" s="582"/>
      <c r="Q28" s="583"/>
    </row>
    <row r="29" spans="1:122" s="292" customFormat="1" ht="14.25">
      <c r="A29" s="415" t="s">
        <v>167</v>
      </c>
      <c r="B29" s="591">
        <v>0</v>
      </c>
      <c r="C29" s="568">
        <v>10843</v>
      </c>
      <c r="D29" s="568">
        <v>0</v>
      </c>
      <c r="E29" s="568">
        <v>12690</v>
      </c>
      <c r="F29" s="568">
        <v>29432.5</v>
      </c>
      <c r="G29" s="568">
        <v>131030.98999999999</v>
      </c>
      <c r="H29" s="568">
        <v>-18817.43</v>
      </c>
      <c r="I29" s="568">
        <v>226979.71000000002</v>
      </c>
      <c r="J29" s="568">
        <v>312219.92</v>
      </c>
      <c r="K29" s="568">
        <v>82708</v>
      </c>
      <c r="L29" s="568">
        <v>58295.94</v>
      </c>
      <c r="M29" s="573">
        <v>0</v>
      </c>
      <c r="N29" s="573">
        <f t="shared" si="2"/>
        <v>845382.62999999989</v>
      </c>
      <c r="O29" s="569">
        <f>377868+1193883+N29</f>
        <v>2417133.63</v>
      </c>
      <c r="P29" s="582"/>
      <c r="Q29" s="583"/>
    </row>
    <row r="30" spans="1:122" s="292" customFormat="1" ht="12.75">
      <c r="A30" s="415" t="s">
        <v>168</v>
      </c>
      <c r="B30" s="592">
        <v>5217.82</v>
      </c>
      <c r="C30" s="593">
        <v>9055.380000000001</v>
      </c>
      <c r="D30" s="593">
        <v>42711.71</v>
      </c>
      <c r="E30" s="593">
        <v>31721</v>
      </c>
      <c r="F30" s="593">
        <v>3888.0299999999997</v>
      </c>
      <c r="G30" s="593">
        <v>2837.5</v>
      </c>
      <c r="H30" s="593">
        <v>4587.5</v>
      </c>
      <c r="I30" s="593">
        <v>11882.25</v>
      </c>
      <c r="J30" s="593">
        <v>16462</v>
      </c>
      <c r="K30" s="593">
        <v>2865.0299999999997</v>
      </c>
      <c r="L30" s="593">
        <v>13206.759999999998</v>
      </c>
      <c r="M30" s="594">
        <v>0</v>
      </c>
      <c r="N30" s="573">
        <f t="shared" si="2"/>
        <v>144434.98000000001</v>
      </c>
      <c r="O30" s="595">
        <f>331980+92124+N30</f>
        <v>568538.98</v>
      </c>
      <c r="P30" s="582"/>
      <c r="Q30" s="583"/>
    </row>
    <row r="31" spans="1:122" s="292" customFormat="1" ht="15.75">
      <c r="A31" s="419" t="s">
        <v>169</v>
      </c>
      <c r="B31" s="596">
        <f>SUM(B26:B30)</f>
        <v>19868.03</v>
      </c>
      <c r="C31" s="597">
        <f t="shared" ref="C31:M31" si="3">SUM(C26:C30)</f>
        <v>43686.559999999998</v>
      </c>
      <c r="D31" s="597">
        <f t="shared" si="3"/>
        <v>64630.62999999999</v>
      </c>
      <c r="E31" s="597">
        <f t="shared" si="3"/>
        <v>73236.01999999999</v>
      </c>
      <c r="F31" s="597">
        <f t="shared" si="3"/>
        <v>59452.98</v>
      </c>
      <c r="G31" s="597">
        <f t="shared" si="3"/>
        <v>158440.62</v>
      </c>
      <c r="H31" s="597">
        <f t="shared" si="3"/>
        <v>16727.939999999999</v>
      </c>
      <c r="I31" s="597">
        <f t="shared" si="3"/>
        <v>270963.16000000003</v>
      </c>
      <c r="J31" s="597">
        <f t="shared" si="3"/>
        <v>453930.81</v>
      </c>
      <c r="K31" s="597">
        <f t="shared" si="3"/>
        <v>112286.03</v>
      </c>
      <c r="L31" s="597">
        <f t="shared" si="3"/>
        <v>97299.969999999987</v>
      </c>
      <c r="M31" s="597">
        <f t="shared" si="3"/>
        <v>0</v>
      </c>
      <c r="N31" s="577">
        <f>SUM(N26:N30)</f>
        <v>1370522.7499999998</v>
      </c>
      <c r="O31" s="597">
        <f>SUM(O26:O30)</f>
        <v>4251849.75</v>
      </c>
      <c r="P31" s="580"/>
      <c r="Q31" s="598"/>
    </row>
    <row r="32" spans="1:122" s="292" customFormat="1" ht="12.75">
      <c r="A32" s="304"/>
      <c r="B32" s="599"/>
      <c r="C32" s="600"/>
      <c r="D32" s="600"/>
      <c r="E32" s="600"/>
      <c r="F32" s="600"/>
      <c r="G32" s="600"/>
      <c r="H32" s="600"/>
      <c r="I32" s="600"/>
      <c r="J32" s="600"/>
      <c r="K32" s="600"/>
      <c r="L32" s="600"/>
      <c r="M32" s="600"/>
      <c r="N32" s="600"/>
      <c r="O32" s="600"/>
      <c r="P32" s="601"/>
      <c r="Q32" s="602"/>
    </row>
    <row r="33" spans="1:17" s="292" customFormat="1" ht="15.75">
      <c r="A33" s="420" t="s">
        <v>170</v>
      </c>
      <c r="B33" s="581"/>
      <c r="C33" s="584"/>
      <c r="D33" s="584"/>
      <c r="E33" s="584"/>
      <c r="F33" s="584"/>
      <c r="G33" s="584"/>
      <c r="H33" s="584"/>
      <c r="I33" s="584"/>
      <c r="J33" s="584"/>
      <c r="K33" s="584"/>
      <c r="L33" s="584"/>
      <c r="M33" s="584"/>
      <c r="N33" s="585"/>
      <c r="O33" s="585"/>
      <c r="P33" s="582"/>
      <c r="Q33" s="586"/>
    </row>
    <row r="34" spans="1:17" s="292" customFormat="1" ht="14.25">
      <c r="A34" s="415" t="s">
        <v>171</v>
      </c>
      <c r="B34" s="587">
        <v>0</v>
      </c>
      <c r="C34" s="588">
        <v>0</v>
      </c>
      <c r="D34" s="588">
        <v>0</v>
      </c>
      <c r="E34" s="588">
        <v>0</v>
      </c>
      <c r="F34" s="588">
        <v>0</v>
      </c>
      <c r="G34" s="588">
        <v>0</v>
      </c>
      <c r="H34" s="588">
        <v>0</v>
      </c>
      <c r="I34" s="588">
        <v>0</v>
      </c>
      <c r="J34" s="588">
        <v>0</v>
      </c>
      <c r="K34" s="588">
        <v>0</v>
      </c>
      <c r="L34" s="588">
        <v>0</v>
      </c>
      <c r="M34" s="589">
        <v>0</v>
      </c>
      <c r="N34" s="573">
        <f t="shared" ref="N34:N37" si="4">SUM(B34:M34)</f>
        <v>0</v>
      </c>
      <c r="O34" s="603">
        <f>0+N34</f>
        <v>0</v>
      </c>
      <c r="P34" s="582"/>
      <c r="Q34" s="583"/>
    </row>
    <row r="35" spans="1:17" s="292" customFormat="1" ht="12.75">
      <c r="A35" s="416" t="s">
        <v>172</v>
      </c>
      <c r="B35" s="591">
        <v>4699.5</v>
      </c>
      <c r="C35" s="568">
        <v>16866.929999999993</v>
      </c>
      <c r="D35" s="568">
        <v>18398.279999999995</v>
      </c>
      <c r="E35" s="568">
        <v>22848</v>
      </c>
      <c r="F35" s="568">
        <v>17380.620000000003</v>
      </c>
      <c r="G35" s="568">
        <v>51766.670000000006</v>
      </c>
      <c r="H35" s="568">
        <v>3992.7499999999973</v>
      </c>
      <c r="I35" s="568">
        <v>75082.179999999993</v>
      </c>
      <c r="J35" s="568">
        <v>173577.05</v>
      </c>
      <c r="K35" s="568">
        <v>26329.050000000003</v>
      </c>
      <c r="L35" s="568">
        <v>38887.93</v>
      </c>
      <c r="M35" s="573">
        <v>0</v>
      </c>
      <c r="N35" s="573">
        <f t="shared" si="4"/>
        <v>449828.95999999996</v>
      </c>
      <c r="O35" s="604">
        <f>344661+585375+N35</f>
        <v>1379864.96</v>
      </c>
      <c r="P35" s="582"/>
      <c r="Q35" s="583"/>
    </row>
    <row r="36" spans="1:17" s="292" customFormat="1" ht="14.25" customHeight="1">
      <c r="A36" s="415" t="s">
        <v>173</v>
      </c>
      <c r="B36" s="591">
        <v>6925.72</v>
      </c>
      <c r="C36" s="568">
        <v>11798.960000000001</v>
      </c>
      <c r="D36" s="568">
        <v>19325.809999999998</v>
      </c>
      <c r="E36" s="568">
        <v>21012.579999999994</v>
      </c>
      <c r="F36" s="568">
        <v>13182.89</v>
      </c>
      <c r="G36" s="568">
        <v>33418.259999999995</v>
      </c>
      <c r="H36" s="568">
        <v>4577.16</v>
      </c>
      <c r="I36" s="568">
        <v>71249</v>
      </c>
      <c r="J36" s="568">
        <v>102777.41999999998</v>
      </c>
      <c r="K36" s="568">
        <v>24479.009999999991</v>
      </c>
      <c r="L36" s="568">
        <v>23265.13</v>
      </c>
      <c r="M36" s="573">
        <v>0</v>
      </c>
      <c r="N36" s="573">
        <f t="shared" si="4"/>
        <v>332011.94</v>
      </c>
      <c r="O36" s="604">
        <f>314335+384699+N36</f>
        <v>1031045.94</v>
      </c>
      <c r="P36" s="582"/>
      <c r="Q36" s="583"/>
    </row>
    <row r="37" spans="1:17" s="292" customFormat="1" ht="12.75">
      <c r="A37" s="415" t="s">
        <v>174</v>
      </c>
      <c r="B37" s="592">
        <v>8242.81</v>
      </c>
      <c r="C37" s="593">
        <v>15020.67</v>
      </c>
      <c r="D37" s="593">
        <v>26906.529999999995</v>
      </c>
      <c r="E37" s="593">
        <v>29375.899999999991</v>
      </c>
      <c r="F37" s="593">
        <v>28889.49</v>
      </c>
      <c r="G37" s="593">
        <v>73255.69</v>
      </c>
      <c r="H37" s="593">
        <v>8158.0000000000036</v>
      </c>
      <c r="I37" s="593">
        <v>124632.39</v>
      </c>
      <c r="J37" s="593">
        <v>177576.43</v>
      </c>
      <c r="K37" s="593">
        <v>61477</v>
      </c>
      <c r="L37" s="593">
        <v>35146.92</v>
      </c>
      <c r="M37" s="594">
        <v>0</v>
      </c>
      <c r="N37" s="573">
        <f t="shared" si="4"/>
        <v>588681.82999999996</v>
      </c>
      <c r="O37" s="605">
        <f>556528+695729+N37</f>
        <v>1840938.83</v>
      </c>
      <c r="P37" s="582"/>
      <c r="Q37" s="583"/>
    </row>
    <row r="38" spans="1:17" s="292" customFormat="1" ht="15.75">
      <c r="A38" s="419" t="s">
        <v>175</v>
      </c>
      <c r="B38" s="596">
        <f t="shared" ref="B38:M38" si="5">SUM(B34:B37)</f>
        <v>19868.03</v>
      </c>
      <c r="C38" s="597">
        <f t="shared" si="5"/>
        <v>43686.55999999999</v>
      </c>
      <c r="D38" s="597">
        <f>SUM(D34:D37)</f>
        <v>64630.619999999995</v>
      </c>
      <c r="E38" s="597">
        <f t="shared" si="5"/>
        <v>73236.479999999981</v>
      </c>
      <c r="F38" s="597">
        <f t="shared" si="5"/>
        <v>59453</v>
      </c>
      <c r="G38" s="597">
        <f t="shared" si="5"/>
        <v>158440.62</v>
      </c>
      <c r="H38" s="597">
        <f t="shared" si="5"/>
        <v>16727.91</v>
      </c>
      <c r="I38" s="597">
        <f t="shared" si="5"/>
        <v>270963.57</v>
      </c>
      <c r="J38" s="597">
        <f t="shared" si="5"/>
        <v>453930.89999999997</v>
      </c>
      <c r="K38" s="597">
        <f t="shared" si="5"/>
        <v>112285.06</v>
      </c>
      <c r="L38" s="597">
        <f t="shared" si="5"/>
        <v>97299.98</v>
      </c>
      <c r="M38" s="597">
        <f t="shared" si="5"/>
        <v>0</v>
      </c>
      <c r="N38" s="577">
        <f>SUM(N34:N37)</f>
        <v>1370522.73</v>
      </c>
      <c r="O38" s="577">
        <f>SUM(O34:O37)</f>
        <v>4251849.7300000004</v>
      </c>
      <c r="P38" s="580">
        <f>SUM(P34:P37)</f>
        <v>0</v>
      </c>
      <c r="Q38" s="598"/>
    </row>
    <row r="39" spans="1:17" s="292" customFormat="1" ht="12.75">
      <c r="B39" s="295"/>
      <c r="C39" s="295"/>
      <c r="D39" s="295"/>
      <c r="E39" s="295"/>
      <c r="F39" s="295"/>
      <c r="G39" s="295"/>
      <c r="H39" s="295"/>
      <c r="I39" s="295"/>
      <c r="J39" s="295"/>
      <c r="K39" s="295"/>
      <c r="L39" s="295"/>
      <c r="M39" s="295"/>
      <c r="O39" s="295"/>
      <c r="P39" s="295"/>
      <c r="Q39" s="295"/>
    </row>
    <row r="40" spans="1:17" s="292" customFormat="1" ht="15">
      <c r="A40" s="500" t="s">
        <v>66</v>
      </c>
      <c r="B40" s="299"/>
      <c r="C40" s="299"/>
      <c r="D40" s="299"/>
      <c r="E40" s="299"/>
      <c r="F40" s="299"/>
      <c r="G40" s="299"/>
      <c r="H40" s="299"/>
      <c r="I40" s="299"/>
      <c r="J40" s="299"/>
      <c r="K40" s="299"/>
      <c r="L40" s="299"/>
      <c r="M40" s="299"/>
      <c r="N40" s="298"/>
      <c r="O40" s="299"/>
      <c r="P40" s="299"/>
      <c r="Q40" s="299"/>
    </row>
    <row r="41" spans="1:17" ht="16.5">
      <c r="A41" s="338" t="s">
        <v>176</v>
      </c>
      <c r="D41" s="276"/>
      <c r="E41" s="214"/>
      <c r="F41" s="276"/>
      <c r="N41" s="338"/>
    </row>
    <row r="42" spans="1:17" ht="16.5">
      <c r="A42" s="338" t="s">
        <v>352</v>
      </c>
      <c r="D42" s="276"/>
      <c r="E42" s="214"/>
      <c r="F42" s="276"/>
      <c r="N42" s="338"/>
    </row>
    <row r="43" spans="1:17" ht="16.5">
      <c r="A43" s="338" t="s">
        <v>177</v>
      </c>
      <c r="D43" s="276"/>
      <c r="E43" s="214"/>
      <c r="F43" s="276"/>
      <c r="N43" s="338"/>
    </row>
    <row r="44" spans="1:17" ht="16.5">
      <c r="A44" s="243" t="s">
        <v>73</v>
      </c>
      <c r="D44" s="276"/>
      <c r="E44" s="214"/>
      <c r="F44" s="276"/>
      <c r="N44" s="354"/>
    </row>
    <row r="45" spans="1:17">
      <c r="E45" s="281"/>
      <c r="F45" s="276"/>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3"/>
  <sheetViews>
    <sheetView showGridLines="0" zoomScale="110" zoomScaleNormal="110" zoomScaleSheetLayoutView="80" workbookViewId="0">
      <pane xSplit="1" ySplit="9" topLeftCell="J42" activePane="bottomRight" state="frozen"/>
      <selection pane="topRight" activeCell="V16" sqref="V16"/>
      <selection pane="bottomLeft" activeCell="V16" sqref="V16"/>
      <selection pane="bottomRight"/>
    </sheetView>
  </sheetViews>
  <sheetFormatPr defaultColWidth="9.28515625" defaultRowHeight="12.75"/>
  <cols>
    <col min="1" max="1" width="95.28515625" style="130" customWidth="1"/>
    <col min="2" max="2" width="13" style="130" customWidth="1"/>
    <col min="3" max="3" width="11.42578125" style="130" customWidth="1"/>
    <col min="4" max="4" width="15.5703125" style="130" customWidth="1"/>
    <col min="5" max="5" width="12" style="130" customWidth="1"/>
    <col min="6" max="6" width="11.28515625" style="130" bestFit="1" customWidth="1"/>
    <col min="7" max="7" width="12.7109375" style="130" customWidth="1"/>
    <col min="8" max="8" width="11.7109375" style="130" bestFit="1" customWidth="1"/>
    <col min="9" max="9" width="11.7109375" style="130" customWidth="1"/>
    <col min="10" max="10" width="12" style="130" customWidth="1"/>
    <col min="11" max="11" width="10.7109375" style="130" customWidth="1"/>
    <col min="12" max="13" width="11.7109375" style="130" customWidth="1"/>
    <col min="14" max="14" width="23.28515625" style="130" bestFit="1" customWidth="1"/>
    <col min="15" max="15" width="16" style="130" customWidth="1"/>
    <col min="16" max="16" width="17.28515625" style="130" customWidth="1"/>
    <col min="17" max="17" width="14.7109375" style="130" customWidth="1"/>
    <col min="18" max="18" width="13.42578125" style="130" bestFit="1" customWidth="1"/>
    <col min="19" max="16384" width="9.28515625" style="130"/>
  </cols>
  <sheetData>
    <row r="2" spans="1:18">
      <c r="A2" s="129"/>
      <c r="G2" s="149" t="s">
        <v>178</v>
      </c>
    </row>
    <row r="3" spans="1:18">
      <c r="A3" s="129"/>
      <c r="G3" s="149" t="s">
        <v>179</v>
      </c>
    </row>
    <row r="4" spans="1:18">
      <c r="A4" s="129"/>
      <c r="F4" s="201"/>
      <c r="G4" s="202" t="str">
        <f>'Program MW '!H3</f>
        <v>November 2020</v>
      </c>
      <c r="H4" s="201"/>
      <c r="I4" s="201"/>
    </row>
    <row r="5" spans="1:18">
      <c r="A5" s="129"/>
      <c r="B5" s="201"/>
      <c r="C5" s="201"/>
      <c r="D5" s="201"/>
    </row>
    <row r="6" spans="1:18" ht="13.5" thickBot="1"/>
    <row r="7" spans="1:18">
      <c r="A7" s="319"/>
      <c r="B7" s="131"/>
      <c r="C7" s="131"/>
      <c r="D7" s="131"/>
      <c r="E7" s="131"/>
      <c r="F7" s="131"/>
      <c r="G7" s="131"/>
      <c r="H7" s="131"/>
      <c r="I7" s="131"/>
      <c r="J7" s="131"/>
      <c r="K7" s="131"/>
      <c r="L7" s="131"/>
      <c r="M7" s="132"/>
      <c r="N7" s="132"/>
      <c r="O7" s="132"/>
      <c r="P7" s="133"/>
      <c r="Q7" s="133"/>
      <c r="R7" s="305"/>
    </row>
    <row r="8" spans="1:18" ht="9" customHeight="1">
      <c r="A8" s="320"/>
      <c r="B8" s="134"/>
      <c r="C8" s="134"/>
      <c r="D8" s="134"/>
      <c r="E8" s="134"/>
      <c r="F8" s="134"/>
      <c r="G8" s="134"/>
      <c r="H8" s="134"/>
      <c r="I8" s="134"/>
      <c r="J8" s="134"/>
      <c r="K8" s="134"/>
      <c r="L8" s="134"/>
      <c r="M8" s="135"/>
      <c r="N8" s="135"/>
      <c r="O8" s="135"/>
      <c r="P8" s="136"/>
      <c r="Q8" s="136"/>
      <c r="R8" s="306"/>
    </row>
    <row r="9" spans="1:18" ht="57.75" customHeight="1">
      <c r="A9" s="394" t="s">
        <v>180</v>
      </c>
      <c r="B9" s="406" t="s">
        <v>41</v>
      </c>
      <c r="C9" s="274" t="s">
        <v>42</v>
      </c>
      <c r="D9" s="274" t="s">
        <v>43</v>
      </c>
      <c r="E9" s="274" t="s">
        <v>44</v>
      </c>
      <c r="F9" s="274" t="s">
        <v>31</v>
      </c>
      <c r="G9" s="274" t="s">
        <v>45</v>
      </c>
      <c r="H9" s="274" t="s">
        <v>60</v>
      </c>
      <c r="I9" s="275" t="s">
        <v>61</v>
      </c>
      <c r="J9" s="275" t="s">
        <v>76</v>
      </c>
      <c r="K9" s="274" t="s">
        <v>62</v>
      </c>
      <c r="L9" s="274" t="s">
        <v>77</v>
      </c>
      <c r="M9" s="274" t="s">
        <v>63</v>
      </c>
      <c r="N9" s="137" t="s">
        <v>143</v>
      </c>
      <c r="O9" s="137" t="s">
        <v>181</v>
      </c>
      <c r="P9" s="137" t="s">
        <v>182</v>
      </c>
      <c r="Q9" s="137" t="s">
        <v>183</v>
      </c>
      <c r="R9" s="307" t="s">
        <v>184</v>
      </c>
    </row>
    <row r="10" spans="1:18">
      <c r="A10" s="321" t="s">
        <v>185</v>
      </c>
      <c r="B10" s="407"/>
      <c r="C10" s="15"/>
      <c r="D10" s="15"/>
      <c r="E10" s="15"/>
      <c r="F10" s="138"/>
      <c r="G10" s="271"/>
      <c r="H10" s="138"/>
      <c r="I10" s="138"/>
      <c r="J10" s="138"/>
      <c r="K10" s="138"/>
      <c r="L10" s="138"/>
      <c r="M10" s="452"/>
      <c r="N10" s="451"/>
      <c r="O10" s="139" t="s">
        <v>57</v>
      </c>
      <c r="P10" s="336"/>
      <c r="Q10" s="140"/>
      <c r="R10" s="308"/>
    </row>
    <row r="11" spans="1:18">
      <c r="A11" s="322" t="s">
        <v>186</v>
      </c>
      <c r="B11" s="606">
        <v>2420.3000000000002</v>
      </c>
      <c r="C11" s="607">
        <v>4071.44</v>
      </c>
      <c r="D11" s="607">
        <v>10975.180000000002</v>
      </c>
      <c r="E11" s="607">
        <v>10144.85</v>
      </c>
      <c r="F11" s="607">
        <v>10202.710000000001</v>
      </c>
      <c r="G11" s="607">
        <v>10280.720000000001</v>
      </c>
      <c r="H11" s="607">
        <v>13167.74</v>
      </c>
      <c r="I11" s="607">
        <v>4980.5</v>
      </c>
      <c r="J11" s="607">
        <v>10159.52</v>
      </c>
      <c r="K11" s="607">
        <v>7878.99</v>
      </c>
      <c r="L11" s="607">
        <v>6807.3799999999992</v>
      </c>
      <c r="M11" s="608">
        <v>0</v>
      </c>
      <c r="N11" s="608">
        <f>SUM(B11:M11)</f>
        <v>91089.330000000016</v>
      </c>
      <c r="O11" s="609">
        <f>665232.07+N11</f>
        <v>756321.39999999991</v>
      </c>
      <c r="P11" s="610">
        <v>2869200</v>
      </c>
      <c r="Q11" s="611">
        <v>0</v>
      </c>
      <c r="R11" s="309">
        <f>+O11/P11</f>
        <v>0.26360009758817787</v>
      </c>
    </row>
    <row r="12" spans="1:18">
      <c r="A12" s="322" t="s">
        <v>187</v>
      </c>
      <c r="B12" s="606">
        <v>40192.76</v>
      </c>
      <c r="C12" s="607">
        <v>45716.240000000005</v>
      </c>
      <c r="D12" s="607">
        <v>46109.96</v>
      </c>
      <c r="E12" s="607">
        <v>47099.759999999995</v>
      </c>
      <c r="F12" s="607">
        <v>13054.750000000002</v>
      </c>
      <c r="G12" s="607">
        <v>78294</v>
      </c>
      <c r="H12" s="607">
        <v>48556.43</v>
      </c>
      <c r="I12" s="607">
        <v>37691.759999999995</v>
      </c>
      <c r="J12" s="607">
        <v>44983.08</v>
      </c>
      <c r="K12" s="607">
        <v>13172.810000000001</v>
      </c>
      <c r="L12" s="607">
        <v>79096.570000000007</v>
      </c>
      <c r="M12" s="608">
        <v>0</v>
      </c>
      <c r="N12" s="608">
        <f t="shared" ref="N12:N15" si="0">SUM(B12:M12)</f>
        <v>493968.12</v>
      </c>
      <c r="O12" s="609">
        <f>2788267.14+N12</f>
        <v>3282235.2600000002</v>
      </c>
      <c r="P12" s="610">
        <v>9020700</v>
      </c>
      <c r="Q12" s="611">
        <v>0</v>
      </c>
      <c r="R12" s="309">
        <f t="shared" ref="R12:R15" si="1">+O12/P12</f>
        <v>0.36385593800924543</v>
      </c>
    </row>
    <row r="13" spans="1:18">
      <c r="A13" s="322" t="s">
        <v>188</v>
      </c>
      <c r="B13" s="606">
        <v>9050.1</v>
      </c>
      <c r="C13" s="607">
        <v>16667.080000000002</v>
      </c>
      <c r="D13" s="607">
        <v>20819.95</v>
      </c>
      <c r="E13" s="607">
        <v>15177.59</v>
      </c>
      <c r="F13" s="607">
        <v>11172.62</v>
      </c>
      <c r="G13" s="607">
        <v>13547.25</v>
      </c>
      <c r="H13" s="607">
        <v>19907.77</v>
      </c>
      <c r="I13" s="607">
        <v>7304.97</v>
      </c>
      <c r="J13" s="607">
        <v>16562.469999999998</v>
      </c>
      <c r="K13" s="607">
        <v>23608.899999999998</v>
      </c>
      <c r="L13" s="607">
        <v>6232.97</v>
      </c>
      <c r="M13" s="608">
        <v>0</v>
      </c>
      <c r="N13" s="608">
        <f t="shared" si="0"/>
        <v>160051.67000000001</v>
      </c>
      <c r="O13" s="609">
        <f>361425.18+N13</f>
        <v>521476.85</v>
      </c>
      <c r="P13" s="610">
        <v>4664400</v>
      </c>
      <c r="Q13" s="611">
        <v>0</v>
      </c>
      <c r="R13" s="309">
        <f t="shared" si="1"/>
        <v>0.11179934182317125</v>
      </c>
    </row>
    <row r="14" spans="1:18" ht="14.25">
      <c r="A14" s="322" t="s">
        <v>189</v>
      </c>
      <c r="B14" s="606">
        <v>12636.34</v>
      </c>
      <c r="C14" s="607">
        <v>12249.720000000001</v>
      </c>
      <c r="D14" s="607">
        <v>11862.43</v>
      </c>
      <c r="E14" s="607">
        <v>12099.63</v>
      </c>
      <c r="F14" s="607">
        <v>11029.05</v>
      </c>
      <c r="G14" s="607">
        <v>10163.5</v>
      </c>
      <c r="H14" s="607">
        <v>42620</v>
      </c>
      <c r="I14" s="607">
        <v>7527.2400000000007</v>
      </c>
      <c r="J14" s="607">
        <v>118485.16</v>
      </c>
      <c r="K14" s="607">
        <v>48411.240000000005</v>
      </c>
      <c r="L14" s="607">
        <v>13921.880000000001</v>
      </c>
      <c r="M14" s="608">
        <v>0</v>
      </c>
      <c r="N14" s="608">
        <f t="shared" si="0"/>
        <v>301006.19</v>
      </c>
      <c r="O14" s="609">
        <f>610344+N14</f>
        <v>911350.19</v>
      </c>
      <c r="P14" s="611">
        <v>10301202</v>
      </c>
      <c r="Q14" s="611">
        <v>0</v>
      </c>
      <c r="R14" s="309">
        <f t="shared" si="1"/>
        <v>8.8470276575490892E-2</v>
      </c>
    </row>
    <row r="15" spans="1:18" ht="14.25">
      <c r="A15" s="323" t="s">
        <v>190</v>
      </c>
      <c r="B15" s="612">
        <v>0</v>
      </c>
      <c r="C15" s="613">
        <v>0</v>
      </c>
      <c r="D15" s="613">
        <v>0</v>
      </c>
      <c r="E15" s="613">
        <v>0</v>
      </c>
      <c r="F15" s="613">
        <v>0</v>
      </c>
      <c r="G15" s="613">
        <v>0</v>
      </c>
      <c r="H15" s="613">
        <v>0</v>
      </c>
      <c r="I15" s="613">
        <v>0</v>
      </c>
      <c r="J15" s="613">
        <v>0</v>
      </c>
      <c r="K15" s="613">
        <v>0</v>
      </c>
      <c r="L15" s="613">
        <v>0</v>
      </c>
      <c r="M15" s="614">
        <v>0</v>
      </c>
      <c r="N15" s="608">
        <f t="shared" si="0"/>
        <v>0</v>
      </c>
      <c r="O15" s="609">
        <f>15326.45+N15</f>
        <v>15326.45</v>
      </c>
      <c r="P15" s="610">
        <v>20000</v>
      </c>
      <c r="Q15" s="611">
        <v>0</v>
      </c>
      <c r="R15" s="309">
        <f t="shared" si="1"/>
        <v>0.76632250000000002</v>
      </c>
    </row>
    <row r="16" spans="1:18">
      <c r="A16" s="324" t="s">
        <v>191</v>
      </c>
      <c r="B16" s="615">
        <f>SUM(B11:B15)</f>
        <v>64299.5</v>
      </c>
      <c r="C16" s="616">
        <f t="shared" ref="C16:M16" si="2">SUM(C11:C15)</f>
        <v>78704.48000000001</v>
      </c>
      <c r="D16" s="616">
        <f t="shared" si="2"/>
        <v>89767.51999999999</v>
      </c>
      <c r="E16" s="616">
        <f t="shared" si="2"/>
        <v>84521.83</v>
      </c>
      <c r="F16" s="616">
        <f t="shared" si="2"/>
        <v>45459.130000000005</v>
      </c>
      <c r="G16" s="616">
        <f t="shared" si="2"/>
        <v>112285.47</v>
      </c>
      <c r="H16" s="616">
        <f t="shared" si="2"/>
        <v>124251.94</v>
      </c>
      <c r="I16" s="616">
        <f t="shared" si="2"/>
        <v>57504.469999999994</v>
      </c>
      <c r="J16" s="616">
        <f t="shared" si="2"/>
        <v>190190.23</v>
      </c>
      <c r="K16" s="616">
        <f>SUM(K11:K15)</f>
        <v>93071.94</v>
      </c>
      <c r="L16" s="616">
        <f t="shared" si="2"/>
        <v>106058.80000000002</v>
      </c>
      <c r="M16" s="616">
        <f t="shared" si="2"/>
        <v>0</v>
      </c>
      <c r="N16" s="617">
        <f>SUM(N11:N15)</f>
        <v>1046115.31</v>
      </c>
      <c r="O16" s="617">
        <f>SUM(O11:O15)</f>
        <v>5486710.1499999994</v>
      </c>
      <c r="P16" s="618">
        <f>SUM(P11:P15)</f>
        <v>26875502</v>
      </c>
      <c r="Q16" s="619">
        <f>SUM(Q11:Q15)</f>
        <v>0</v>
      </c>
      <c r="R16" s="310">
        <f>O16/P16</f>
        <v>0.20415284335898171</v>
      </c>
    </row>
    <row r="17" spans="1:18">
      <c r="A17" s="323"/>
      <c r="B17" s="606"/>
      <c r="C17" s="609"/>
      <c r="D17" s="609"/>
      <c r="E17" s="609"/>
      <c r="F17" s="620"/>
      <c r="G17" s="621"/>
      <c r="H17" s="620"/>
      <c r="I17" s="620"/>
      <c r="J17" s="620"/>
      <c r="K17" s="620"/>
      <c r="L17" s="620"/>
      <c r="M17" s="620"/>
      <c r="N17" s="622"/>
      <c r="O17" s="622"/>
      <c r="P17" s="610"/>
      <c r="Q17" s="611"/>
      <c r="R17" s="309"/>
    </row>
    <row r="18" spans="1:18">
      <c r="A18" s="321" t="s">
        <v>192</v>
      </c>
      <c r="B18" s="606"/>
      <c r="C18" s="609"/>
      <c r="D18" s="609"/>
      <c r="E18" s="609"/>
      <c r="F18" s="620"/>
      <c r="G18" s="621"/>
      <c r="H18" s="620"/>
      <c r="I18" s="620"/>
      <c r="J18" s="620"/>
      <c r="K18" s="620"/>
      <c r="L18" s="620"/>
      <c r="M18" s="620"/>
      <c r="N18" s="622"/>
      <c r="O18" s="622"/>
      <c r="P18" s="610"/>
      <c r="Q18" s="611"/>
      <c r="R18" s="309"/>
    </row>
    <row r="19" spans="1:18">
      <c r="A19" s="322"/>
      <c r="B19" s="606">
        <v>0</v>
      </c>
      <c r="C19" s="609">
        <v>0</v>
      </c>
      <c r="D19" s="609">
        <v>0</v>
      </c>
      <c r="E19" s="609">
        <v>0</v>
      </c>
      <c r="F19" s="609">
        <v>0</v>
      </c>
      <c r="G19" s="609">
        <v>0</v>
      </c>
      <c r="H19" s="609">
        <v>0</v>
      </c>
      <c r="I19" s="609">
        <v>0</v>
      </c>
      <c r="J19" s="609">
        <v>0</v>
      </c>
      <c r="K19" s="609">
        <v>0</v>
      </c>
      <c r="L19" s="609">
        <v>0</v>
      </c>
      <c r="M19" s="609">
        <v>0</v>
      </c>
      <c r="N19" s="622">
        <f>SUM(B19:M19)</f>
        <v>0</v>
      </c>
      <c r="O19" s="609">
        <f>0+N19</f>
        <v>0</v>
      </c>
      <c r="P19" s="623">
        <v>0</v>
      </c>
      <c r="Q19" s="622">
        <v>0</v>
      </c>
      <c r="R19" s="309">
        <v>0</v>
      </c>
    </row>
    <row r="20" spans="1:18">
      <c r="A20" s="324" t="s">
        <v>193</v>
      </c>
      <c r="B20" s="624">
        <f t="shared" ref="B20:M20" si="3">SUM(B19:B19)</f>
        <v>0</v>
      </c>
      <c r="C20" s="617">
        <f t="shared" si="3"/>
        <v>0</v>
      </c>
      <c r="D20" s="617">
        <f t="shared" si="3"/>
        <v>0</v>
      </c>
      <c r="E20" s="617">
        <f t="shared" si="3"/>
        <v>0</v>
      </c>
      <c r="F20" s="617">
        <f t="shared" si="3"/>
        <v>0</v>
      </c>
      <c r="G20" s="625">
        <f t="shared" si="3"/>
        <v>0</v>
      </c>
      <c r="H20" s="617">
        <f t="shared" si="3"/>
        <v>0</v>
      </c>
      <c r="I20" s="617">
        <f t="shared" si="3"/>
        <v>0</v>
      </c>
      <c r="J20" s="617">
        <f t="shared" si="3"/>
        <v>0</v>
      </c>
      <c r="K20" s="617">
        <f t="shared" si="3"/>
        <v>0</v>
      </c>
      <c r="L20" s="617">
        <f t="shared" si="3"/>
        <v>0</v>
      </c>
      <c r="M20" s="617">
        <f t="shared" si="3"/>
        <v>0</v>
      </c>
      <c r="N20" s="619">
        <f>SUM(N19:N19)</f>
        <v>0</v>
      </c>
      <c r="O20" s="619">
        <f>SUM(O19:O19)</f>
        <v>0</v>
      </c>
      <c r="P20" s="618">
        <f>SUM(P19:P19)</f>
        <v>0</v>
      </c>
      <c r="Q20" s="619">
        <f>SUM(Q19:Q19)</f>
        <v>0</v>
      </c>
      <c r="R20" s="311">
        <v>0</v>
      </c>
    </row>
    <row r="21" spans="1:18">
      <c r="A21" s="325"/>
      <c r="B21" s="606"/>
      <c r="C21" s="609"/>
      <c r="D21" s="609"/>
      <c r="E21" s="609"/>
      <c r="F21" s="609"/>
      <c r="G21" s="621"/>
      <c r="H21" s="609"/>
      <c r="I21" s="609"/>
      <c r="J21" s="609"/>
      <c r="K21" s="609"/>
      <c r="L21" s="609"/>
      <c r="M21" s="609"/>
      <c r="N21" s="622"/>
      <c r="O21" s="622"/>
      <c r="P21" s="623"/>
      <c r="Q21" s="622"/>
      <c r="R21" s="312"/>
    </row>
    <row r="22" spans="1:18">
      <c r="A22" s="321" t="s">
        <v>194</v>
      </c>
      <c r="B22" s="606"/>
      <c r="C22" s="609"/>
      <c r="D22" s="609"/>
      <c r="E22" s="609"/>
      <c r="F22" s="620"/>
      <c r="G22" s="621"/>
      <c r="H22" s="620"/>
      <c r="I22" s="620"/>
      <c r="J22" s="620"/>
      <c r="K22" s="620"/>
      <c r="L22" s="620"/>
      <c r="M22" s="620"/>
      <c r="N22" s="622"/>
      <c r="O22" s="622"/>
      <c r="P22" s="610"/>
      <c r="Q22" s="611"/>
      <c r="R22" s="309"/>
    </row>
    <row r="23" spans="1:18" ht="14.25">
      <c r="A23" s="322" t="s">
        <v>195</v>
      </c>
      <c r="B23" s="612">
        <v>25434.629999999997</v>
      </c>
      <c r="C23" s="613">
        <v>140465.22</v>
      </c>
      <c r="D23" s="613">
        <v>157673.19000000003</v>
      </c>
      <c r="E23" s="613">
        <v>147762.50999999995</v>
      </c>
      <c r="F23" s="613">
        <v>15596.34</v>
      </c>
      <c r="G23" s="613">
        <v>40691.949999999997</v>
      </c>
      <c r="H23" s="613">
        <v>-28855.239999999998</v>
      </c>
      <c r="I23" s="613">
        <v>204241.09</v>
      </c>
      <c r="J23" s="613">
        <v>96668.319999999992</v>
      </c>
      <c r="K23" s="613">
        <v>97291.46</v>
      </c>
      <c r="L23" s="613">
        <v>128185.82</v>
      </c>
      <c r="M23" s="614">
        <v>0</v>
      </c>
      <c r="N23" s="626">
        <f>SUM(B23:M23)</f>
        <v>1025155.2899999998</v>
      </c>
      <c r="O23" s="609">
        <f>2336825.61+N23</f>
        <v>3361980.8999999994</v>
      </c>
      <c r="P23" s="623">
        <v>8320000</v>
      </c>
      <c r="Q23" s="622">
        <v>0</v>
      </c>
      <c r="R23" s="309">
        <f t="shared" ref="R23" si="4">+O23/P23</f>
        <v>0.40408424278846145</v>
      </c>
    </row>
    <row r="24" spans="1:18">
      <c r="A24" s="324" t="s">
        <v>196</v>
      </c>
      <c r="B24" s="612">
        <f t="shared" ref="B24:M24" si="5">SUM(B23:B23)</f>
        <v>25434.629999999997</v>
      </c>
      <c r="C24" s="616">
        <f t="shared" si="5"/>
        <v>140465.22</v>
      </c>
      <c r="D24" s="616">
        <f t="shared" si="5"/>
        <v>157673.19000000003</v>
      </c>
      <c r="E24" s="616">
        <f t="shared" si="5"/>
        <v>147762.50999999995</v>
      </c>
      <c r="F24" s="616">
        <f t="shared" si="5"/>
        <v>15596.34</v>
      </c>
      <c r="G24" s="613">
        <f t="shared" si="5"/>
        <v>40691.949999999997</v>
      </c>
      <c r="H24" s="616">
        <f t="shared" si="5"/>
        <v>-28855.239999999998</v>
      </c>
      <c r="I24" s="616">
        <f t="shared" si="5"/>
        <v>204241.09</v>
      </c>
      <c r="J24" s="616">
        <f t="shared" si="5"/>
        <v>96668.319999999992</v>
      </c>
      <c r="K24" s="616">
        <f t="shared" si="5"/>
        <v>97291.46</v>
      </c>
      <c r="L24" s="616">
        <f t="shared" si="5"/>
        <v>128185.82</v>
      </c>
      <c r="M24" s="616">
        <f t="shared" si="5"/>
        <v>0</v>
      </c>
      <c r="N24" s="619">
        <f>SUM(N23:N23)</f>
        <v>1025155.2899999998</v>
      </c>
      <c r="O24" s="619">
        <f>O23</f>
        <v>3361980.8999999994</v>
      </c>
      <c r="P24" s="618">
        <f>SUM(P23:P23)</f>
        <v>8320000</v>
      </c>
      <c r="Q24" s="619">
        <f>SUM(Q23:Q23)</f>
        <v>0</v>
      </c>
      <c r="R24" s="311">
        <f>O24/P24</f>
        <v>0.40408424278846145</v>
      </c>
    </row>
    <row r="25" spans="1:18">
      <c r="A25" s="321"/>
      <c r="B25" s="606"/>
      <c r="C25" s="609"/>
      <c r="D25" s="609"/>
      <c r="E25" s="609"/>
      <c r="F25" s="620"/>
      <c r="G25" s="621"/>
      <c r="H25" s="620"/>
      <c r="I25" s="620"/>
      <c r="J25" s="620"/>
      <c r="K25" s="620"/>
      <c r="L25" s="620"/>
      <c r="M25" s="620"/>
      <c r="N25" s="622"/>
      <c r="O25" s="622"/>
      <c r="P25" s="610"/>
      <c r="Q25" s="611"/>
      <c r="R25" s="309"/>
    </row>
    <row r="26" spans="1:18">
      <c r="A26" s="321" t="s">
        <v>197</v>
      </c>
      <c r="B26" s="606"/>
      <c r="C26" s="609"/>
      <c r="D26" s="609"/>
      <c r="E26" s="609"/>
      <c r="F26" s="620"/>
      <c r="G26" s="621"/>
      <c r="H26" s="620"/>
      <c r="I26" s="620"/>
      <c r="J26" s="620"/>
      <c r="K26" s="620"/>
      <c r="L26" s="620"/>
      <c r="M26" s="620"/>
      <c r="N26" s="622"/>
      <c r="O26" s="622"/>
      <c r="P26" s="610"/>
      <c r="Q26" s="611"/>
      <c r="R26" s="309"/>
    </row>
    <row r="27" spans="1:18">
      <c r="A27" s="322" t="s">
        <v>198</v>
      </c>
      <c r="B27" s="627">
        <v>40100.240000000005</v>
      </c>
      <c r="C27" s="628">
        <v>64044.32</v>
      </c>
      <c r="D27" s="628">
        <v>6594.79</v>
      </c>
      <c r="E27" s="628">
        <v>6966.230000000005</v>
      </c>
      <c r="F27" s="628">
        <v>11639.820000000005</v>
      </c>
      <c r="G27" s="628">
        <v>67467.72</v>
      </c>
      <c r="H27" s="628">
        <v>29909.47</v>
      </c>
      <c r="I27" s="628">
        <v>16457.23</v>
      </c>
      <c r="J27" s="628">
        <v>79490.240000000005</v>
      </c>
      <c r="K27" s="628">
        <v>45085.68</v>
      </c>
      <c r="L27" s="628">
        <v>66140.149999999994</v>
      </c>
      <c r="M27" s="629">
        <v>0</v>
      </c>
      <c r="N27" s="626">
        <f>SUM(B27:M27)</f>
        <v>433895.89</v>
      </c>
      <c r="O27" s="609">
        <f>876453.01+N27</f>
        <v>1310348.8999999999</v>
      </c>
      <c r="P27" s="623">
        <v>3483000</v>
      </c>
      <c r="Q27" s="622">
        <v>0</v>
      </c>
      <c r="R27" s="309">
        <f t="shared" ref="R27:R29" si="6">+O27/P27</f>
        <v>0.37621271892047081</v>
      </c>
    </row>
    <row r="28" spans="1:18">
      <c r="A28" s="322" t="s">
        <v>199</v>
      </c>
      <c r="B28" s="606">
        <v>32236.809999999998</v>
      </c>
      <c r="C28" s="607">
        <v>34720.53</v>
      </c>
      <c r="D28" s="607">
        <v>24027.439999999999</v>
      </c>
      <c r="E28" s="607">
        <v>30223.21</v>
      </c>
      <c r="F28" s="607">
        <v>42039.67</v>
      </c>
      <c r="G28" s="607">
        <v>45971.29</v>
      </c>
      <c r="H28" s="607">
        <v>46349.860000000008</v>
      </c>
      <c r="I28" s="607">
        <v>38138.93</v>
      </c>
      <c r="J28" s="607">
        <v>36186.54</v>
      </c>
      <c r="K28" s="607">
        <v>76043.59</v>
      </c>
      <c r="L28" s="607">
        <v>74880.39</v>
      </c>
      <c r="M28" s="608">
        <v>0</v>
      </c>
      <c r="N28" s="626">
        <f>SUM(B28:M28)</f>
        <v>480818.26</v>
      </c>
      <c r="O28" s="609">
        <f>1065210.38+N28</f>
        <v>1546028.64</v>
      </c>
      <c r="P28" s="623">
        <v>3794000</v>
      </c>
      <c r="Q28" s="622">
        <v>0</v>
      </c>
      <c r="R28" s="309">
        <f t="shared" si="6"/>
        <v>0.40749305218766468</v>
      </c>
    </row>
    <row r="29" spans="1:18">
      <c r="A29" s="326" t="s">
        <v>200</v>
      </c>
      <c r="B29" s="612">
        <v>19221.389999999996</v>
      </c>
      <c r="C29" s="613">
        <v>19881.62</v>
      </c>
      <c r="D29" s="613">
        <v>19473.639999999992</v>
      </c>
      <c r="E29" s="613">
        <v>97182</v>
      </c>
      <c r="F29" s="613">
        <v>65554.180000000008</v>
      </c>
      <c r="G29" s="613">
        <v>16421.170000000006</v>
      </c>
      <c r="H29" s="613">
        <v>25366.35</v>
      </c>
      <c r="I29" s="613">
        <v>43205.62000000001</v>
      </c>
      <c r="J29" s="613">
        <v>17191.04</v>
      </c>
      <c r="K29" s="613">
        <v>26297.61</v>
      </c>
      <c r="L29" s="613">
        <v>15801.96</v>
      </c>
      <c r="M29" s="614">
        <v>0</v>
      </c>
      <c r="N29" s="626">
        <f>SUM(B29:M29)</f>
        <v>365596.58</v>
      </c>
      <c r="O29" s="609">
        <f>591946.07+N29</f>
        <v>957542.64999999991</v>
      </c>
      <c r="P29" s="622">
        <v>11267000</v>
      </c>
      <c r="Q29" s="622">
        <v>0</v>
      </c>
      <c r="R29" s="309">
        <f t="shared" si="6"/>
        <v>8.498647821070382E-2</v>
      </c>
    </row>
    <row r="30" spans="1:18">
      <c r="A30" s="324" t="s">
        <v>201</v>
      </c>
      <c r="B30" s="612">
        <f t="shared" ref="B30:I30" si="7">SUM(B27:B29)</f>
        <v>91558.44</v>
      </c>
      <c r="C30" s="616">
        <f t="shared" si="7"/>
        <v>118646.47</v>
      </c>
      <c r="D30" s="616">
        <f t="shared" si="7"/>
        <v>50095.869999999995</v>
      </c>
      <c r="E30" s="616">
        <f>SUM(E27:E29)</f>
        <v>134371.44</v>
      </c>
      <c r="F30" s="630">
        <f t="shared" si="7"/>
        <v>119233.67000000001</v>
      </c>
      <c r="G30" s="613">
        <f t="shared" si="7"/>
        <v>129860.18000000002</v>
      </c>
      <c r="H30" s="630">
        <f t="shared" si="7"/>
        <v>101625.68000000002</v>
      </c>
      <c r="I30" s="630">
        <f t="shared" si="7"/>
        <v>97801.780000000013</v>
      </c>
      <c r="J30" s="630">
        <f>SUM(J27:J29)</f>
        <v>132867.82</v>
      </c>
      <c r="K30" s="630">
        <f>SUM(K27:K29)</f>
        <v>147426.88</v>
      </c>
      <c r="L30" s="630">
        <f>SUM(L27:L29)</f>
        <v>156822.49999999997</v>
      </c>
      <c r="M30" s="630">
        <f t="shared" ref="M30:Q30" si="8">SUM(M27:M29)</f>
        <v>0</v>
      </c>
      <c r="N30" s="619">
        <f t="shared" si="8"/>
        <v>1280310.73</v>
      </c>
      <c r="O30" s="619">
        <f t="shared" si="8"/>
        <v>3813920.19</v>
      </c>
      <c r="P30" s="618">
        <f>SUM(P27:P29)</f>
        <v>18544000</v>
      </c>
      <c r="Q30" s="619">
        <f t="shared" si="8"/>
        <v>0</v>
      </c>
      <c r="R30" s="311">
        <f>O30/P30</f>
        <v>0.20566869014236411</v>
      </c>
    </row>
    <row r="31" spans="1:18">
      <c r="A31" s="322"/>
      <c r="B31" s="606"/>
      <c r="C31" s="609"/>
      <c r="D31" s="609"/>
      <c r="E31" s="609"/>
      <c r="F31" s="620"/>
      <c r="G31" s="621"/>
      <c r="H31" s="620"/>
      <c r="I31" s="620"/>
      <c r="J31" s="620"/>
      <c r="K31" s="620"/>
      <c r="L31" s="620"/>
      <c r="M31" s="620"/>
      <c r="N31" s="622"/>
      <c r="O31" s="622"/>
      <c r="P31" s="623"/>
      <c r="Q31" s="622"/>
      <c r="R31" s="309"/>
    </row>
    <row r="32" spans="1:18">
      <c r="A32" s="321" t="s">
        <v>202</v>
      </c>
      <c r="B32" s="606"/>
      <c r="C32" s="609"/>
      <c r="D32" s="609"/>
      <c r="E32" s="609"/>
      <c r="F32" s="620"/>
      <c r="G32" s="621"/>
      <c r="H32" s="620"/>
      <c r="I32" s="620"/>
      <c r="J32" s="620"/>
      <c r="K32" s="620"/>
      <c r="L32" s="620"/>
      <c r="M32" s="620"/>
      <c r="N32" s="622"/>
      <c r="O32" s="622"/>
      <c r="P32" s="623"/>
      <c r="Q32" s="622"/>
      <c r="R32" s="309"/>
    </row>
    <row r="33" spans="1:18">
      <c r="A33" s="322" t="s">
        <v>203</v>
      </c>
      <c r="B33" s="627">
        <v>0</v>
      </c>
      <c r="C33" s="628">
        <v>0</v>
      </c>
      <c r="D33" s="628">
        <v>0</v>
      </c>
      <c r="E33" s="628">
        <v>0</v>
      </c>
      <c r="F33" s="628">
        <v>0</v>
      </c>
      <c r="G33" s="628">
        <v>0</v>
      </c>
      <c r="H33" s="628">
        <v>0</v>
      </c>
      <c r="I33" s="628">
        <v>0</v>
      </c>
      <c r="J33" s="628">
        <v>0</v>
      </c>
      <c r="K33" s="628">
        <v>0</v>
      </c>
      <c r="L33" s="628">
        <v>0</v>
      </c>
      <c r="M33" s="629">
        <v>0</v>
      </c>
      <c r="N33" s="626">
        <f>SUM(B33:M33)</f>
        <v>0</v>
      </c>
      <c r="O33" s="609">
        <f>8111.66+N33</f>
        <v>8111.66</v>
      </c>
      <c r="P33" s="623">
        <v>2507000</v>
      </c>
      <c r="Q33" s="622">
        <v>0</v>
      </c>
      <c r="R33" s="309">
        <f t="shared" ref="R33:R36" si="9">+O33/P33</f>
        <v>3.2356043079377742E-3</v>
      </c>
    </row>
    <row r="34" spans="1:18">
      <c r="A34" s="322" t="s">
        <v>204</v>
      </c>
      <c r="B34" s="606">
        <v>0</v>
      </c>
      <c r="C34" s="607">
        <v>256.56</v>
      </c>
      <c r="D34" s="607">
        <v>2131.08</v>
      </c>
      <c r="E34" s="607">
        <v>1943.22</v>
      </c>
      <c r="F34" s="607">
        <v>1669.8600000000001</v>
      </c>
      <c r="G34" s="607">
        <v>1846.42</v>
      </c>
      <c r="H34" s="607">
        <v>2226.34</v>
      </c>
      <c r="I34" s="607">
        <v>1283.73</v>
      </c>
      <c r="J34" s="607">
        <v>342.13</v>
      </c>
      <c r="K34" s="607">
        <v>2396.8999999999996</v>
      </c>
      <c r="L34" s="607">
        <v>1532.9</v>
      </c>
      <c r="M34" s="608">
        <v>0</v>
      </c>
      <c r="N34" s="626">
        <f>SUM(B34:M34)</f>
        <v>15629.139999999998</v>
      </c>
      <c r="O34" s="609">
        <f>0+N34</f>
        <v>15629.139999999998</v>
      </c>
      <c r="P34" s="622">
        <v>500000</v>
      </c>
      <c r="Q34" s="622">
        <v>0</v>
      </c>
      <c r="R34" s="309">
        <f t="shared" si="9"/>
        <v>3.1258279999999992E-2</v>
      </c>
    </row>
    <row r="35" spans="1:18">
      <c r="A35" s="339" t="s">
        <v>205</v>
      </c>
      <c r="B35" s="606">
        <v>1411.1</v>
      </c>
      <c r="C35" s="607">
        <v>1603.54</v>
      </c>
      <c r="D35" s="607">
        <v>74418.97</v>
      </c>
      <c r="E35" s="607">
        <v>3134.75</v>
      </c>
      <c r="F35" s="607">
        <v>3788.91</v>
      </c>
      <c r="G35" s="607">
        <v>3934.96</v>
      </c>
      <c r="H35" s="607">
        <v>5339.9500000000007</v>
      </c>
      <c r="I35" s="607">
        <v>3045.79</v>
      </c>
      <c r="J35" s="607">
        <v>2228.2200000000003</v>
      </c>
      <c r="K35" s="607">
        <v>3076.45</v>
      </c>
      <c r="L35" s="607">
        <v>80415.02</v>
      </c>
      <c r="M35" s="608">
        <v>0</v>
      </c>
      <c r="N35" s="626">
        <f>SUM(B35:M35)</f>
        <v>182397.66</v>
      </c>
      <c r="O35" s="609">
        <f>389509.21+N35</f>
        <v>571906.87</v>
      </c>
      <c r="P35" s="623">
        <v>2148000</v>
      </c>
      <c r="Q35" s="622">
        <v>0</v>
      </c>
      <c r="R35" s="309">
        <f t="shared" si="9"/>
        <v>0.2662508705772812</v>
      </c>
    </row>
    <row r="36" spans="1:18">
      <c r="A36" s="340" t="s">
        <v>206</v>
      </c>
      <c r="B36" s="612">
        <v>0</v>
      </c>
      <c r="C36" s="613">
        <v>0</v>
      </c>
      <c r="D36" s="613">
        <v>0</v>
      </c>
      <c r="E36" s="613">
        <v>0</v>
      </c>
      <c r="F36" s="613">
        <v>0</v>
      </c>
      <c r="G36" s="613">
        <v>0</v>
      </c>
      <c r="H36" s="613">
        <v>0</v>
      </c>
      <c r="I36" s="613">
        <v>0</v>
      </c>
      <c r="J36" s="613">
        <v>0</v>
      </c>
      <c r="K36" s="613">
        <v>0</v>
      </c>
      <c r="L36" s="613">
        <v>0</v>
      </c>
      <c r="M36" s="614">
        <v>0</v>
      </c>
      <c r="N36" s="626">
        <f>SUM(B36:M36)</f>
        <v>0</v>
      </c>
      <c r="O36" s="609">
        <f>36788.21+N36</f>
        <v>36788.21</v>
      </c>
      <c r="P36" s="622">
        <v>340000</v>
      </c>
      <c r="Q36" s="622">
        <v>0</v>
      </c>
      <c r="R36" s="309">
        <f t="shared" si="9"/>
        <v>0.10820061764705882</v>
      </c>
    </row>
    <row r="37" spans="1:18" ht="14.25">
      <c r="A37" s="324" t="s">
        <v>207</v>
      </c>
      <c r="B37" s="612">
        <f t="shared" ref="B37:Q37" si="10">SUM(B33:B36)</f>
        <v>1411.1</v>
      </c>
      <c r="C37" s="616">
        <f t="shared" si="10"/>
        <v>1860.1</v>
      </c>
      <c r="D37" s="616">
        <f t="shared" si="10"/>
        <v>76550.05</v>
      </c>
      <c r="E37" s="616">
        <f t="shared" si="10"/>
        <v>5077.97</v>
      </c>
      <c r="F37" s="616">
        <f t="shared" si="10"/>
        <v>5458.77</v>
      </c>
      <c r="G37" s="613">
        <f t="shared" si="10"/>
        <v>5781.38</v>
      </c>
      <c r="H37" s="616">
        <f t="shared" si="10"/>
        <v>7566.2900000000009</v>
      </c>
      <c r="I37" s="616">
        <f t="shared" si="10"/>
        <v>4329.5200000000004</v>
      </c>
      <c r="J37" s="616">
        <f t="shared" si="10"/>
        <v>2570.3500000000004</v>
      </c>
      <c r="K37" s="616">
        <f t="shared" si="10"/>
        <v>5473.3499999999995</v>
      </c>
      <c r="L37" s="616">
        <f t="shared" si="10"/>
        <v>81947.92</v>
      </c>
      <c r="M37" s="631">
        <f t="shared" si="10"/>
        <v>0</v>
      </c>
      <c r="N37" s="632">
        <f>SUM(N33:N36)</f>
        <v>198026.8</v>
      </c>
      <c r="O37" s="619">
        <f>SUM(O33:O36)</f>
        <v>632435.88</v>
      </c>
      <c r="P37" s="618">
        <f t="shared" si="10"/>
        <v>5495000</v>
      </c>
      <c r="Q37" s="619">
        <f t="shared" si="10"/>
        <v>0</v>
      </c>
      <c r="R37" s="311">
        <f>O37/P37</f>
        <v>0.11509297179253868</v>
      </c>
    </row>
    <row r="38" spans="1:18">
      <c r="A38" s="322"/>
      <c r="B38" s="606"/>
      <c r="C38" s="609"/>
      <c r="D38" s="609"/>
      <c r="E38" s="609"/>
      <c r="F38" s="620"/>
      <c r="G38" s="621"/>
      <c r="H38" s="620"/>
      <c r="I38" s="620"/>
      <c r="J38" s="620"/>
      <c r="K38" s="620"/>
      <c r="L38" s="620"/>
      <c r="M38" s="620"/>
      <c r="N38" s="622"/>
      <c r="O38" s="622"/>
      <c r="P38" s="623"/>
      <c r="Q38" s="622"/>
      <c r="R38" s="309"/>
    </row>
    <row r="39" spans="1:18">
      <c r="A39" s="321" t="s">
        <v>208</v>
      </c>
      <c r="B39" s="606"/>
      <c r="C39" s="609"/>
      <c r="D39" s="609"/>
      <c r="E39" s="609"/>
      <c r="F39" s="620"/>
      <c r="G39" s="621"/>
      <c r="H39" s="620"/>
      <c r="I39" s="620"/>
      <c r="J39" s="620"/>
      <c r="K39" s="620"/>
      <c r="L39" s="620"/>
      <c r="M39" s="620"/>
      <c r="N39" s="622"/>
      <c r="O39" s="622"/>
      <c r="P39" s="623"/>
      <c r="Q39" s="622"/>
      <c r="R39" s="309"/>
    </row>
    <row r="40" spans="1:18" ht="14.25">
      <c r="A40" s="322" t="s">
        <v>209</v>
      </c>
      <c r="B40" s="633">
        <v>5607.42</v>
      </c>
      <c r="C40" s="634">
        <v>5068</v>
      </c>
      <c r="D40" s="634">
        <v>-1294.95</v>
      </c>
      <c r="E40" s="634">
        <v>12690</v>
      </c>
      <c r="F40" s="634">
        <v>31269.999999999996</v>
      </c>
      <c r="G40" s="634">
        <v>131030.98999999998</v>
      </c>
      <c r="H40" s="634">
        <v>-12682.48</v>
      </c>
      <c r="I40" s="634">
        <v>246245.53</v>
      </c>
      <c r="J40" s="634">
        <v>418869.28000000009</v>
      </c>
      <c r="K40" s="634">
        <v>80895.430000000051</v>
      </c>
      <c r="L40" s="634">
        <v>59344.78</v>
      </c>
      <c r="M40" s="635">
        <v>0</v>
      </c>
      <c r="N40" s="626">
        <f>SUM(B40:M40)</f>
        <v>977044.00000000012</v>
      </c>
      <c r="O40" s="609">
        <f>1731120+N40</f>
        <v>2708164</v>
      </c>
      <c r="P40" s="623">
        <v>4502000</v>
      </c>
      <c r="Q40" s="622">
        <v>0</v>
      </c>
      <c r="R40" s="309">
        <f t="shared" ref="R40" si="11">+O40/P40</f>
        <v>0.60154686805864055</v>
      </c>
    </row>
    <row r="41" spans="1:18">
      <c r="A41" s="324" t="s">
        <v>210</v>
      </c>
      <c r="B41" s="612">
        <f t="shared" ref="B41:N41" si="12">SUM(B40:B40)</f>
        <v>5607.42</v>
      </c>
      <c r="C41" s="616">
        <f t="shared" si="12"/>
        <v>5068</v>
      </c>
      <c r="D41" s="616">
        <f t="shared" si="12"/>
        <v>-1294.95</v>
      </c>
      <c r="E41" s="616">
        <f t="shared" si="12"/>
        <v>12690</v>
      </c>
      <c r="F41" s="630">
        <f t="shared" si="12"/>
        <v>31269.999999999996</v>
      </c>
      <c r="G41" s="613">
        <f t="shared" si="12"/>
        <v>131030.98999999998</v>
      </c>
      <c r="H41" s="630">
        <f t="shared" si="12"/>
        <v>-12682.48</v>
      </c>
      <c r="I41" s="630">
        <f t="shared" si="12"/>
        <v>246245.53</v>
      </c>
      <c r="J41" s="630">
        <f t="shared" si="12"/>
        <v>418869.28000000009</v>
      </c>
      <c r="K41" s="630">
        <f t="shared" si="12"/>
        <v>80895.430000000051</v>
      </c>
      <c r="L41" s="630">
        <f t="shared" si="12"/>
        <v>59344.78</v>
      </c>
      <c r="M41" s="630">
        <f t="shared" si="12"/>
        <v>0</v>
      </c>
      <c r="N41" s="619">
        <f t="shared" si="12"/>
        <v>977044.00000000012</v>
      </c>
      <c r="O41" s="619">
        <f>O40</f>
        <v>2708164</v>
      </c>
      <c r="P41" s="618">
        <f>SUM(P40)</f>
        <v>4502000</v>
      </c>
      <c r="Q41" s="619">
        <f>SUM(Q40:Q40)</f>
        <v>0</v>
      </c>
      <c r="R41" s="311">
        <f>O41/P41</f>
        <v>0.60154686805864055</v>
      </c>
    </row>
    <row r="42" spans="1:18">
      <c r="A42" s="321"/>
      <c r="B42" s="606"/>
      <c r="C42" s="609"/>
      <c r="D42" s="609"/>
      <c r="E42" s="609"/>
      <c r="F42" s="620"/>
      <c r="G42" s="621"/>
      <c r="H42" s="620"/>
      <c r="I42" s="620"/>
      <c r="J42" s="620"/>
      <c r="K42" s="620"/>
      <c r="L42" s="620"/>
      <c r="M42" s="620"/>
      <c r="N42" s="622"/>
      <c r="O42" s="636"/>
      <c r="P42" s="637"/>
      <c r="Q42" s="622"/>
      <c r="R42" s="309"/>
    </row>
    <row r="43" spans="1:18">
      <c r="A43" s="321" t="s">
        <v>211</v>
      </c>
      <c r="B43" s="606"/>
      <c r="C43" s="609"/>
      <c r="D43" s="609"/>
      <c r="E43" s="609"/>
      <c r="F43" s="620"/>
      <c r="G43" s="621"/>
      <c r="H43" s="620"/>
      <c r="I43" s="620"/>
      <c r="J43" s="620"/>
      <c r="K43" s="620"/>
      <c r="L43" s="620"/>
      <c r="M43" s="620"/>
      <c r="N43" s="622"/>
      <c r="O43" s="636"/>
      <c r="P43" s="623"/>
      <c r="Q43" s="622"/>
      <c r="R43" s="309"/>
    </row>
    <row r="44" spans="1:18" ht="14.25">
      <c r="A44" s="322" t="s">
        <v>328</v>
      </c>
      <c r="B44" s="606">
        <v>28658.379999999997</v>
      </c>
      <c r="C44" s="607">
        <v>29536.71</v>
      </c>
      <c r="D44" s="607">
        <v>49590.439999999995</v>
      </c>
      <c r="E44" s="607">
        <v>50044.15</v>
      </c>
      <c r="F44" s="607">
        <v>46539.71</v>
      </c>
      <c r="G44" s="607">
        <v>48785.2</v>
      </c>
      <c r="H44" s="607">
        <v>53306.070000000007</v>
      </c>
      <c r="I44" s="607">
        <v>23317.25</v>
      </c>
      <c r="J44" s="607">
        <v>45425.930000000008</v>
      </c>
      <c r="K44" s="607">
        <v>49419.989999999991</v>
      </c>
      <c r="L44" s="607">
        <v>48391.320000000007</v>
      </c>
      <c r="M44" s="607">
        <v>0</v>
      </c>
      <c r="N44" s="622">
        <f>SUM(B44:M44)</f>
        <v>473015.14999999997</v>
      </c>
      <c r="O44" s="609">
        <f>1022198.73+N44</f>
        <v>1495213.88</v>
      </c>
      <c r="P44" s="638">
        <f>4095000-166000</f>
        <v>3929000</v>
      </c>
      <c r="Q44" s="622">
        <v>-166000</v>
      </c>
      <c r="R44" s="309">
        <f t="shared" ref="R44:R47" si="13">+O44/P44</f>
        <v>0.38055838126749808</v>
      </c>
    </row>
    <row r="45" spans="1:18" s="201" customFormat="1" ht="14.25">
      <c r="A45" s="323" t="s">
        <v>329</v>
      </c>
      <c r="B45" s="606">
        <v>40093.299999999996</v>
      </c>
      <c r="C45" s="607">
        <v>309649.94</v>
      </c>
      <c r="D45" s="607">
        <v>241075.76</v>
      </c>
      <c r="E45" s="607">
        <v>-126678.38999999996</v>
      </c>
      <c r="F45" s="607">
        <v>120194.03</v>
      </c>
      <c r="G45" s="607">
        <v>321849.10000000003</v>
      </c>
      <c r="H45" s="607">
        <v>107305.69000000002</v>
      </c>
      <c r="I45" s="607">
        <v>137303.64000000001</v>
      </c>
      <c r="J45" s="607">
        <v>102589.97000000002</v>
      </c>
      <c r="K45" s="607">
        <v>156622.5</v>
      </c>
      <c r="L45" s="607">
        <v>309233.31999999995</v>
      </c>
      <c r="M45" s="607">
        <v>0</v>
      </c>
      <c r="N45" s="623">
        <f>SUM(B45:M45)</f>
        <v>1719238.8599999999</v>
      </c>
      <c r="O45" s="639">
        <f>3230727.24+N45</f>
        <v>4949966.0999999996</v>
      </c>
      <c r="P45" s="638">
        <f>7948000+566000</f>
        <v>8514000</v>
      </c>
      <c r="Q45" s="623">
        <v>566000</v>
      </c>
      <c r="R45" s="448">
        <f t="shared" si="13"/>
        <v>0.58139136715997175</v>
      </c>
    </row>
    <row r="46" spans="1:18" ht="14.25">
      <c r="A46" s="322" t="s">
        <v>330</v>
      </c>
      <c r="B46" s="606">
        <v>76793.719999999987</v>
      </c>
      <c r="C46" s="607">
        <v>100941.29999999999</v>
      </c>
      <c r="D46" s="607">
        <v>74772.52</v>
      </c>
      <c r="E46" s="607">
        <v>-10865.939999999999</v>
      </c>
      <c r="F46" s="607">
        <v>87840</v>
      </c>
      <c r="G46" s="607">
        <v>32978.149999999994</v>
      </c>
      <c r="H46" s="607">
        <v>38278.789999999994</v>
      </c>
      <c r="I46" s="607">
        <v>21383.010000000002</v>
      </c>
      <c r="J46" s="607">
        <v>29305.870000000003</v>
      </c>
      <c r="K46" s="607">
        <v>34622.319999999992</v>
      </c>
      <c r="L46" s="607">
        <v>25845.22</v>
      </c>
      <c r="M46" s="607">
        <v>0</v>
      </c>
      <c r="N46" s="622">
        <f>SUM(B46:M46)</f>
        <v>511894.95999999996</v>
      </c>
      <c r="O46" s="609">
        <f>1507881.71+N46</f>
        <v>2019776.67</v>
      </c>
      <c r="P46" s="640">
        <f>5600600-400000</f>
        <v>5200600</v>
      </c>
      <c r="Q46" s="622">
        <v>-400000</v>
      </c>
      <c r="R46" s="309">
        <f t="shared" si="13"/>
        <v>0.3883737780256124</v>
      </c>
    </row>
    <row r="47" spans="1:18">
      <c r="A47" s="322" t="s">
        <v>213</v>
      </c>
      <c r="B47" s="606">
        <v>0</v>
      </c>
      <c r="C47" s="607">
        <v>0</v>
      </c>
      <c r="D47" s="607">
        <v>0</v>
      </c>
      <c r="E47" s="607">
        <v>22346.01</v>
      </c>
      <c r="F47" s="607">
        <v>0</v>
      </c>
      <c r="G47" s="607">
        <v>0</v>
      </c>
      <c r="H47" s="607">
        <v>0</v>
      </c>
      <c r="I47" s="607">
        <v>0</v>
      </c>
      <c r="J47" s="607">
        <v>0</v>
      </c>
      <c r="K47" s="607">
        <v>0</v>
      </c>
      <c r="L47" s="607">
        <v>0</v>
      </c>
      <c r="M47" s="607">
        <v>0</v>
      </c>
      <c r="N47" s="622">
        <f>SUM(B47:M47)</f>
        <v>22346.01</v>
      </c>
      <c r="O47" s="609">
        <f>217109.79+N47</f>
        <v>239455.80000000002</v>
      </c>
      <c r="P47" s="641">
        <v>1000000</v>
      </c>
      <c r="Q47" s="622">
        <v>0</v>
      </c>
      <c r="R47" s="309">
        <f t="shared" si="13"/>
        <v>0.23945580000000002</v>
      </c>
    </row>
    <row r="48" spans="1:18">
      <c r="A48" s="324" t="s">
        <v>214</v>
      </c>
      <c r="B48" s="624">
        <f>SUM(B44:B47)</f>
        <v>145545.39999999997</v>
      </c>
      <c r="C48" s="625">
        <f t="shared" ref="C48:M48" si="14">SUM(C44:C47)</f>
        <v>440127.95</v>
      </c>
      <c r="D48" s="625">
        <f t="shared" si="14"/>
        <v>365438.72000000003</v>
      </c>
      <c r="E48" s="625">
        <f t="shared" si="14"/>
        <v>-65154.169999999969</v>
      </c>
      <c r="F48" s="625">
        <f t="shared" si="14"/>
        <v>254573.74</v>
      </c>
      <c r="G48" s="625">
        <f>SUM(G44:G47)</f>
        <v>403612.45000000007</v>
      </c>
      <c r="H48" s="625">
        <f t="shared" si="14"/>
        <v>198890.55</v>
      </c>
      <c r="I48" s="625">
        <f t="shared" si="14"/>
        <v>182003.90000000002</v>
      </c>
      <c r="J48" s="625">
        <f t="shared" si="14"/>
        <v>177321.77000000002</v>
      </c>
      <c r="K48" s="625">
        <f t="shared" si="14"/>
        <v>240664.81</v>
      </c>
      <c r="L48" s="625">
        <f t="shared" si="14"/>
        <v>383469.86</v>
      </c>
      <c r="M48" s="625">
        <f t="shared" si="14"/>
        <v>0</v>
      </c>
      <c r="N48" s="619">
        <f>N47+N46+N45+N44</f>
        <v>2726494.98</v>
      </c>
      <c r="O48" s="619">
        <f>SUM(O44:O47)</f>
        <v>8704412.4499999993</v>
      </c>
      <c r="P48" s="618">
        <f>SUM(P44:P47)</f>
        <v>18643600</v>
      </c>
      <c r="Q48" s="619">
        <f>SUM(Q44:Q47)</f>
        <v>0</v>
      </c>
      <c r="R48" s="311">
        <f>O48/P48</f>
        <v>0.46688474597180796</v>
      </c>
    </row>
    <row r="49" spans="1:18">
      <c r="A49" s="321"/>
      <c r="B49" s="606"/>
      <c r="C49" s="609"/>
      <c r="D49" s="609"/>
      <c r="E49" s="609"/>
      <c r="F49" s="620"/>
      <c r="G49" s="621"/>
      <c r="H49" s="620"/>
      <c r="I49" s="620"/>
      <c r="J49" s="620"/>
      <c r="K49" s="620"/>
      <c r="L49" s="620"/>
      <c r="M49" s="620"/>
      <c r="N49" s="622"/>
      <c r="O49" s="622"/>
      <c r="P49" s="623"/>
      <c r="Q49" s="622"/>
      <c r="R49" s="309"/>
    </row>
    <row r="50" spans="1:18" ht="15" customHeight="1" thickBot="1">
      <c r="A50" s="327" t="s">
        <v>215</v>
      </c>
      <c r="B50" s="624">
        <f>B48+B41+B37+B30+B24+B20+B16</f>
        <v>333856.49</v>
      </c>
      <c r="C50" s="625">
        <f>C48+C41+C37+C30+C24+C20+C16</f>
        <v>784872.22</v>
      </c>
      <c r="D50" s="625">
        <f t="shared" ref="D50:M50" si="15">D48+D41+D37+D30+D24+D20+D16</f>
        <v>738230.4</v>
      </c>
      <c r="E50" s="625">
        <f t="shared" si="15"/>
        <v>319269.58</v>
      </c>
      <c r="F50" s="625">
        <f t="shared" si="15"/>
        <v>471591.65000000008</v>
      </c>
      <c r="G50" s="625">
        <f t="shared" si="15"/>
        <v>823262.42</v>
      </c>
      <c r="H50" s="625">
        <f t="shared" si="15"/>
        <v>390796.74000000005</v>
      </c>
      <c r="I50" s="625">
        <f t="shared" si="15"/>
        <v>792126.29</v>
      </c>
      <c r="J50" s="625">
        <f t="shared" si="15"/>
        <v>1018487.7699999999</v>
      </c>
      <c r="K50" s="625">
        <f t="shared" si="15"/>
        <v>664823.87000000011</v>
      </c>
      <c r="L50" s="625">
        <f t="shared" si="15"/>
        <v>915829.68000000017</v>
      </c>
      <c r="M50" s="625">
        <f t="shared" si="15"/>
        <v>0</v>
      </c>
      <c r="N50" s="642">
        <f>N48+N41+N37+N30+N24+N20+N16</f>
        <v>7253147.1099999994</v>
      </c>
      <c r="O50" s="642">
        <f>O48+O41+O37+O30+O24+O20+O16</f>
        <v>24707623.569999997</v>
      </c>
      <c r="P50" s="643">
        <f>P48+P41+P37+P30+P24+P20+P16</f>
        <v>82380102</v>
      </c>
      <c r="Q50" s="643">
        <f>Q16+Q30+Q48</f>
        <v>0</v>
      </c>
      <c r="R50" s="313">
        <f>O50/P50</f>
        <v>0.29992222600064267</v>
      </c>
    </row>
    <row r="51" spans="1:18" ht="15" customHeight="1" thickTop="1">
      <c r="A51" s="328"/>
      <c r="B51" s="644"/>
      <c r="C51" s="620"/>
      <c r="D51" s="620"/>
      <c r="E51" s="620"/>
      <c r="F51" s="620"/>
      <c r="G51" s="645"/>
      <c r="H51" s="620"/>
      <c r="I51" s="620"/>
      <c r="J51" s="620"/>
      <c r="K51" s="620"/>
      <c r="L51" s="620"/>
      <c r="M51" s="620"/>
      <c r="N51" s="620"/>
      <c r="O51" s="620"/>
      <c r="P51" s="620" t="s">
        <v>57</v>
      </c>
      <c r="Q51" s="620"/>
      <c r="R51" s="314"/>
    </row>
    <row r="52" spans="1:18" ht="10.5" customHeight="1" thickBot="1">
      <c r="A52" s="206"/>
      <c r="B52" s="204"/>
      <c r="C52" s="141"/>
      <c r="D52" s="141"/>
      <c r="E52" s="141"/>
      <c r="F52" s="141"/>
      <c r="G52" s="141"/>
      <c r="H52" s="141"/>
      <c r="I52" s="141"/>
      <c r="J52" s="141"/>
      <c r="K52" s="141"/>
      <c r="L52" s="141"/>
      <c r="M52" s="141"/>
      <c r="N52" s="141"/>
      <c r="O52" s="141"/>
      <c r="P52" s="142"/>
      <c r="Q52" s="142"/>
      <c r="R52" s="315"/>
    </row>
    <row r="53" spans="1:18">
      <c r="A53" s="201"/>
      <c r="G53" s="264"/>
      <c r="P53" s="264" t="s">
        <v>57</v>
      </c>
    </row>
    <row r="54" spans="1:18" ht="15">
      <c r="A54" s="277" t="s">
        <v>66</v>
      </c>
      <c r="B54" s="201"/>
      <c r="N54" s="368"/>
      <c r="P54" s="130" t="s">
        <v>57</v>
      </c>
    </row>
    <row r="55" spans="1:18" ht="14.25">
      <c r="A55" s="532" t="s">
        <v>355</v>
      </c>
      <c r="B55" s="201"/>
      <c r="N55" s="368"/>
      <c r="P55" s="567" t="s">
        <v>57</v>
      </c>
    </row>
    <row r="56" spans="1:18" ht="14.25">
      <c r="A56" s="532" t="s">
        <v>216</v>
      </c>
      <c r="B56" s="201"/>
      <c r="N56" s="368"/>
    </row>
    <row r="57" spans="1:18" ht="14.25">
      <c r="A57" s="532" t="s">
        <v>217</v>
      </c>
    </row>
    <row r="58" spans="1:18" ht="14.25">
      <c r="A58" s="532" t="s">
        <v>353</v>
      </c>
    </row>
    <row r="59" spans="1:18" ht="14.25">
      <c r="A59" s="532" t="s">
        <v>218</v>
      </c>
    </row>
    <row r="60" spans="1:18" ht="14.25">
      <c r="A60" s="130" t="s">
        <v>219</v>
      </c>
    </row>
    <row r="61" spans="1:18" ht="14.25">
      <c r="A61" s="532" t="s">
        <v>351</v>
      </c>
    </row>
    <row r="62" spans="1:18" ht="14.25">
      <c r="A62" s="532" t="s">
        <v>354</v>
      </c>
    </row>
    <row r="63" spans="1:18" ht="15">
      <c r="A63" s="243" t="s">
        <v>73</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zoomScaleNormal="100" zoomScaleSheetLayoutView="100" workbookViewId="0"/>
  </sheetViews>
  <sheetFormatPr defaultColWidth="9.28515625" defaultRowHeight="12.75"/>
  <cols>
    <col min="1" max="1" width="29.28515625" style="143" customWidth="1"/>
    <col min="2" max="2" width="15" style="143" customWidth="1"/>
    <col min="3" max="3" width="49.7109375" style="143" customWidth="1"/>
    <col min="4" max="4" width="11.28515625" style="143" customWidth="1"/>
    <col min="5" max="5" width="57" style="143" customWidth="1"/>
    <col min="6" max="13" width="9.28515625" style="143"/>
    <col min="14" max="14" width="23.7109375" style="143" bestFit="1" customWidth="1"/>
    <col min="15" max="16384" width="9.28515625" style="143"/>
  </cols>
  <sheetData>
    <row r="1" spans="1:5">
      <c r="C1" s="149" t="s">
        <v>39</v>
      </c>
    </row>
    <row r="2" spans="1:5">
      <c r="C2" s="149" t="s">
        <v>221</v>
      </c>
    </row>
    <row r="3" spans="1:5">
      <c r="C3" s="202" t="str">
        <f>'Program MW '!H3</f>
        <v>November 2020</v>
      </c>
    </row>
    <row r="4" spans="1:5">
      <c r="C4" s="17"/>
    </row>
    <row r="5" spans="1:5">
      <c r="C5" s="17"/>
      <c r="D5" s="200"/>
    </row>
    <row r="6" spans="1:5" s="17" customFormat="1">
      <c r="A6" s="283"/>
      <c r="B6" s="283"/>
    </row>
    <row r="7" spans="1:5" s="17" customFormat="1"/>
    <row r="8" spans="1:5" s="19" customFormat="1">
      <c r="A8" s="18" t="s">
        <v>222</v>
      </c>
      <c r="B8" s="18" t="s">
        <v>223</v>
      </c>
      <c r="C8" s="18" t="s">
        <v>224</v>
      </c>
      <c r="D8" s="18" t="s">
        <v>225</v>
      </c>
      <c r="E8" s="18" t="s">
        <v>226</v>
      </c>
    </row>
    <row r="9" spans="1:5" s="375" customFormat="1" ht="51">
      <c r="A9" s="371" t="s">
        <v>211</v>
      </c>
      <c r="B9" s="372">
        <v>-166000</v>
      </c>
      <c r="C9" s="379" t="s">
        <v>212</v>
      </c>
      <c r="D9" s="374">
        <v>44061</v>
      </c>
      <c r="E9" s="373" t="s">
        <v>333</v>
      </c>
    </row>
    <row r="10" spans="1:5" s="378" customFormat="1" ht="51">
      <c r="A10" s="371" t="s">
        <v>211</v>
      </c>
      <c r="B10" s="377">
        <v>-400000</v>
      </c>
      <c r="C10" s="379" t="s">
        <v>332</v>
      </c>
      <c r="D10" s="374">
        <v>44061</v>
      </c>
      <c r="E10" s="373" t="s">
        <v>333</v>
      </c>
    </row>
    <row r="11" spans="1:5" s="378" customFormat="1" ht="51">
      <c r="A11" s="371" t="s">
        <v>211</v>
      </c>
      <c r="B11" s="377">
        <v>566000</v>
      </c>
      <c r="C11" s="380" t="s">
        <v>331</v>
      </c>
      <c r="D11" s="374">
        <v>44061</v>
      </c>
      <c r="E11" s="373" t="s">
        <v>333</v>
      </c>
    </row>
    <row r="12" spans="1:5" s="378" customFormat="1">
      <c r="A12" s="376" t="s">
        <v>57</v>
      </c>
      <c r="B12" s="377" t="s">
        <v>57</v>
      </c>
      <c r="C12" s="380" t="s">
        <v>57</v>
      </c>
      <c r="D12" s="374"/>
      <c r="E12" s="373"/>
    </row>
    <row r="13" spans="1:5">
      <c r="A13" s="145" t="s">
        <v>109</v>
      </c>
      <c r="B13" s="236">
        <f>SUM(B9:B12)</f>
        <v>0</v>
      </c>
      <c r="C13" s="144"/>
      <c r="D13" s="144"/>
      <c r="E13" s="144"/>
    </row>
    <row r="14" spans="1:5">
      <c r="A14" s="144"/>
      <c r="B14" s="144"/>
      <c r="C14" s="144"/>
      <c r="D14" s="144"/>
      <c r="E14" s="144"/>
    </row>
    <row r="16" spans="1:5" ht="14.25">
      <c r="A16" s="494" t="s">
        <v>66</v>
      </c>
    </row>
    <row r="17" spans="1:5" ht="14.25">
      <c r="A17" s="495" t="s">
        <v>227</v>
      </c>
    </row>
    <row r="18" spans="1:5" ht="14.25">
      <c r="A18" s="494"/>
    </row>
    <row r="19" spans="1:5" ht="15">
      <c r="A19" s="496" t="s">
        <v>73</v>
      </c>
      <c r="E19" s="146"/>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7RCVYNPDDY4V-1526832976-103</_dlc_DocId>
    <_dlc_DocIdUrl xmlns="9bf079a2-8838-46e4-a25e-754293e27338">
      <Url>https://sempra.sharepoint.com/teams/sdgecp/po/drps/_layouts/15/DocIdRedir.aspx?ID=7RCVYNPDDY4V-1526832976-103</Url>
      <Description>7RCVYNPDDY4V-1526832976-103</Description>
    </_dlc_DocIdUrl>
  </documentManagement>
</p:properties>
</file>

<file path=customXml/itemProps1.xml><?xml version="1.0" encoding="utf-8"?>
<ds:datastoreItem xmlns:ds="http://schemas.openxmlformats.org/officeDocument/2006/customXml" ds:itemID="{195C82DE-5986-4678-9417-D91ED0D4C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5FF572-7918-47FB-B017-FD232D45D90B}">
  <ds:schemaRefs>
    <ds:schemaRef ds:uri="http://schemas.microsoft.com/sharepoint/events"/>
  </ds:schemaRefs>
</ds:datastoreItem>
</file>

<file path=customXml/itemProps3.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4.xml><?xml version="1.0" encoding="utf-8"?>
<ds:datastoreItem xmlns:ds="http://schemas.openxmlformats.org/officeDocument/2006/customXml" ds:itemID="{5B9CE5A5-034A-44C5-96B1-1FD952A1C468}">
  <ds:schemaRefs>
    <ds:schemaRef ds:uri="http://purl.org/dc/terms/"/>
    <ds:schemaRef ds:uri="3186f035-0cdb-442a-b3b5-e1bf8686ba54"/>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9bf079a2-8838-46e4-a25e-754293e2733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2020-12-17T20:56:36Z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88eefaac-7cff-4429-bd7c-30ee8b1d56cd</vt:lpwstr>
  </property>
  <property fmtid="{D5CDD505-2E9C-101B-9397-08002B2CF9AE}" pid="8" name="SharedWithUsers">
    <vt:lpwstr>212;#Valdivieso, Guillermo</vt:lpwstr>
  </property>
</Properties>
</file>