
<file path=[Content_Types].xml><?xml version="1.0" encoding="utf-8"?>
<Types xmlns="http://schemas.openxmlformats.org/package/2006/content-types">
  <Default Extension="bin" ContentType="application/vnd.openxmlformats-officedocument.spreadsheetml.customProperty"/>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printerSettings/printerSettings1.bin" ContentType="application/vnd.openxmlformats-officedocument.spreadsheetml.printerSettings"/>
  <Override PartName="/xl/printerSettings/printerSettings2.bin" ContentType="application/vnd.openxmlformats-officedocument.spreadsheetml.printerSettings"/>
  <Override PartName="/xl/printerSettings/printerSettings3.bin" ContentType="application/vnd.openxmlformats-officedocument.spreadsheetml.printerSettings"/>
  <Override PartName="/xl/printerSettings/printerSettings4.bin" ContentType="application/vnd.openxmlformats-officedocument.spreadsheetml.printerSettings"/>
  <Override PartName="/xl/printerSettings/printerSettings5.bin" ContentType="application/vnd.openxmlformats-officedocument.spreadsheetml.printerSettings"/>
  <Override PartName="/xl/printerSettings/printerSettings6.bin" ContentType="application/vnd.openxmlformats-officedocument.spreadsheetml.printerSettings"/>
  <Override PartName="/xl/printerSettings/printerSettings7.bin" ContentType="application/vnd.openxmlformats-officedocument.spreadsheetml.printerSettings"/>
  <Override PartName="/xl/drawings/drawing1.xml" ContentType="application/vnd.openxmlformats-officedocument.drawing+xml"/>
  <Override PartName="/xl/printerSettings/printerSettings8.bin" ContentType="application/vnd.openxmlformats-officedocument.spreadsheetml.printerSettings"/>
  <Override PartName="/xl/printerSettings/printerSettings9.bin" ContentType="application/vnd.openxmlformats-officedocument.spreadsheetml.printerSettings"/>
  <Override PartName="/xl/printerSettings/printerSettings10.bin" ContentType="application/vnd.openxmlformats-officedocument.spreadsheetml.printerSettings"/>
  <Override PartName="/xl/printerSettings/printerSettings11.bin" ContentType="application/vnd.openxmlformats-officedocument.spreadsheetml.printerSettings"/>
  <Override PartName="/xl/printerSettings/printerSettings12.bin" ContentType="application/vnd.openxmlformats-officedocument.spreadsheetml.printerSettings"/>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codeName="ThisWorkbook" defaultThemeVersion="124226"/>
  <mc:AlternateContent xmlns:mc="http://schemas.openxmlformats.org/markup-compatibility/2006">
    <mc:Choice Requires="x15">
      <x15ac:absPath xmlns:x15ac="http://schemas.microsoft.com/office/spreadsheetml/2010/11/ac" url="C:\Users\gvaldivi\OneDrive - Sempra Energy\User Folders\Desktop\COPIES OF WORK IN PROGRESS (AL, DATA REQUEST...)\"/>
    </mc:Choice>
  </mc:AlternateContent>
  <xr:revisionPtr revIDLastSave="0" documentId="8_{3D66EDAF-C132-4768-AF11-294C4796171E}" xr6:coauthVersionLast="45" xr6:coauthVersionMax="45" xr10:uidLastSave="{00000000-0000-0000-0000-000000000000}"/>
  <bookViews>
    <workbookView xWindow="-120" yWindow="-120" windowWidth="29040" windowHeight="15840" tabRatio="873" firstSheet="1" activeTab="1" xr2:uid="{00000000-000D-0000-FFFF-FFFF00000000}"/>
  </bookViews>
  <sheets>
    <sheet name="Business Unit Reporting" sheetId="136" state="hidden" r:id="rId1"/>
    <sheet name="Program MW " sheetId="33" r:id="rId2"/>
    <sheet name="Ex ante LI &amp; Eligibility Stats" sheetId="34" r:id="rId3"/>
    <sheet name="Ex post LI &amp; Eligibility Stats" sheetId="35" r:id="rId4"/>
    <sheet name="TA-TI Distribution@" sheetId="36" state="hidden" r:id="rId5"/>
    <sheet name="Auto DR (TI) &amp; Tech Deployment" sheetId="131" r:id="rId6"/>
    <sheet name="Marketing" sheetId="134" r:id="rId7"/>
    <sheet name="DRP Expenditures" sheetId="117" r:id="rId8"/>
    <sheet name="Fund Shift Log" sheetId="29" r:id="rId9"/>
    <sheet name="Event Summary" sheetId="57" r:id="rId10"/>
    <sheet name="SDGE Costs - AMDRMA Balance" sheetId="119" r:id="rId11"/>
    <sheet name="SDGE Costs -GRC " sheetId="120" r:id="rId12"/>
    <sheet name="SDGE Costs -DPDRMA" sheetId="129" r:id="rId13"/>
  </sheets>
  <externalReferences>
    <externalReference r:id="rId14"/>
    <externalReference r:id="rId15"/>
  </externalReferences>
  <definedNames>
    <definedName name="_AMO_UniqueIdentifier" hidden="1">"'149b2d1a-72c1-44e5-bc61-8e647e92c66a'"</definedName>
    <definedName name="_DAT1" localSheetId="7">#REF!</definedName>
    <definedName name="_DAT1" localSheetId="6">#REF!</definedName>
    <definedName name="_DAT1" localSheetId="10">#REF!</definedName>
    <definedName name="_DAT1" localSheetId="12">#REF!</definedName>
    <definedName name="_DAT1">#REF!</definedName>
    <definedName name="_DAT10" localSheetId="7">#REF!</definedName>
    <definedName name="_DAT10" localSheetId="6">#REF!</definedName>
    <definedName name="_DAT10" localSheetId="12">#REF!</definedName>
    <definedName name="_DAT10">#REF!</definedName>
    <definedName name="_DAT11" localSheetId="7">#REF!</definedName>
    <definedName name="_DAT11" localSheetId="6">#REF!</definedName>
    <definedName name="_DAT11" localSheetId="12">#REF!</definedName>
    <definedName name="_DAT11">#REF!</definedName>
    <definedName name="_DAT12" localSheetId="7">#REF!</definedName>
    <definedName name="_DAT12" localSheetId="12">#REF!</definedName>
    <definedName name="_DAT12">#REF!</definedName>
    <definedName name="_DAT13" localSheetId="7">#REF!</definedName>
    <definedName name="_DAT13" localSheetId="12">#REF!</definedName>
    <definedName name="_DAT13">#REF!</definedName>
    <definedName name="_DAT14" localSheetId="7">#REF!</definedName>
    <definedName name="_DAT14" localSheetId="12">#REF!</definedName>
    <definedName name="_DAT14">#REF!</definedName>
    <definedName name="_DAT15" localSheetId="7">#REF!</definedName>
    <definedName name="_DAT15" localSheetId="12">#REF!</definedName>
    <definedName name="_DAT15">#REF!</definedName>
    <definedName name="_DAT16" localSheetId="7">#REF!</definedName>
    <definedName name="_DAT16" localSheetId="12">#REF!</definedName>
    <definedName name="_DAT16">#REF!</definedName>
    <definedName name="_DAT17" localSheetId="7">#REF!</definedName>
    <definedName name="_DAT17" localSheetId="12">#REF!</definedName>
    <definedName name="_DAT17">#REF!</definedName>
    <definedName name="_DAT2" localSheetId="7">#REF!</definedName>
    <definedName name="_DAT2" localSheetId="12">#REF!</definedName>
    <definedName name="_DAT2">#REF!</definedName>
    <definedName name="_DAT3" localSheetId="7">#REF!</definedName>
    <definedName name="_DAT3" localSheetId="12">#REF!</definedName>
    <definedName name="_DAT3">#REF!</definedName>
    <definedName name="_DAT4" localSheetId="7">#REF!</definedName>
    <definedName name="_DAT4" localSheetId="12">#REF!</definedName>
    <definedName name="_DAT4">#REF!</definedName>
    <definedName name="_DAT5" localSheetId="7">#REF!</definedName>
    <definedName name="_DAT5" localSheetId="12">#REF!</definedName>
    <definedName name="_DAT5">#REF!</definedName>
    <definedName name="_DAT6" localSheetId="7">#REF!</definedName>
    <definedName name="_DAT6" localSheetId="12">#REF!</definedName>
    <definedName name="_DAT6">#REF!</definedName>
    <definedName name="_DAT7" localSheetId="7">#REF!</definedName>
    <definedName name="_DAT7" localSheetId="12">#REF!</definedName>
    <definedName name="_DAT7">#REF!</definedName>
    <definedName name="_DAT8" localSheetId="7">#REF!</definedName>
    <definedName name="_DAT8" localSheetId="12">#REF!</definedName>
    <definedName name="_DAT8">#REF!</definedName>
    <definedName name="_DAT9" localSheetId="7">#REF!</definedName>
    <definedName name="_DAT9" localSheetId="12">#REF!</definedName>
    <definedName name="_DAT9">#REF!</definedName>
    <definedName name="_xlnm._FilterDatabase" localSheetId="9" hidden="1">'Event Summary'!$A$8:$G$20</definedName>
    <definedName name="Achieve_GRC" localSheetId="7">#REF!</definedName>
    <definedName name="Achieve_GRC" localSheetId="2">#REF!</definedName>
    <definedName name="Achieve_GRC" localSheetId="3">#REF!</definedName>
    <definedName name="Achieve_GRC" localSheetId="1">#REF!</definedName>
    <definedName name="Achieve_GRC" localSheetId="12">#REF!</definedName>
    <definedName name="Achieve_GRC" localSheetId="4">#REF!</definedName>
    <definedName name="Achieve_GRC">#REF!</definedName>
    <definedName name="Achieve_Service_Excellenc" localSheetId="7">#REF!</definedName>
    <definedName name="Achieve_Service_Excellenc" localSheetId="2">#REF!</definedName>
    <definedName name="Achieve_Service_Excellenc" localSheetId="3">#REF!</definedName>
    <definedName name="Achieve_Service_Excellenc" localSheetId="1">#REF!</definedName>
    <definedName name="Achieve_Service_Excellenc" localSheetId="12">#REF!</definedName>
    <definedName name="Achieve_Service_Excellenc" localSheetId="4">#REF!</definedName>
    <definedName name="Achieve_Service_Excellenc">#REF!</definedName>
    <definedName name="Achieve_Service_Excellence" localSheetId="7">#REF!</definedName>
    <definedName name="Achieve_Service_Excellence" localSheetId="2">#REF!</definedName>
    <definedName name="Achieve_Service_Excellence" localSheetId="3">#REF!</definedName>
    <definedName name="Achieve_Service_Excellence" localSheetId="1">#REF!</definedName>
    <definedName name="Achieve_Service_Excellence" localSheetId="12">#REF!</definedName>
    <definedName name="Achieve_Service_Excellence" localSheetId="4">#REF!</definedName>
    <definedName name="Achieve_Service_Excellence">#REF!</definedName>
    <definedName name="Collect_Revenue" localSheetId="7">#REF!</definedName>
    <definedName name="Collect_Revenue" localSheetId="2">#REF!</definedName>
    <definedName name="Collect_Revenue" localSheetId="3">#REF!</definedName>
    <definedName name="Collect_Revenue" localSheetId="1">#REF!</definedName>
    <definedName name="Collect_Revenue" localSheetId="12">#REF!</definedName>
    <definedName name="Collect_Revenue" localSheetId="4">#REF!</definedName>
    <definedName name="Collect_Revenue">#REF!</definedName>
    <definedName name="DATA1" localSheetId="7">#REF!</definedName>
    <definedName name="DATA1" localSheetId="12">#REF!</definedName>
    <definedName name="DATA1">#REF!</definedName>
    <definedName name="DATA10" localSheetId="7">#REF!</definedName>
    <definedName name="DATA10" localSheetId="12">#REF!</definedName>
    <definedName name="DATA10">#REF!</definedName>
    <definedName name="DATA11" localSheetId="7">#REF!</definedName>
    <definedName name="DATA11" localSheetId="12">#REF!</definedName>
    <definedName name="DATA11">#REF!</definedName>
    <definedName name="DATA12" localSheetId="7">#REF!</definedName>
    <definedName name="DATA12" localSheetId="12">#REF!</definedName>
    <definedName name="DATA12">#REF!</definedName>
    <definedName name="DATA13" localSheetId="7">#REF!</definedName>
    <definedName name="DATA13" localSheetId="12">#REF!</definedName>
    <definedName name="DATA13">#REF!</definedName>
    <definedName name="DATA14" localSheetId="7">#REF!</definedName>
    <definedName name="DATA14" localSheetId="12">#REF!</definedName>
    <definedName name="DATA14">#REF!</definedName>
    <definedName name="DATA15" localSheetId="7">#REF!</definedName>
    <definedName name="DATA15" localSheetId="12">#REF!</definedName>
    <definedName name="DATA15">#REF!</definedName>
    <definedName name="DATA16" localSheetId="7">#REF!</definedName>
    <definedName name="DATA16" localSheetId="12">#REF!</definedName>
    <definedName name="DATA16">#REF!</definedName>
    <definedName name="DATA17" localSheetId="7">#REF!</definedName>
    <definedName name="DATA17" localSheetId="12">#REF!</definedName>
    <definedName name="DATA17">#REF!</definedName>
    <definedName name="DATA18" localSheetId="7">#REF!</definedName>
    <definedName name="DATA18" localSheetId="12">#REF!</definedName>
    <definedName name="DATA18">#REF!</definedName>
    <definedName name="DATA19" localSheetId="7">#REF!</definedName>
    <definedName name="DATA19" localSheetId="12">#REF!</definedName>
    <definedName name="DATA19">#REF!</definedName>
    <definedName name="DATA2" localSheetId="7">#REF!</definedName>
    <definedName name="DATA2" localSheetId="12">#REF!</definedName>
    <definedName name="DATA2">#REF!</definedName>
    <definedName name="DATA20" localSheetId="7">#REF!</definedName>
    <definedName name="DATA20" localSheetId="12">#REF!</definedName>
    <definedName name="DATA20">#REF!</definedName>
    <definedName name="DATA3" localSheetId="7">#REF!</definedName>
    <definedName name="DATA3" localSheetId="12">#REF!</definedName>
    <definedName name="DATA3">#REF!</definedName>
    <definedName name="DATA4" localSheetId="7">#REF!</definedName>
    <definedName name="DATA4" localSheetId="12">#REF!</definedName>
    <definedName name="DATA4">#REF!</definedName>
    <definedName name="DATA5" localSheetId="7">#REF!</definedName>
    <definedName name="DATA5" localSheetId="12">#REF!</definedName>
    <definedName name="DATA5">#REF!</definedName>
    <definedName name="data5000">'[1]ACTMA Detail'!$N$2:$N$102</definedName>
    <definedName name="DATA6" localSheetId="7">#REF!</definedName>
    <definedName name="DATA6" localSheetId="6">#REF!</definedName>
    <definedName name="DATA6" localSheetId="12">#REF!</definedName>
    <definedName name="DATA6">#REF!</definedName>
    <definedName name="DATA7" localSheetId="7">#REF!</definedName>
    <definedName name="DATA7" localSheetId="6">#REF!</definedName>
    <definedName name="DATA7" localSheetId="12">#REF!</definedName>
    <definedName name="DATA7">#REF!</definedName>
    <definedName name="DATA8" localSheetId="7">#REF!</definedName>
    <definedName name="DATA8" localSheetId="6">#REF!</definedName>
    <definedName name="DATA8" localSheetId="12">#REF!</definedName>
    <definedName name="DATA8">#REF!</definedName>
    <definedName name="DATA9" localSheetId="7">#REF!</definedName>
    <definedName name="DATA9" localSheetId="12">#REF!</definedName>
    <definedName name="DATA9">#REF!</definedName>
    <definedName name="DayTypeList" localSheetId="7">[2]LOOKUP!$E$2:$E$14</definedName>
    <definedName name="DayTypeList" localSheetId="10">[2]LOOKUP!$E$2:$E$14</definedName>
    <definedName name="DayTypeList" localSheetId="12">[2]LOOKUP!$E$2:$E$14</definedName>
    <definedName name="DayTypeList" localSheetId="11">[2]LOOKUP!$E$2:$E$14</definedName>
    <definedName name="DayTypeList">[2]LOOKUP!$E$2:$E$14</definedName>
    <definedName name="Enhance_Delivery_Channels" localSheetId="7">#REF!</definedName>
    <definedName name="Enhance_Delivery_Channels" localSheetId="2">#REF!</definedName>
    <definedName name="Enhance_Delivery_Channels" localSheetId="3">#REF!</definedName>
    <definedName name="Enhance_Delivery_Channels" localSheetId="1">#REF!</definedName>
    <definedName name="Enhance_Delivery_Channels" localSheetId="12">#REF!</definedName>
    <definedName name="Enhance_Delivery_Channels" localSheetId="4">#REF!</definedName>
    <definedName name="Enhance_Delivery_Channels">#REF!</definedName>
    <definedName name="Ethics_and_Compliance" localSheetId="7">#REF!</definedName>
    <definedName name="Ethics_and_Compliance" localSheetId="2">#REF!</definedName>
    <definedName name="Ethics_and_Compliance" localSheetId="3">#REF!</definedName>
    <definedName name="Ethics_and_Compliance" localSheetId="1">#REF!</definedName>
    <definedName name="Ethics_and_Compliance" localSheetId="12">#REF!</definedName>
    <definedName name="Ethics_and_Compliance" localSheetId="4">#REF!</definedName>
    <definedName name="Ethics_and_Compliance">#REF!</definedName>
    <definedName name="Launch_Refine_Market" localSheetId="7">#REF!</definedName>
    <definedName name="Launch_Refine_Market" localSheetId="2">#REF!</definedName>
    <definedName name="Launch_Refine_Market" localSheetId="3">#REF!</definedName>
    <definedName name="Launch_Refine_Market" localSheetId="1">#REF!</definedName>
    <definedName name="Launch_Refine_Market" localSheetId="12">#REF!</definedName>
    <definedName name="Launch_Refine_Market" localSheetId="4">#REF!</definedName>
    <definedName name="Launch_Refine_Market">#REF!</definedName>
    <definedName name="Manage_AMI" localSheetId="7">#REF!</definedName>
    <definedName name="Manage_AMI" localSheetId="2">#REF!</definedName>
    <definedName name="Manage_AMI" localSheetId="3">#REF!</definedName>
    <definedName name="Manage_AMI" localSheetId="1">#REF!</definedName>
    <definedName name="Manage_AMI" localSheetId="12">#REF!</definedName>
    <definedName name="Manage_AMI" localSheetId="4">#REF!</definedName>
    <definedName name="Manage_AMI">#REF!</definedName>
    <definedName name="Meet_Financial_Targets" localSheetId="7">#REF!</definedName>
    <definedName name="Meet_Financial_Targets" localSheetId="2">#REF!</definedName>
    <definedName name="Meet_Financial_Targets" localSheetId="3">#REF!</definedName>
    <definedName name="Meet_Financial_Targets" localSheetId="1">#REF!</definedName>
    <definedName name="Meet_Financial_Targets" localSheetId="12">#REF!</definedName>
    <definedName name="Meet_Financial_Targets" localSheetId="4">#REF!</definedName>
    <definedName name="Meet_Financial_Targets">#REF!</definedName>
    <definedName name="nnnnnn">'[1]ACTMA Detail'!$P$2:$P$102</definedName>
    <definedName name="_xlnm.Print_Area" localSheetId="5">'Auto DR (TI) &amp; Tech Deployment'!$A$1:$M$45</definedName>
    <definedName name="_xlnm.Print_Area" localSheetId="7">'DRP Expenditures'!$A$54:$M$54</definedName>
    <definedName name="_xlnm.Print_Area" localSheetId="2">'Ex ante LI &amp; Eligibility Stats'!$A$1:$O$19</definedName>
    <definedName name="_xlnm.Print_Area" localSheetId="3">'Ex post LI &amp; Eligibility Stats'!$A$1:$O$28</definedName>
    <definedName name="_xlnm.Print_Area" localSheetId="8">'Fund Shift Log'!$A$1:$E$19</definedName>
    <definedName name="_xlnm.Print_Area" localSheetId="6">Marketing!$A$1:$Q$40</definedName>
    <definedName name="_xlnm.Print_Area" localSheetId="1">'Program MW '!$A$1:$S$57</definedName>
    <definedName name="_xlnm.Print_Area" localSheetId="12">'SDGE Costs -DPDRMA'!$A$2:$N$45</definedName>
    <definedName name="_xlnm.Print_Area" localSheetId="11">'SDGE Costs -GRC '!$A$1:$N$34</definedName>
    <definedName name="Reliability_Expectations" localSheetId="7">#REF!</definedName>
    <definedName name="Reliability_Expectations" localSheetId="2">#REF!</definedName>
    <definedName name="Reliability_Expectations" localSheetId="3">#REF!</definedName>
    <definedName name="Reliability_Expectations" localSheetId="6">#REF!</definedName>
    <definedName name="Reliability_Expectations" localSheetId="1">#REF!</definedName>
    <definedName name="Reliability_Expectations" localSheetId="12">#REF!</definedName>
    <definedName name="Reliability_Expectations" localSheetId="4">#REF!</definedName>
    <definedName name="Reliability_Expectations">#REF!</definedName>
    <definedName name="SAPBEXhrIndnt" hidden="1">"Wide"</definedName>
    <definedName name="SAPsysID" hidden="1">"708C5W7SBKP804JT78WJ0JNKI"</definedName>
    <definedName name="SAPwbID" hidden="1">"ARS"</definedName>
    <definedName name="Stabilization_Customer_Base" localSheetId="7">#REF!</definedName>
    <definedName name="Stabilization_Customer_Base" localSheetId="2">#REF!</definedName>
    <definedName name="Stabilization_Customer_Base" localSheetId="3">#REF!</definedName>
    <definedName name="Stabilization_Customer_Base" localSheetId="6">#REF!</definedName>
    <definedName name="Stabilization_Customer_Base" localSheetId="1">#REF!</definedName>
    <definedName name="Stabilization_Customer_Base" localSheetId="12">#REF!</definedName>
    <definedName name="Stabilization_Customer_Base" localSheetId="4">#REF!</definedName>
    <definedName name="Stabilization_Customer_Base">#REF!</definedName>
    <definedName name="TEST0" localSheetId="7">#REF!</definedName>
    <definedName name="TEST0" localSheetId="6">#REF!</definedName>
    <definedName name="TEST0" localSheetId="12">#REF!</definedName>
    <definedName name="TEST0">#REF!</definedName>
    <definedName name="TEST1" localSheetId="7">#REF!</definedName>
    <definedName name="TEST1" localSheetId="12">#REF!</definedName>
    <definedName name="TEST1">#REF!</definedName>
    <definedName name="TEST10" localSheetId="7">#REF!</definedName>
    <definedName name="TEST10" localSheetId="12">#REF!</definedName>
    <definedName name="TEST10">#REF!</definedName>
    <definedName name="TEST11" localSheetId="7">#REF!</definedName>
    <definedName name="TEST11" localSheetId="12">#REF!</definedName>
    <definedName name="TEST11">#REF!</definedName>
    <definedName name="TEST12" localSheetId="7">#REF!</definedName>
    <definedName name="TEST12" localSheetId="12">#REF!</definedName>
    <definedName name="TEST12">#REF!</definedName>
    <definedName name="TEST13" localSheetId="7">#REF!</definedName>
    <definedName name="TEST13" localSheetId="12">#REF!</definedName>
    <definedName name="TEST13">#REF!</definedName>
    <definedName name="TEST14" localSheetId="7">#REF!</definedName>
    <definedName name="TEST14" localSheetId="12">#REF!</definedName>
    <definedName name="TEST14">#REF!</definedName>
    <definedName name="TEST15" localSheetId="7">#REF!</definedName>
    <definedName name="TEST15" localSheetId="12">#REF!</definedName>
    <definedName name="TEST15">#REF!</definedName>
    <definedName name="TEST16" localSheetId="7">#REF!</definedName>
    <definedName name="TEST16" localSheetId="12">#REF!</definedName>
    <definedName name="TEST16">#REF!</definedName>
    <definedName name="TEST17" localSheetId="7">#REF!</definedName>
    <definedName name="TEST17" localSheetId="12">#REF!</definedName>
    <definedName name="TEST17">#REF!</definedName>
    <definedName name="TEST18" localSheetId="7">#REF!</definedName>
    <definedName name="TEST18" localSheetId="12">#REF!</definedName>
    <definedName name="TEST18">#REF!</definedName>
    <definedName name="TEST19" localSheetId="7">#REF!</definedName>
    <definedName name="TEST19" localSheetId="12">#REF!</definedName>
    <definedName name="TEST19">#REF!</definedName>
    <definedName name="TEST2" localSheetId="7">#REF!</definedName>
    <definedName name="TEST2" localSheetId="12">#REF!</definedName>
    <definedName name="TEST2">#REF!</definedName>
    <definedName name="TEST20" localSheetId="7">#REF!</definedName>
    <definedName name="TEST20" localSheetId="12">#REF!</definedName>
    <definedName name="TEST20">#REF!</definedName>
    <definedName name="TEST21" localSheetId="7">#REF!</definedName>
    <definedName name="TEST21" localSheetId="12">#REF!</definedName>
    <definedName name="TEST21">#REF!</definedName>
    <definedName name="TEST22" localSheetId="7">#REF!</definedName>
    <definedName name="TEST22" localSheetId="12">#REF!</definedName>
    <definedName name="TEST22">#REF!</definedName>
    <definedName name="TEST23" localSheetId="7">#REF!</definedName>
    <definedName name="TEST23" localSheetId="12">#REF!</definedName>
    <definedName name="TEST23">#REF!</definedName>
    <definedName name="TEST24" localSheetId="7">#REF!</definedName>
    <definedName name="TEST24" localSheetId="12">#REF!</definedName>
    <definedName name="TEST24">#REF!</definedName>
    <definedName name="TEST25" localSheetId="7">#REF!</definedName>
    <definedName name="TEST25" localSheetId="12">#REF!</definedName>
    <definedName name="TEST25">#REF!</definedName>
    <definedName name="TEST26" localSheetId="7">#REF!</definedName>
    <definedName name="TEST26" localSheetId="12">#REF!</definedName>
    <definedName name="TEST26">#REF!</definedName>
    <definedName name="TEST27" localSheetId="7">#REF!</definedName>
    <definedName name="TEST27" localSheetId="12">#REF!</definedName>
    <definedName name="TEST27">#REF!</definedName>
    <definedName name="TEST28" localSheetId="7">#REF!</definedName>
    <definedName name="TEST28" localSheetId="12">#REF!</definedName>
    <definedName name="TEST28">#REF!</definedName>
    <definedName name="TEST3" localSheetId="7">#REF!</definedName>
    <definedName name="TEST3" localSheetId="12">#REF!</definedName>
    <definedName name="TEST3">#REF!</definedName>
    <definedName name="TEST4" localSheetId="7">#REF!</definedName>
    <definedName name="TEST4" localSheetId="12">#REF!</definedName>
    <definedName name="TEST4">#REF!</definedName>
    <definedName name="TEST5" localSheetId="7">#REF!</definedName>
    <definedName name="TEST5" localSheetId="12">#REF!</definedName>
    <definedName name="TEST5">#REF!</definedName>
    <definedName name="TEST6" localSheetId="7">#REF!</definedName>
    <definedName name="TEST6" localSheetId="12">#REF!</definedName>
    <definedName name="TEST6">#REF!</definedName>
    <definedName name="TEST7" localSheetId="7">#REF!</definedName>
    <definedName name="TEST7" localSheetId="12">#REF!</definedName>
    <definedName name="TEST7">#REF!</definedName>
    <definedName name="TEST8" localSheetId="7">#REF!</definedName>
    <definedName name="TEST8" localSheetId="12">#REF!</definedName>
    <definedName name="TEST8">#REF!</definedName>
    <definedName name="TEST9" localSheetId="7">#REF!</definedName>
    <definedName name="TEST9" localSheetId="12">#REF!</definedName>
    <definedName name="TEST9">#REF!</definedName>
    <definedName name="TESTHKEY" localSheetId="7">#REF!</definedName>
    <definedName name="TESTHKEY" localSheetId="12">#REF!</definedName>
    <definedName name="TESTHKEY">#REF!</definedName>
    <definedName name="TESTKEYS" localSheetId="7">#REF!</definedName>
    <definedName name="TESTKEYS" localSheetId="12">#REF!</definedName>
    <definedName name="TESTKEYS">#REF!</definedName>
    <definedName name="TESTVKEY" localSheetId="7">#REF!</definedName>
    <definedName name="TESTVKEY" localSheetId="12">#REF!</definedName>
    <definedName name="TESTVKEY">#REF!</definedName>
    <definedName name="Valued_Service_Provider" localSheetId="7">#REF!</definedName>
    <definedName name="Valued_Service_Provider" localSheetId="2">#REF!</definedName>
    <definedName name="Valued_Service_Provider" localSheetId="3">#REF!</definedName>
    <definedName name="Valued_Service_Provider" localSheetId="1">#REF!</definedName>
    <definedName name="Valued_Service_Provider" localSheetId="12">#REF!</definedName>
    <definedName name="Valued_Service_Provider" localSheetId="4">#REF!</definedName>
    <definedName name="Valued_Service_Provider">#REF!</definedName>
    <definedName name="Voice_of_Customer" localSheetId="7">#REF!</definedName>
    <definedName name="Voice_of_Customer" localSheetId="2">#REF!</definedName>
    <definedName name="Voice_of_Customer" localSheetId="3">#REF!</definedName>
    <definedName name="Voice_of_Customer" localSheetId="1">#REF!</definedName>
    <definedName name="Voice_of_Customer" localSheetId="12">#REF!</definedName>
    <definedName name="Voice_of_Customer" localSheetId="4">#REF!</definedName>
    <definedName name="Voice_of_Customer">#REF!</definedName>
    <definedName name="Z_E5DF83AA_DC53_4EBF_A523_33DA0FE284E8_.wvu.PrintArea" localSheetId="3" hidden="1">'Ex post LI &amp; Eligibility Stats'!$A$2:$O$26</definedName>
    <definedName name="Z_E5DF83AA_DC53_4EBF_A523_33DA0FE284E8_.wvu.PrintArea" localSheetId="1" hidden="1">'Program MW '!$A$1:$Z$50</definedName>
    <definedName name="Z_E5DF83AA_DC53_4EBF_A523_33DA0FE284E8_.wvu.PrintArea" localSheetId="4" hidden="1">'TA-TI Distribution@'!#REF!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38" i="33" l="1"/>
  <c r="J36" i="131" l="1"/>
  <c r="J34" i="131"/>
  <c r="J24" i="131"/>
  <c r="J23" i="131"/>
  <c r="I42" i="33" l="1"/>
  <c r="J13" i="131" l="1"/>
  <c r="J38" i="134" l="1"/>
  <c r="N10" i="119" l="1"/>
  <c r="N11" i="119"/>
  <c r="N12" i="119"/>
  <c r="N13" i="119"/>
  <c r="N14" i="119"/>
  <c r="N15" i="119"/>
  <c r="N16" i="119"/>
  <c r="N17" i="119"/>
  <c r="N18" i="119"/>
  <c r="N19" i="119"/>
  <c r="N20" i="119"/>
  <c r="N21" i="119"/>
  <c r="N22" i="119"/>
  <c r="N23" i="119"/>
  <c r="N24" i="119"/>
  <c r="N25" i="119"/>
  <c r="N26" i="119"/>
  <c r="N27" i="119"/>
  <c r="N28" i="119"/>
  <c r="N29" i="119"/>
  <c r="N30" i="119"/>
  <c r="N31" i="119"/>
  <c r="N32" i="119"/>
  <c r="N33" i="119"/>
  <c r="N37" i="119"/>
  <c r="N38" i="119"/>
  <c r="N39" i="119"/>
  <c r="N40" i="119"/>
  <c r="N41" i="119"/>
  <c r="N42" i="119"/>
  <c r="N43" i="119"/>
  <c r="N44" i="119"/>
  <c r="N45" i="119"/>
  <c r="N46" i="119"/>
  <c r="P46" i="117"/>
  <c r="P45" i="117"/>
  <c r="P44" i="117"/>
  <c r="L30" i="117"/>
  <c r="K30" i="117"/>
  <c r="J30" i="117"/>
  <c r="N12" i="134"/>
  <c r="N13" i="134"/>
  <c r="N14" i="134"/>
  <c r="N15" i="134"/>
  <c r="N16" i="134"/>
  <c r="N17" i="134"/>
  <c r="N18" i="134"/>
  <c r="N19" i="134"/>
  <c r="N20" i="134"/>
  <c r="N21" i="134"/>
  <c r="N22" i="134"/>
  <c r="P48" i="117" l="1"/>
  <c r="N47" i="119"/>
  <c r="I34" i="131"/>
  <c r="I36" i="131"/>
  <c r="I24" i="131"/>
  <c r="I23" i="131"/>
  <c r="O22" i="134" l="1"/>
  <c r="O21" i="134"/>
  <c r="O20" i="134"/>
  <c r="O19" i="134"/>
  <c r="O18" i="134"/>
  <c r="O17" i="134"/>
  <c r="O16" i="134"/>
  <c r="O14" i="134"/>
  <c r="O13" i="134"/>
  <c r="O12" i="134"/>
  <c r="O15" i="134" l="1"/>
  <c r="S46" i="33" l="1"/>
  <c r="R46" i="33"/>
  <c r="S45" i="33"/>
  <c r="R45" i="33"/>
  <c r="S44" i="33"/>
  <c r="R44" i="33"/>
  <c r="S43" i="33"/>
  <c r="R43" i="33"/>
  <c r="S42" i="33"/>
  <c r="R42" i="33"/>
  <c r="S41" i="33"/>
  <c r="R41" i="33"/>
  <c r="S40" i="33"/>
  <c r="R40" i="33"/>
  <c r="S39" i="33"/>
  <c r="R39" i="33"/>
  <c r="S38" i="33"/>
  <c r="R38" i="33"/>
  <c r="S37" i="33"/>
  <c r="R37" i="33"/>
  <c r="S35" i="33"/>
  <c r="R35" i="33"/>
  <c r="P46" i="33"/>
  <c r="O46" i="33"/>
  <c r="P45" i="33"/>
  <c r="O45" i="33"/>
  <c r="P44" i="33"/>
  <c r="O44" i="33"/>
  <c r="P43" i="33"/>
  <c r="O43" i="33"/>
  <c r="P42" i="33"/>
  <c r="O42" i="33"/>
  <c r="P41" i="33"/>
  <c r="O41" i="33"/>
  <c r="P40" i="33"/>
  <c r="O40" i="33"/>
  <c r="P39" i="33"/>
  <c r="O39" i="33"/>
  <c r="P38" i="33"/>
  <c r="O38" i="33"/>
  <c r="P37" i="33"/>
  <c r="O37" i="33"/>
  <c r="P35" i="33"/>
  <c r="O35" i="33"/>
  <c r="M46" i="33"/>
  <c r="L46" i="33"/>
  <c r="M45" i="33"/>
  <c r="L45" i="33"/>
  <c r="M44" i="33"/>
  <c r="L44" i="33"/>
  <c r="M43" i="33"/>
  <c r="L43" i="33"/>
  <c r="M42" i="33"/>
  <c r="L42" i="33"/>
  <c r="M41" i="33"/>
  <c r="L41" i="33"/>
  <c r="M40" i="33"/>
  <c r="L40" i="33"/>
  <c r="M39" i="33"/>
  <c r="L39" i="33"/>
  <c r="M38" i="33"/>
  <c r="L38" i="33"/>
  <c r="M37" i="33"/>
  <c r="L37" i="33"/>
  <c r="M35" i="33"/>
  <c r="L35" i="33"/>
  <c r="J46" i="33"/>
  <c r="I46" i="33"/>
  <c r="J45" i="33"/>
  <c r="I45" i="33"/>
  <c r="J44" i="33"/>
  <c r="I44" i="33"/>
  <c r="J43" i="33"/>
  <c r="I43" i="33"/>
  <c r="J42" i="33"/>
  <c r="J41" i="33"/>
  <c r="J33" i="131" s="1"/>
  <c r="J40" i="131" s="1"/>
  <c r="I41" i="33"/>
  <c r="J40" i="33"/>
  <c r="I40" i="33"/>
  <c r="J39" i="33"/>
  <c r="I39" i="33"/>
  <c r="J38" i="33"/>
  <c r="J22" i="131" s="1"/>
  <c r="J25" i="131" s="1"/>
  <c r="I38" i="33"/>
  <c r="J37" i="33"/>
  <c r="I37" i="33"/>
  <c r="J35" i="33"/>
  <c r="I35" i="33"/>
  <c r="S32" i="33"/>
  <c r="R32" i="33"/>
  <c r="P32" i="33"/>
  <c r="O32" i="33"/>
  <c r="M32" i="33"/>
  <c r="L32" i="33"/>
  <c r="J32" i="33"/>
  <c r="I32" i="33"/>
  <c r="F32" i="33"/>
  <c r="C32" i="33"/>
  <c r="G32" i="33"/>
  <c r="G46" i="33" l="1"/>
  <c r="F46" i="33"/>
  <c r="G45" i="33"/>
  <c r="F45" i="33"/>
  <c r="G44" i="33"/>
  <c r="F44" i="33"/>
  <c r="G43" i="33"/>
  <c r="F43" i="33"/>
  <c r="G42" i="33"/>
  <c r="F42" i="33"/>
  <c r="G41" i="33"/>
  <c r="F41" i="33"/>
  <c r="G40" i="33"/>
  <c r="F40" i="33"/>
  <c r="G39" i="33"/>
  <c r="I33" i="131" s="1"/>
  <c r="F39" i="33"/>
  <c r="G38" i="33"/>
  <c r="I22" i="131" s="1"/>
  <c r="I25" i="131" s="1"/>
  <c r="F38" i="33"/>
  <c r="G37" i="33"/>
  <c r="F37" i="33"/>
  <c r="G35" i="33"/>
  <c r="F35" i="33"/>
  <c r="D38" i="33"/>
  <c r="D39" i="33"/>
  <c r="D40" i="33"/>
  <c r="D41" i="33"/>
  <c r="D42" i="33"/>
  <c r="D43" i="33"/>
  <c r="D44" i="33"/>
  <c r="D45" i="33"/>
  <c r="D46" i="33"/>
  <c r="D37" i="33"/>
  <c r="C37" i="33"/>
  <c r="C38" i="33"/>
  <c r="C39" i="33"/>
  <c r="C40" i="33"/>
  <c r="C41" i="33"/>
  <c r="C42" i="33"/>
  <c r="C43" i="33"/>
  <c r="C44" i="33"/>
  <c r="C45" i="33"/>
  <c r="C46" i="33"/>
  <c r="D35" i="33"/>
  <c r="C35" i="33"/>
  <c r="D32" i="33"/>
  <c r="S47" i="33" l="1"/>
  <c r="R47" i="33"/>
  <c r="S33" i="33"/>
  <c r="R33" i="33"/>
  <c r="R48" i="33" s="1"/>
  <c r="P47" i="33"/>
  <c r="O47" i="33"/>
  <c r="P33" i="33"/>
  <c r="O33" i="33"/>
  <c r="L47" i="33"/>
  <c r="M33" i="33"/>
  <c r="L33" i="33"/>
  <c r="J47" i="33"/>
  <c r="J33" i="33"/>
  <c r="I33" i="33"/>
  <c r="F47" i="33"/>
  <c r="G33" i="33"/>
  <c r="F33" i="33"/>
  <c r="D47" i="33"/>
  <c r="D33" i="33"/>
  <c r="C33" i="33"/>
  <c r="S48" i="33" l="1"/>
  <c r="O48" i="33"/>
  <c r="G47" i="33"/>
  <c r="G48" i="33" s="1"/>
  <c r="M47" i="33"/>
  <c r="M48" i="33" s="1"/>
  <c r="C47" i="33"/>
  <c r="C48" i="33" s="1"/>
  <c r="I47" i="33"/>
  <c r="I48" i="33" s="1"/>
  <c r="P48" i="33"/>
  <c r="L48" i="33"/>
  <c r="J48" i="33"/>
  <c r="F48" i="33"/>
  <c r="D48" i="33"/>
  <c r="H36" i="131" l="1"/>
  <c r="H34" i="131"/>
  <c r="H24" i="131"/>
  <c r="H23" i="131"/>
  <c r="H33" i="131"/>
  <c r="H22" i="131"/>
  <c r="N13" i="129" l="1"/>
  <c r="N14" i="129"/>
  <c r="N15" i="129"/>
  <c r="N16" i="129"/>
  <c r="G36" i="131" l="1"/>
  <c r="G34" i="131"/>
  <c r="G23" i="131" l="1"/>
  <c r="G24" i="131"/>
  <c r="S23" i="33" l="1"/>
  <c r="R23" i="33"/>
  <c r="S22" i="33"/>
  <c r="R22" i="33"/>
  <c r="S21" i="33"/>
  <c r="R21" i="33"/>
  <c r="S20" i="33"/>
  <c r="R20" i="33"/>
  <c r="S19" i="33"/>
  <c r="R19" i="33"/>
  <c r="S18" i="33"/>
  <c r="R18" i="33"/>
  <c r="S17" i="33"/>
  <c r="R17" i="33"/>
  <c r="S16" i="33"/>
  <c r="G33" i="131" s="1"/>
  <c r="R16" i="33"/>
  <c r="S15" i="33"/>
  <c r="G22" i="131" s="1"/>
  <c r="R15" i="33"/>
  <c r="S14" i="33"/>
  <c r="R14" i="33"/>
  <c r="S12" i="33"/>
  <c r="R12" i="33"/>
  <c r="S9" i="33"/>
  <c r="S10" i="33" s="1"/>
  <c r="R9" i="33"/>
  <c r="R10" i="33" s="1"/>
  <c r="G23" i="134" l="1"/>
  <c r="N15" i="117" l="1"/>
  <c r="O15" i="117" s="1"/>
  <c r="N14" i="117"/>
  <c r="O14" i="117" s="1"/>
  <c r="N13" i="117"/>
  <c r="N12" i="117"/>
  <c r="F36" i="131" l="1"/>
  <c r="F34" i="131"/>
  <c r="F24" i="131"/>
  <c r="E24" i="131"/>
  <c r="D24" i="131"/>
  <c r="F23" i="131"/>
  <c r="E23" i="131"/>
  <c r="P9" i="33" l="1"/>
  <c r="O9" i="33"/>
  <c r="P23" i="33" l="1"/>
  <c r="O23" i="33"/>
  <c r="P22" i="33"/>
  <c r="O22" i="33"/>
  <c r="P21" i="33"/>
  <c r="O21" i="33"/>
  <c r="P20" i="33"/>
  <c r="O20" i="33"/>
  <c r="P19" i="33"/>
  <c r="O19" i="33"/>
  <c r="P18" i="33"/>
  <c r="O18" i="33"/>
  <c r="P17" i="33"/>
  <c r="O17" i="33"/>
  <c r="P16" i="33"/>
  <c r="F33" i="131" s="1"/>
  <c r="F40" i="131" s="1"/>
  <c r="O16" i="33"/>
  <c r="P15" i="33"/>
  <c r="F22" i="131" s="1"/>
  <c r="F25" i="131" s="1"/>
  <c r="O15" i="33"/>
  <c r="P14" i="33"/>
  <c r="O14" i="33"/>
  <c r="P12" i="33"/>
  <c r="O12" i="33"/>
  <c r="N24" i="33" l="1"/>
  <c r="F23" i="134" l="1"/>
  <c r="M40" i="131" l="1"/>
  <c r="L40" i="131"/>
  <c r="K40" i="131"/>
  <c r="I40" i="131"/>
  <c r="H40" i="131"/>
  <c r="G40" i="131"/>
  <c r="P10" i="33"/>
  <c r="M23" i="33" l="1"/>
  <c r="L23" i="33"/>
  <c r="M22" i="33"/>
  <c r="L22" i="33"/>
  <c r="M21" i="33"/>
  <c r="L21" i="33"/>
  <c r="M20" i="33"/>
  <c r="L20" i="33"/>
  <c r="M19" i="33"/>
  <c r="L19" i="33"/>
  <c r="M18" i="33"/>
  <c r="L18" i="33"/>
  <c r="M17" i="33"/>
  <c r="L17" i="33"/>
  <c r="M16" i="33"/>
  <c r="L16" i="33"/>
  <c r="M15" i="33"/>
  <c r="L15" i="33"/>
  <c r="M14" i="33"/>
  <c r="L14" i="33"/>
  <c r="M12" i="33"/>
  <c r="L12" i="33"/>
  <c r="M9" i="33"/>
  <c r="M10" i="33" s="1"/>
  <c r="L9" i="33"/>
  <c r="L10" i="33" s="1"/>
  <c r="M24" i="33" l="1"/>
  <c r="M25" i="33" s="1"/>
  <c r="L24" i="33"/>
  <c r="L25" i="33" s="1"/>
  <c r="D36" i="131"/>
  <c r="D34" i="131"/>
  <c r="E33" i="131"/>
  <c r="E36" i="131"/>
  <c r="E34" i="131"/>
  <c r="E22" i="131"/>
  <c r="E40" i="131" l="1"/>
  <c r="D39" i="131"/>
  <c r="D23" i="131"/>
  <c r="J23" i="33" l="1"/>
  <c r="J22" i="33"/>
  <c r="J21" i="33"/>
  <c r="J20" i="33"/>
  <c r="J19" i="33"/>
  <c r="J18" i="33"/>
  <c r="J17" i="33"/>
  <c r="J16" i="33"/>
  <c r="D33" i="131" s="1"/>
  <c r="J15" i="33"/>
  <c r="D22" i="131" s="1"/>
  <c r="D25" i="131" s="1"/>
  <c r="J14" i="33"/>
  <c r="J12" i="33"/>
  <c r="J9" i="33"/>
  <c r="I23" i="33"/>
  <c r="I22" i="33"/>
  <c r="I21" i="33"/>
  <c r="I20" i="33"/>
  <c r="I19" i="33"/>
  <c r="I18" i="33"/>
  <c r="I17" i="33"/>
  <c r="I16" i="33"/>
  <c r="I15" i="33"/>
  <c r="I14" i="33"/>
  <c r="I12" i="33"/>
  <c r="I9" i="33"/>
  <c r="D23" i="134" l="1"/>
  <c r="B39" i="131" l="1"/>
  <c r="C39" i="131"/>
  <c r="C36" i="131"/>
  <c r="C34" i="131"/>
  <c r="B37" i="131"/>
  <c r="B38" i="131"/>
  <c r="C38" i="131"/>
  <c r="C37" i="131"/>
  <c r="C24" i="131"/>
  <c r="C23" i="131"/>
  <c r="B36" i="131" l="1"/>
  <c r="B34" i="131"/>
  <c r="B24" i="131"/>
  <c r="B23" i="131"/>
  <c r="D18" i="33" l="1"/>
  <c r="B33" i="131" s="1"/>
  <c r="C15" i="33"/>
  <c r="D17" i="33"/>
  <c r="O19" i="35" l="1"/>
  <c r="M47" i="119" l="1"/>
  <c r="L47" i="119"/>
  <c r="K47" i="119"/>
  <c r="J47" i="119"/>
  <c r="I47" i="119"/>
  <c r="H47" i="119"/>
  <c r="G47" i="119"/>
  <c r="F47" i="119"/>
  <c r="E47" i="119"/>
  <c r="D47" i="119"/>
  <c r="C47" i="119"/>
  <c r="B47" i="119"/>
  <c r="B23" i="134"/>
  <c r="N37" i="134" l="1"/>
  <c r="O37" i="134" s="1"/>
  <c r="N36" i="134"/>
  <c r="O36" i="134" s="1"/>
  <c r="N35" i="134"/>
  <c r="O35" i="134" s="1"/>
  <c r="N34" i="134"/>
  <c r="O34" i="134" s="1"/>
  <c r="N30" i="134"/>
  <c r="O30" i="134" s="1"/>
  <c r="N29" i="134"/>
  <c r="O29" i="134" s="1"/>
  <c r="N28" i="134"/>
  <c r="O28" i="134" s="1"/>
  <c r="N27" i="134"/>
  <c r="O27" i="134" s="1"/>
  <c r="N26" i="134"/>
  <c r="O26" i="134" s="1"/>
  <c r="N11" i="134"/>
  <c r="O11" i="134" l="1"/>
  <c r="N23" i="134"/>
  <c r="O23" i="134"/>
  <c r="N38" i="134"/>
  <c r="N31" i="134"/>
  <c r="N29" i="117" l="1"/>
  <c r="O29" i="117" s="1"/>
  <c r="M13" i="131" l="1"/>
  <c r="K13" i="131" l="1"/>
  <c r="L13" i="131"/>
  <c r="K34" i="119" l="1"/>
  <c r="Q11" i="134" l="1"/>
  <c r="G145" i="136" l="1"/>
  <c r="G132" i="136"/>
  <c r="G119" i="136"/>
  <c r="G106" i="136"/>
  <c r="G93" i="136"/>
  <c r="G80" i="136"/>
  <c r="G67" i="136"/>
  <c r="G54" i="136"/>
  <c r="G41" i="136"/>
  <c r="G28" i="136"/>
  <c r="G2" i="136"/>
  <c r="G15" i="136"/>
  <c r="H69" i="136" l="1"/>
  <c r="H70" i="136"/>
  <c r="H71" i="136"/>
  <c r="H56" i="136"/>
  <c r="H57" i="136"/>
  <c r="H58" i="136"/>
  <c r="H43" i="136"/>
  <c r="H44" i="136"/>
  <c r="H45" i="136"/>
  <c r="H30" i="136"/>
  <c r="H31" i="136"/>
  <c r="H32" i="136"/>
  <c r="H17" i="136"/>
  <c r="H18" i="136"/>
  <c r="H19" i="136"/>
  <c r="H4" i="136" l="1"/>
  <c r="H5" i="136"/>
  <c r="H6" i="136"/>
  <c r="G3" i="136" l="1"/>
  <c r="G146" i="136" l="1"/>
  <c r="G133" i="136"/>
  <c r="G120" i="136"/>
  <c r="G107" i="136"/>
  <c r="G94" i="136"/>
  <c r="G81" i="136"/>
  <c r="G69" i="136"/>
  <c r="G70" i="136"/>
  <c r="G71" i="136"/>
  <c r="G72" i="136"/>
  <c r="G73" i="136"/>
  <c r="G74" i="136"/>
  <c r="G75" i="136"/>
  <c r="G76" i="136"/>
  <c r="G77" i="136"/>
  <c r="G78" i="136"/>
  <c r="G79" i="136"/>
  <c r="G68" i="136"/>
  <c r="G56" i="136"/>
  <c r="G57" i="136"/>
  <c r="G58" i="136"/>
  <c r="G59" i="136"/>
  <c r="G60" i="136"/>
  <c r="G61" i="136"/>
  <c r="G62" i="136"/>
  <c r="G63" i="136"/>
  <c r="G64" i="136"/>
  <c r="G65" i="136"/>
  <c r="G66" i="136"/>
  <c r="G55" i="136"/>
  <c r="G43" i="136"/>
  <c r="G44" i="136"/>
  <c r="G45" i="136"/>
  <c r="G46" i="136"/>
  <c r="G47" i="136"/>
  <c r="G48" i="136"/>
  <c r="G49" i="136"/>
  <c r="G50" i="136"/>
  <c r="G51" i="136"/>
  <c r="G52" i="136"/>
  <c r="G53" i="136"/>
  <c r="G42" i="136"/>
  <c r="G30" i="136"/>
  <c r="G31" i="136"/>
  <c r="G32" i="136"/>
  <c r="G33" i="136"/>
  <c r="G34" i="136"/>
  <c r="G35" i="136"/>
  <c r="G36" i="136"/>
  <c r="G37" i="136"/>
  <c r="G38" i="136"/>
  <c r="G39" i="136"/>
  <c r="G40" i="136"/>
  <c r="G29" i="136"/>
  <c r="G17" i="136"/>
  <c r="G18" i="136"/>
  <c r="G19" i="136"/>
  <c r="G20" i="136"/>
  <c r="G21" i="136"/>
  <c r="G22" i="136"/>
  <c r="G23" i="136"/>
  <c r="G24" i="136"/>
  <c r="G25" i="136"/>
  <c r="G26" i="136"/>
  <c r="G27" i="136"/>
  <c r="G16" i="136"/>
  <c r="G4" i="136"/>
  <c r="G5" i="136"/>
  <c r="G6" i="136"/>
  <c r="G7" i="136"/>
  <c r="G8" i="136"/>
  <c r="G9" i="136"/>
  <c r="G10" i="136"/>
  <c r="G11" i="136"/>
  <c r="G12" i="136"/>
  <c r="G13" i="136"/>
  <c r="G14" i="136"/>
  <c r="N22" i="129" l="1"/>
  <c r="N21" i="129"/>
  <c r="K32" i="131" l="1"/>
  <c r="O11" i="35" l="1"/>
  <c r="N8" i="35"/>
  <c r="E24" i="33"/>
  <c r="C31" i="134"/>
  <c r="C17" i="33"/>
  <c r="H9" i="136" s="1"/>
  <c r="C18" i="33"/>
  <c r="H10" i="136" s="1"/>
  <c r="H7" i="136"/>
  <c r="E33" i="33"/>
  <c r="C16" i="33"/>
  <c r="H8" i="136" s="1"/>
  <c r="B34" i="119"/>
  <c r="B48" i="119" s="1"/>
  <c r="B50" i="119" s="1"/>
  <c r="L34" i="119"/>
  <c r="Q15" i="134"/>
  <c r="Q23" i="134" s="1"/>
  <c r="P30" i="117"/>
  <c r="P16" i="117"/>
  <c r="B20" i="117"/>
  <c r="C20" i="117"/>
  <c r="D20" i="117"/>
  <c r="E20" i="117"/>
  <c r="F20" i="117"/>
  <c r="G20" i="117"/>
  <c r="H20" i="117"/>
  <c r="I20" i="117"/>
  <c r="J20" i="117"/>
  <c r="K20" i="117"/>
  <c r="L20" i="117"/>
  <c r="M20" i="117"/>
  <c r="N47" i="117"/>
  <c r="N34" i="117"/>
  <c r="N33" i="117"/>
  <c r="N35" i="117"/>
  <c r="O35" i="117" s="1"/>
  <c r="N36" i="117"/>
  <c r="P37" i="117"/>
  <c r="N19" i="117"/>
  <c r="N11" i="117"/>
  <c r="N16" i="117" s="1"/>
  <c r="F16" i="33"/>
  <c r="G16" i="33"/>
  <c r="F17" i="33"/>
  <c r="G17" i="33"/>
  <c r="F18" i="33"/>
  <c r="G18" i="33"/>
  <c r="F19" i="33"/>
  <c r="D37" i="131" s="1"/>
  <c r="F20" i="33"/>
  <c r="D38" i="131" s="1"/>
  <c r="G19" i="33"/>
  <c r="G20" i="33"/>
  <c r="D15" i="33"/>
  <c r="B22" i="131" s="1"/>
  <c r="F15" i="33"/>
  <c r="H20" i="136" s="1"/>
  <c r="G15" i="33"/>
  <c r="H33" i="136"/>
  <c r="H46" i="136"/>
  <c r="M25" i="131"/>
  <c r="M17" i="129"/>
  <c r="M24" i="129"/>
  <c r="M28" i="129"/>
  <c r="M33" i="129"/>
  <c r="B33" i="129"/>
  <c r="C33" i="129"/>
  <c r="D33" i="129"/>
  <c r="E33" i="129"/>
  <c r="F33" i="129"/>
  <c r="G33" i="129"/>
  <c r="H33" i="129"/>
  <c r="I33" i="129"/>
  <c r="J33" i="129"/>
  <c r="K33" i="129"/>
  <c r="L33" i="129"/>
  <c r="N46" i="117"/>
  <c r="O46" i="117" s="1"/>
  <c r="N45" i="117"/>
  <c r="N44" i="117"/>
  <c r="H120" i="136"/>
  <c r="K16" i="117"/>
  <c r="H107" i="136"/>
  <c r="N9" i="119"/>
  <c r="B17" i="129"/>
  <c r="B24" i="129"/>
  <c r="B28" i="129"/>
  <c r="C24" i="129"/>
  <c r="D24" i="129"/>
  <c r="E24" i="129"/>
  <c r="F24" i="129"/>
  <c r="G24" i="129"/>
  <c r="H24" i="129"/>
  <c r="I24" i="129"/>
  <c r="J24" i="129"/>
  <c r="K24" i="129"/>
  <c r="L24" i="129"/>
  <c r="D17" i="129"/>
  <c r="D28" i="129"/>
  <c r="F17" i="129"/>
  <c r="F28" i="129"/>
  <c r="L17" i="129"/>
  <c r="L28" i="129"/>
  <c r="N20" i="129"/>
  <c r="B13" i="29"/>
  <c r="Q48" i="117"/>
  <c r="Q16" i="117"/>
  <c r="G13" i="131"/>
  <c r="F13" i="131"/>
  <c r="E13" i="131"/>
  <c r="G48" i="117"/>
  <c r="G41" i="117"/>
  <c r="G37" i="117"/>
  <c r="G30" i="117"/>
  <c r="G24" i="117"/>
  <c r="G16" i="117"/>
  <c r="D13" i="131"/>
  <c r="D38" i="134"/>
  <c r="C13" i="131"/>
  <c r="C34" i="119"/>
  <c r="M16" i="117"/>
  <c r="L16" i="117"/>
  <c r="J16" i="117"/>
  <c r="I16" i="117"/>
  <c r="H16" i="117"/>
  <c r="F16" i="117"/>
  <c r="E16" i="117"/>
  <c r="D16" i="117"/>
  <c r="C16" i="117"/>
  <c r="P41" i="117"/>
  <c r="P24" i="117"/>
  <c r="P20" i="117"/>
  <c r="Q20" i="117"/>
  <c r="P38" i="134"/>
  <c r="M38" i="134"/>
  <c r="L38" i="134"/>
  <c r="K38" i="134"/>
  <c r="I38" i="134"/>
  <c r="H38" i="134"/>
  <c r="G38" i="134"/>
  <c r="F38" i="134"/>
  <c r="E38" i="134"/>
  <c r="C38" i="134"/>
  <c r="B38" i="134"/>
  <c r="M31" i="134"/>
  <c r="L31" i="134"/>
  <c r="K31" i="134"/>
  <c r="J31" i="134"/>
  <c r="I31" i="134"/>
  <c r="H31" i="134"/>
  <c r="G31" i="134"/>
  <c r="F31" i="134"/>
  <c r="E31" i="134"/>
  <c r="D31" i="134"/>
  <c r="B31" i="134"/>
  <c r="M23" i="134"/>
  <c r="L23" i="134"/>
  <c r="K23" i="134"/>
  <c r="J23" i="134"/>
  <c r="I23" i="134"/>
  <c r="H23" i="134"/>
  <c r="E23" i="134"/>
  <c r="C23" i="134"/>
  <c r="M48" i="117"/>
  <c r="L48" i="117"/>
  <c r="K48" i="117"/>
  <c r="B48" i="117"/>
  <c r="B41" i="117"/>
  <c r="B37" i="117"/>
  <c r="B30" i="117"/>
  <c r="B24" i="117"/>
  <c r="B16" i="117"/>
  <c r="C48" i="117"/>
  <c r="D48" i="117"/>
  <c r="E48" i="117"/>
  <c r="F48" i="117"/>
  <c r="F41" i="117"/>
  <c r="F37" i="117"/>
  <c r="F30" i="117"/>
  <c r="F24" i="117"/>
  <c r="H48" i="117"/>
  <c r="I48" i="117"/>
  <c r="J48" i="117"/>
  <c r="J41" i="117"/>
  <c r="J37" i="117"/>
  <c r="J24" i="117"/>
  <c r="R15" i="117"/>
  <c r="O12" i="117"/>
  <c r="O10" i="35"/>
  <c r="O12" i="35"/>
  <c r="O13" i="35"/>
  <c r="O14" i="35"/>
  <c r="O15" i="35"/>
  <c r="O16" i="35"/>
  <c r="O17" i="35"/>
  <c r="O18" i="35"/>
  <c r="H73" i="136"/>
  <c r="H68" i="136"/>
  <c r="H72" i="136"/>
  <c r="H74" i="136"/>
  <c r="H75" i="136"/>
  <c r="H76" i="136"/>
  <c r="H77" i="136"/>
  <c r="H78" i="136"/>
  <c r="H79" i="136"/>
  <c r="D16" i="33"/>
  <c r="D32" i="131"/>
  <c r="F32" i="131" s="1"/>
  <c r="H32" i="131" s="1"/>
  <c r="J32" i="131" s="1"/>
  <c r="C32" i="131"/>
  <c r="E32" i="131" s="1"/>
  <c r="G32" i="131" s="1"/>
  <c r="M32" i="131"/>
  <c r="C19" i="33"/>
  <c r="H11" i="136" s="1"/>
  <c r="D19" i="33"/>
  <c r="D21" i="131"/>
  <c r="F21" i="131" s="1"/>
  <c r="H21" i="131" s="1"/>
  <c r="J21" i="131" s="1"/>
  <c r="L21" i="131" s="1"/>
  <c r="C21" i="131"/>
  <c r="E21" i="131" s="1"/>
  <c r="G21" i="131" s="1"/>
  <c r="I21" i="131" s="1"/>
  <c r="K21" i="131" s="1"/>
  <c r="M21" i="131" s="1"/>
  <c r="C4" i="134"/>
  <c r="L24" i="117"/>
  <c r="E28" i="129"/>
  <c r="E17" i="129"/>
  <c r="I41" i="117"/>
  <c r="I37" i="117"/>
  <c r="I30" i="117"/>
  <c r="I24" i="117"/>
  <c r="H41" i="117"/>
  <c r="H37" i="117"/>
  <c r="H30" i="117"/>
  <c r="H24" i="117"/>
  <c r="E41" i="117"/>
  <c r="D41" i="117"/>
  <c r="D37" i="117"/>
  <c r="D30" i="117"/>
  <c r="D24" i="117"/>
  <c r="C41" i="117"/>
  <c r="C37" i="117"/>
  <c r="C30" i="117"/>
  <c r="C24" i="117"/>
  <c r="E37" i="117"/>
  <c r="E30" i="117"/>
  <c r="E24" i="117"/>
  <c r="G4" i="117"/>
  <c r="N23" i="117"/>
  <c r="K24" i="117"/>
  <c r="M24" i="117"/>
  <c r="Q24" i="117"/>
  <c r="N27" i="117"/>
  <c r="N28" i="117"/>
  <c r="M30" i="117"/>
  <c r="Q30" i="117"/>
  <c r="K37" i="117"/>
  <c r="L37" i="117"/>
  <c r="M37" i="117"/>
  <c r="M41" i="117"/>
  <c r="Q37" i="117"/>
  <c r="N40" i="117"/>
  <c r="O40" i="117" s="1"/>
  <c r="K41" i="117"/>
  <c r="L41" i="117"/>
  <c r="Q41" i="117"/>
  <c r="D9" i="33"/>
  <c r="D10" i="33" s="1"/>
  <c r="D12" i="33"/>
  <c r="D20" i="33"/>
  <c r="D22" i="33"/>
  <c r="D23" i="33"/>
  <c r="H81" i="136"/>
  <c r="H13" i="131"/>
  <c r="N35" i="129"/>
  <c r="N31" i="129"/>
  <c r="K28" i="129"/>
  <c r="K17" i="129"/>
  <c r="J28" i="129"/>
  <c r="I28" i="129"/>
  <c r="H28" i="129"/>
  <c r="G28" i="129"/>
  <c r="C28" i="129"/>
  <c r="N27" i="129"/>
  <c r="N23" i="129"/>
  <c r="J17" i="129"/>
  <c r="I17" i="129"/>
  <c r="H17" i="129"/>
  <c r="G17" i="129"/>
  <c r="C17" i="129"/>
  <c r="N12" i="129"/>
  <c r="E5" i="129"/>
  <c r="N30" i="120"/>
  <c r="M28" i="120"/>
  <c r="L28" i="120"/>
  <c r="K28" i="120"/>
  <c r="J28" i="120"/>
  <c r="I28" i="120"/>
  <c r="H28" i="120"/>
  <c r="G28" i="120"/>
  <c r="F28" i="120"/>
  <c r="E28" i="120"/>
  <c r="D28" i="120"/>
  <c r="D14" i="120"/>
  <c r="D18" i="120"/>
  <c r="D22" i="120"/>
  <c r="B14" i="120"/>
  <c r="B18" i="120"/>
  <c r="B22" i="120"/>
  <c r="B28" i="120"/>
  <c r="C14" i="120"/>
  <c r="C18" i="120"/>
  <c r="C22" i="120"/>
  <c r="C28" i="120"/>
  <c r="E14" i="120"/>
  <c r="E18" i="120"/>
  <c r="E22" i="120"/>
  <c r="F14" i="120"/>
  <c r="F18" i="120"/>
  <c r="F22" i="120"/>
  <c r="G14" i="120"/>
  <c r="G18" i="120"/>
  <c r="G22" i="120"/>
  <c r="H14" i="120"/>
  <c r="H18" i="120"/>
  <c r="H22" i="120"/>
  <c r="I14" i="120"/>
  <c r="I18" i="120"/>
  <c r="I22" i="120"/>
  <c r="J14" i="120"/>
  <c r="J18" i="120"/>
  <c r="J22" i="120"/>
  <c r="K14" i="120"/>
  <c r="K18" i="120"/>
  <c r="K22" i="120"/>
  <c r="L14" i="120"/>
  <c r="L18" i="120"/>
  <c r="L22" i="120"/>
  <c r="M14" i="120"/>
  <c r="M18" i="120"/>
  <c r="M22" i="120"/>
  <c r="N27" i="120"/>
  <c r="N26" i="120"/>
  <c r="N25" i="120"/>
  <c r="N21" i="120"/>
  <c r="N17" i="120"/>
  <c r="N13" i="120"/>
  <c r="N12" i="120"/>
  <c r="N11" i="120"/>
  <c r="E4" i="120"/>
  <c r="H34" i="119"/>
  <c r="G34" i="119"/>
  <c r="F34" i="119"/>
  <c r="D34" i="119"/>
  <c r="M34" i="119"/>
  <c r="J34" i="119"/>
  <c r="I34" i="119"/>
  <c r="I48" i="119" s="1"/>
  <c r="I50" i="119" s="1"/>
  <c r="E34" i="119"/>
  <c r="E3" i="119"/>
  <c r="C3" i="29"/>
  <c r="I13" i="131"/>
  <c r="B13" i="131"/>
  <c r="G4" i="131"/>
  <c r="U47" i="36"/>
  <c r="U49" i="36" s="1"/>
  <c r="Q47" i="36"/>
  <c r="Q49" i="36" s="1"/>
  <c r="M47" i="36"/>
  <c r="M49" i="36" s="1"/>
  <c r="I47" i="36"/>
  <c r="I49" i="36" s="1"/>
  <c r="F47" i="36"/>
  <c r="F49" i="36" s="1"/>
  <c r="B47" i="36"/>
  <c r="B49" i="36" s="1"/>
  <c r="V42" i="36"/>
  <c r="R42" i="36"/>
  <c r="N42" i="36"/>
  <c r="Y40" i="36"/>
  <c r="U40" i="36"/>
  <c r="Q40" i="36"/>
  <c r="L40" i="36"/>
  <c r="K40" i="36"/>
  <c r="K33" i="36"/>
  <c r="L33" i="36"/>
  <c r="H40" i="36"/>
  <c r="G40" i="36"/>
  <c r="E40" i="36"/>
  <c r="D40" i="36"/>
  <c r="C40" i="36"/>
  <c r="Y39" i="36"/>
  <c r="U39" i="36"/>
  <c r="Q39" i="36"/>
  <c r="M39" i="36"/>
  <c r="I39" i="36"/>
  <c r="Y38" i="36"/>
  <c r="U38" i="36"/>
  <c r="Q38" i="36"/>
  <c r="M38" i="36"/>
  <c r="I38" i="36"/>
  <c r="Y37" i="36"/>
  <c r="U37" i="36"/>
  <c r="Q37" i="36"/>
  <c r="M37" i="36"/>
  <c r="I37" i="36"/>
  <c r="Y36" i="36"/>
  <c r="U36" i="36"/>
  <c r="Q36" i="36"/>
  <c r="M36" i="36"/>
  <c r="I36" i="36"/>
  <c r="Y35" i="36"/>
  <c r="U35" i="36"/>
  <c r="Q35" i="36"/>
  <c r="M35" i="36"/>
  <c r="I35" i="36"/>
  <c r="X33" i="36"/>
  <c r="X42" i="36" s="1"/>
  <c r="W33" i="36"/>
  <c r="T33" i="36"/>
  <c r="T42" i="36" s="1"/>
  <c r="S33" i="36"/>
  <c r="P33" i="36"/>
  <c r="P42" i="36" s="1"/>
  <c r="O33" i="36"/>
  <c r="O42" i="36" s="1"/>
  <c r="H33" i="36"/>
  <c r="G33" i="36"/>
  <c r="D33" i="36"/>
  <c r="C33" i="36"/>
  <c r="Y32" i="36"/>
  <c r="U32" i="36"/>
  <c r="Q32" i="36"/>
  <c r="M32" i="36"/>
  <c r="I32" i="36"/>
  <c r="E32" i="36"/>
  <c r="E28" i="36"/>
  <c r="Q31" i="36"/>
  <c r="M31" i="36"/>
  <c r="I31" i="36"/>
  <c r="Q30" i="36"/>
  <c r="M30" i="36"/>
  <c r="I30" i="36"/>
  <c r="Q29" i="36"/>
  <c r="M29" i="36"/>
  <c r="I29" i="36"/>
  <c r="I28" i="36"/>
  <c r="Y28" i="36"/>
  <c r="U28" i="36"/>
  <c r="Q28" i="36"/>
  <c r="M28" i="36"/>
  <c r="V20" i="36"/>
  <c r="V22" i="36" s="1"/>
  <c r="R20" i="36"/>
  <c r="R22" i="36" s="1"/>
  <c r="N20" i="36"/>
  <c r="N22" i="36" s="1"/>
  <c r="J20" i="36"/>
  <c r="J22" i="36" s="1"/>
  <c r="F20" i="36"/>
  <c r="F22" i="36" s="1"/>
  <c r="B20" i="36"/>
  <c r="B22" i="36" s="1"/>
  <c r="U14" i="36"/>
  <c r="Q14" i="36"/>
  <c r="M14" i="36"/>
  <c r="X13" i="36"/>
  <c r="W13" i="36"/>
  <c r="U13" i="36"/>
  <c r="T13" i="36"/>
  <c r="S13" i="36"/>
  <c r="Q13" i="36"/>
  <c r="P13" i="36"/>
  <c r="O13" i="36"/>
  <c r="M13" i="36"/>
  <c r="L13" i="36"/>
  <c r="K13" i="36"/>
  <c r="I13" i="36"/>
  <c r="H13" i="36"/>
  <c r="G13" i="36"/>
  <c r="G7" i="36"/>
  <c r="E13" i="36"/>
  <c r="D13" i="36"/>
  <c r="Y11" i="36"/>
  <c r="Y9" i="36"/>
  <c r="Y10" i="36"/>
  <c r="Y5" i="36"/>
  <c r="Y6" i="36"/>
  <c r="X7" i="36"/>
  <c r="W7" i="36"/>
  <c r="T7" i="36"/>
  <c r="S7" i="36"/>
  <c r="P7" i="36"/>
  <c r="O7" i="36"/>
  <c r="L7" i="36"/>
  <c r="K7" i="36"/>
  <c r="H7" i="36"/>
  <c r="D7" i="36"/>
  <c r="C7" i="36"/>
  <c r="C15" i="36" s="1"/>
  <c r="U6" i="36"/>
  <c r="U5" i="36"/>
  <c r="Q6" i="36"/>
  <c r="Q5" i="36"/>
  <c r="M6" i="36"/>
  <c r="M5" i="36"/>
  <c r="I6" i="36"/>
  <c r="E6" i="36"/>
  <c r="E5" i="36"/>
  <c r="I5" i="36"/>
  <c r="H3" i="35"/>
  <c r="H3" i="34"/>
  <c r="Q47" i="33"/>
  <c r="Q33" i="33"/>
  <c r="N47" i="33"/>
  <c r="K47" i="33"/>
  <c r="K33" i="33"/>
  <c r="H47" i="33"/>
  <c r="E47" i="33"/>
  <c r="B47" i="33"/>
  <c r="B33" i="33"/>
  <c r="H146" i="136"/>
  <c r="H25" i="131"/>
  <c r="H133" i="136"/>
  <c r="H94" i="136"/>
  <c r="N33" i="33"/>
  <c r="H33" i="33"/>
  <c r="C28" i="33"/>
  <c r="Q24" i="33"/>
  <c r="Q10" i="33"/>
  <c r="K24" i="33"/>
  <c r="H24" i="33"/>
  <c r="H66" i="136"/>
  <c r="H53" i="136"/>
  <c r="H40" i="136"/>
  <c r="G23" i="33"/>
  <c r="F23" i="33"/>
  <c r="H27" i="136" s="1"/>
  <c r="C23" i="33"/>
  <c r="H14" i="136" s="1"/>
  <c r="G22" i="33"/>
  <c r="F22" i="33"/>
  <c r="B24" i="33"/>
  <c r="B10" i="33"/>
  <c r="C20" i="33"/>
  <c r="H12" i="136" s="1"/>
  <c r="G25" i="131"/>
  <c r="H59" i="136"/>
  <c r="H55" i="136"/>
  <c r="H42" i="136"/>
  <c r="H29" i="136"/>
  <c r="G12" i="33"/>
  <c r="F12" i="33"/>
  <c r="H16" i="136" s="1"/>
  <c r="C12" i="33"/>
  <c r="H3" i="136" s="1"/>
  <c r="N10" i="33"/>
  <c r="K10" i="33"/>
  <c r="H10" i="33"/>
  <c r="E10" i="33"/>
  <c r="J10" i="33"/>
  <c r="G9" i="33"/>
  <c r="G10" i="33" s="1"/>
  <c r="F9" i="33"/>
  <c r="C9" i="33"/>
  <c r="C22" i="33"/>
  <c r="H13" i="136" s="1"/>
  <c r="F4" i="33"/>
  <c r="D4" i="33"/>
  <c r="D28" i="33" s="1"/>
  <c r="L25" i="131"/>
  <c r="P15" i="36" l="1"/>
  <c r="Q50" i="117"/>
  <c r="O19" i="117"/>
  <c r="O20" i="117" s="1"/>
  <c r="N20" i="117"/>
  <c r="N48" i="117"/>
  <c r="O44" i="117"/>
  <c r="O23" i="117"/>
  <c r="O24" i="117" s="1"/>
  <c r="N24" i="117"/>
  <c r="N34" i="119"/>
  <c r="N48" i="119" s="1"/>
  <c r="P50" i="117"/>
  <c r="P55" i="117" s="1"/>
  <c r="N25" i="33"/>
  <c r="D40" i="131"/>
  <c r="H147" i="136"/>
  <c r="H134" i="136"/>
  <c r="H82" i="136"/>
  <c r="H121" i="136"/>
  <c r="H108" i="136"/>
  <c r="H95" i="136"/>
  <c r="G147" i="136"/>
  <c r="G134" i="136"/>
  <c r="G121" i="136"/>
  <c r="G108" i="136"/>
  <c r="G95" i="136"/>
  <c r="G82" i="136"/>
  <c r="C22" i="131"/>
  <c r="C25" i="131" s="1"/>
  <c r="C33" i="131"/>
  <c r="C40" i="131" s="1"/>
  <c r="N48" i="33"/>
  <c r="H85" i="136"/>
  <c r="D42" i="36"/>
  <c r="B50" i="117"/>
  <c r="O33" i="117"/>
  <c r="R33" i="117" s="1"/>
  <c r="O28" i="117"/>
  <c r="R28" i="117" s="1"/>
  <c r="O34" i="117"/>
  <c r="R34" i="117" s="1"/>
  <c r="O27" i="117"/>
  <c r="R27" i="117" s="1"/>
  <c r="O13" i="117"/>
  <c r="R13" i="117" s="1"/>
  <c r="O36" i="117"/>
  <c r="R36" i="117" s="1"/>
  <c r="O47" i="117"/>
  <c r="R47" i="117" s="1"/>
  <c r="O45" i="117"/>
  <c r="R45" i="117" s="1"/>
  <c r="O11" i="117"/>
  <c r="H23" i="136"/>
  <c r="H61" i="136"/>
  <c r="H34" i="136"/>
  <c r="H39" i="136"/>
  <c r="H65" i="136"/>
  <c r="H25" i="136"/>
  <c r="H37" i="136"/>
  <c r="H48" i="136"/>
  <c r="H64" i="136"/>
  <c r="H60" i="136"/>
  <c r="H52" i="136"/>
  <c r="H49" i="136"/>
  <c r="H24" i="136"/>
  <c r="H36" i="136"/>
  <c r="H51" i="136"/>
  <c r="H35" i="136"/>
  <c r="H63" i="136"/>
  <c r="H21" i="136"/>
  <c r="H38" i="136"/>
  <c r="H22" i="136"/>
  <c r="H26" i="136"/>
  <c r="H50" i="136"/>
  <c r="H62" i="136"/>
  <c r="H47" i="136"/>
  <c r="H98" i="136"/>
  <c r="H89" i="136"/>
  <c r="H100" i="136"/>
  <c r="H139" i="136"/>
  <c r="H141" i="136"/>
  <c r="H103" i="136"/>
  <c r="H155" i="136"/>
  <c r="H104" i="136"/>
  <c r="R29" i="117"/>
  <c r="H90" i="136"/>
  <c r="H116" i="136"/>
  <c r="H152" i="136"/>
  <c r="H91" i="136"/>
  <c r="H153" i="136"/>
  <c r="H99" i="136"/>
  <c r="H130" i="136"/>
  <c r="H126" i="136"/>
  <c r="H113" i="136"/>
  <c r="H111" i="136"/>
  <c r="H150" i="136"/>
  <c r="H143" i="136"/>
  <c r="H92" i="136"/>
  <c r="H157" i="136"/>
  <c r="H101" i="136"/>
  <c r="H129" i="136"/>
  <c r="H124" i="136"/>
  <c r="H151" i="136"/>
  <c r="H88" i="136"/>
  <c r="H117" i="136"/>
  <c r="H135" i="136"/>
  <c r="H123" i="136"/>
  <c r="H83" i="136"/>
  <c r="H148" i="136"/>
  <c r="H136" i="136"/>
  <c r="H96" i="136"/>
  <c r="H122" i="136"/>
  <c r="H149" i="136"/>
  <c r="H109" i="136"/>
  <c r="H97" i="136"/>
  <c r="H110" i="136"/>
  <c r="H84" i="136"/>
  <c r="H140" i="136"/>
  <c r="H86" i="136"/>
  <c r="H112" i="136"/>
  <c r="H128" i="136"/>
  <c r="H125" i="136"/>
  <c r="H87" i="136"/>
  <c r="H118" i="136"/>
  <c r="H137" i="136"/>
  <c r="H115" i="136"/>
  <c r="H142" i="136"/>
  <c r="H154" i="136"/>
  <c r="H156" i="136"/>
  <c r="H105" i="136"/>
  <c r="H144" i="136"/>
  <c r="S15" i="36"/>
  <c r="H102" i="136"/>
  <c r="H114" i="136"/>
  <c r="H131" i="136"/>
  <c r="H127" i="136"/>
  <c r="H138" i="136"/>
  <c r="H48" i="33"/>
  <c r="H132" i="136"/>
  <c r="C10" i="33"/>
  <c r="H2" i="136"/>
  <c r="H67" i="136"/>
  <c r="H80" i="136"/>
  <c r="F10" i="33"/>
  <c r="H15" i="136"/>
  <c r="H41" i="136"/>
  <c r="I10" i="33"/>
  <c r="H28" i="136"/>
  <c r="O10" i="33"/>
  <c r="H54" i="136"/>
  <c r="H119" i="136"/>
  <c r="H106" i="136"/>
  <c r="H93" i="136"/>
  <c r="H145" i="136"/>
  <c r="D36" i="129"/>
  <c r="D37" i="129" s="1"/>
  <c r="C42" i="36"/>
  <c r="L42" i="36"/>
  <c r="G151" i="136"/>
  <c r="G155" i="136"/>
  <c r="G138" i="136"/>
  <c r="G142" i="136"/>
  <c r="G149" i="136"/>
  <c r="G153" i="136"/>
  <c r="G157" i="136"/>
  <c r="G136" i="136"/>
  <c r="G140" i="136"/>
  <c r="G144" i="136"/>
  <c r="G123" i="136"/>
  <c r="G127" i="136"/>
  <c r="G131" i="136"/>
  <c r="G148" i="136"/>
  <c r="G156" i="136"/>
  <c r="G139" i="136"/>
  <c r="G122" i="136"/>
  <c r="G128" i="136"/>
  <c r="G112" i="136"/>
  <c r="G116" i="136"/>
  <c r="G99" i="136"/>
  <c r="G103" i="136"/>
  <c r="G86" i="136"/>
  <c r="G90" i="136"/>
  <c r="G150" i="136"/>
  <c r="G141" i="136"/>
  <c r="G124" i="136"/>
  <c r="G129" i="136"/>
  <c r="G109" i="136"/>
  <c r="G113" i="136"/>
  <c r="G117" i="136"/>
  <c r="G96" i="136"/>
  <c r="G100" i="136"/>
  <c r="G104" i="136"/>
  <c r="G83" i="136"/>
  <c r="G87" i="136"/>
  <c r="G91" i="136"/>
  <c r="G137" i="136"/>
  <c r="G111" i="136"/>
  <c r="G102" i="136"/>
  <c r="G89" i="136"/>
  <c r="G152" i="136"/>
  <c r="G135" i="136"/>
  <c r="G143" i="136"/>
  <c r="G125" i="136"/>
  <c r="G130" i="136"/>
  <c r="G110" i="136"/>
  <c r="G114" i="136"/>
  <c r="G118" i="136"/>
  <c r="G97" i="136"/>
  <c r="G101" i="136"/>
  <c r="G105" i="136"/>
  <c r="G84" i="136"/>
  <c r="G88" i="136"/>
  <c r="G92" i="136"/>
  <c r="G154" i="136"/>
  <c r="G126" i="136"/>
  <c r="G115" i="136"/>
  <c r="G98" i="136"/>
  <c r="G85" i="136"/>
  <c r="M7" i="36"/>
  <c r="M15" i="36" s="1"/>
  <c r="J50" i="117"/>
  <c r="L15" i="36"/>
  <c r="E25" i="33"/>
  <c r="Q33" i="36"/>
  <c r="Q42" i="36" s="1"/>
  <c r="H15" i="36"/>
  <c r="X15" i="36"/>
  <c r="G15" i="36"/>
  <c r="C48" i="119"/>
  <c r="C50" i="119" s="1"/>
  <c r="E25" i="131"/>
  <c r="Y13" i="36"/>
  <c r="E33" i="36"/>
  <c r="E42" i="36" s="1"/>
  <c r="F48" i="119"/>
  <c r="F50" i="119" s="1"/>
  <c r="K25" i="131"/>
  <c r="D15" i="36"/>
  <c r="O15" i="36"/>
  <c r="L31" i="120"/>
  <c r="E36" i="129"/>
  <c r="E37" i="129" s="1"/>
  <c r="E7" i="36"/>
  <c r="E15" i="36" s="1"/>
  <c r="Q7" i="36"/>
  <c r="Q15" i="36" s="1"/>
  <c r="Y7" i="36"/>
  <c r="H42" i="36"/>
  <c r="B31" i="120"/>
  <c r="H36" i="129"/>
  <c r="H37" i="129" s="1"/>
  <c r="L50" i="117"/>
  <c r="R14" i="117"/>
  <c r="N33" i="129"/>
  <c r="L48" i="119"/>
  <c r="I33" i="36"/>
  <c r="K31" i="120"/>
  <c r="F31" i="120"/>
  <c r="E31" i="120"/>
  <c r="B36" i="129"/>
  <c r="B37" i="129" s="1"/>
  <c r="M36" i="129"/>
  <c r="L36" i="129"/>
  <c r="N14" i="120"/>
  <c r="O38" i="134"/>
  <c r="I50" i="117"/>
  <c r="C24" i="33"/>
  <c r="M48" i="119"/>
  <c r="E48" i="119"/>
  <c r="E50" i="119" s="1"/>
  <c r="G48" i="119"/>
  <c r="G50" i="119" s="1"/>
  <c r="J48" i="119"/>
  <c r="J50" i="119" s="1"/>
  <c r="D48" i="119"/>
  <c r="D50" i="119" s="1"/>
  <c r="K48" i="119"/>
  <c r="Q25" i="33"/>
  <c r="C31" i="120"/>
  <c r="I36" i="129"/>
  <c r="I37" i="129" s="1"/>
  <c r="D50" i="117"/>
  <c r="G50" i="117"/>
  <c r="G24" i="33"/>
  <c r="G25" i="33" s="1"/>
  <c r="B25" i="33"/>
  <c r="Q48" i="33"/>
  <c r="I7" i="36"/>
  <c r="I15" i="36" s="1"/>
  <c r="T15" i="36"/>
  <c r="Y33" i="36"/>
  <c r="Y42" i="36" s="1"/>
  <c r="M40" i="36"/>
  <c r="H48" i="119"/>
  <c r="H50" i="119" s="1"/>
  <c r="M31" i="120"/>
  <c r="I31" i="120"/>
  <c r="N22" i="120"/>
  <c r="C36" i="129"/>
  <c r="C37" i="129" s="1"/>
  <c r="J36" i="129"/>
  <c r="J37" i="129" s="1"/>
  <c r="G36" i="129"/>
  <c r="G37" i="129" s="1"/>
  <c r="K36" i="129"/>
  <c r="H25" i="33"/>
  <c r="E50" i="117"/>
  <c r="N28" i="120"/>
  <c r="O24" i="33"/>
  <c r="K48" i="33"/>
  <c r="W15" i="36"/>
  <c r="G42" i="36"/>
  <c r="U33" i="36"/>
  <c r="U42" i="36" s="1"/>
  <c r="J31" i="120"/>
  <c r="F50" i="117"/>
  <c r="M50" i="117"/>
  <c r="K15" i="36"/>
  <c r="S42" i="36"/>
  <c r="W42" i="36"/>
  <c r="I40" i="36"/>
  <c r="N18" i="120"/>
  <c r="D31" i="120"/>
  <c r="N41" i="117"/>
  <c r="K50" i="117"/>
  <c r="I4" i="33"/>
  <c r="F28" i="33"/>
  <c r="G4" i="33"/>
  <c r="G28" i="33" s="1"/>
  <c r="N28" i="129"/>
  <c r="N17" i="129"/>
  <c r="M33" i="36"/>
  <c r="K42" i="36"/>
  <c r="K25" i="33"/>
  <c r="U7" i="36"/>
  <c r="U15" i="36" s="1"/>
  <c r="D24" i="33"/>
  <c r="D25" i="33" s="1"/>
  <c r="C50" i="117"/>
  <c r="F36" i="129"/>
  <c r="F37" i="129" s="1"/>
  <c r="R46" i="117"/>
  <c r="J24" i="33"/>
  <c r="J25" i="33" s="1"/>
  <c r="P24" i="33"/>
  <c r="P25" i="33" s="1"/>
  <c r="E48" i="33"/>
  <c r="B48" i="33"/>
  <c r="H31" i="120"/>
  <c r="O31" i="134"/>
  <c r="F24" i="33"/>
  <c r="I24" i="33"/>
  <c r="R40" i="117"/>
  <c r="O41" i="117"/>
  <c r="R41" i="117" s="1"/>
  <c r="R35" i="117"/>
  <c r="N37" i="117"/>
  <c r="N30" i="117"/>
  <c r="H50" i="117"/>
  <c r="R24" i="117"/>
  <c r="R12" i="117"/>
  <c r="B25" i="131"/>
  <c r="G31" i="120"/>
  <c r="N24" i="129"/>
  <c r="R24" i="33"/>
  <c r="S24" i="33"/>
  <c r="S25" i="33" s="1"/>
  <c r="N50" i="119" l="1"/>
  <c r="Y15" i="36"/>
  <c r="O48" i="117"/>
  <c r="R44" i="117"/>
  <c r="R23" i="117"/>
  <c r="R11" i="117"/>
  <c r="O16" i="117"/>
  <c r="R16" i="117" s="1"/>
  <c r="I42" i="36"/>
  <c r="N50" i="117"/>
  <c r="O30" i="117"/>
  <c r="R30" i="117" s="1"/>
  <c r="B40" i="131"/>
  <c r="R48" i="117"/>
  <c r="O37" i="117"/>
  <c r="R37" i="117" s="1"/>
  <c r="C25" i="33"/>
  <c r="O25" i="33"/>
  <c r="R25" i="33"/>
  <c r="I25" i="33"/>
  <c r="F25" i="33"/>
  <c r="N37" i="129"/>
  <c r="M42" i="36"/>
  <c r="N31" i="120"/>
  <c r="J4" i="33"/>
  <c r="J28" i="33" s="1"/>
  <c r="I28" i="33"/>
  <c r="L4" i="33"/>
  <c r="N36" i="129"/>
  <c r="O50" i="117" l="1"/>
  <c r="R50" i="117" s="1"/>
  <c r="M4" i="33"/>
  <c r="M28" i="33" s="1"/>
  <c r="O4" i="33"/>
  <c r="L28" i="33"/>
  <c r="O28" i="33" l="1"/>
  <c r="P4" i="33"/>
  <c r="P28" i="33" s="1"/>
  <c r="R4" i="33"/>
  <c r="S4" i="33" l="1"/>
  <c r="S28" i="33" s="1"/>
  <c r="R28" i="33"/>
</calcChain>
</file>

<file path=xl/sharedStrings.xml><?xml version="1.0" encoding="utf-8"?>
<sst xmlns="http://schemas.openxmlformats.org/spreadsheetml/2006/main" count="1717" uniqueCount="355">
  <si>
    <t>Group</t>
  </si>
  <si>
    <t>Program</t>
  </si>
  <si>
    <t>Desc</t>
  </si>
  <si>
    <t>Type</t>
  </si>
  <si>
    <t>Period</t>
  </si>
  <si>
    <t>Month</t>
  </si>
  <si>
    <t>Service Accounts</t>
  </si>
  <si>
    <t>Ex Ante Estimated MW</t>
  </si>
  <si>
    <t>BIP - (20 minute option)</t>
  </si>
  <si>
    <t>c</t>
  </si>
  <si>
    <t>Jan</t>
  </si>
  <si>
    <t>CPP-D (Large and Medium customers)</t>
  </si>
  <si>
    <t xml:space="preserve">Armed Forces Pilot </t>
  </si>
  <si>
    <t>Active but no participants</t>
  </si>
  <si>
    <t>Over Generation Pilot</t>
  </si>
  <si>
    <t>Small Business Energy Management Pilot</t>
  </si>
  <si>
    <t>Closed</t>
  </si>
  <si>
    <t>AC Saver Day-Ahead Residential</t>
  </si>
  <si>
    <t>Thermostats</t>
  </si>
  <si>
    <t>r</t>
  </si>
  <si>
    <t>AC Saver Day-Ahead Commercial</t>
  </si>
  <si>
    <t>AC Saver Day-Of Residential</t>
  </si>
  <si>
    <t>Switches</t>
  </si>
  <si>
    <t>AC Saver Day-Of Commercial</t>
  </si>
  <si>
    <t xml:space="preserve">CBP - Day-Ahead </t>
  </si>
  <si>
    <t xml:space="preserve">CBP - Day-Of </t>
  </si>
  <si>
    <t>TOU-A-P Small Commercial</t>
  </si>
  <si>
    <t>TOU-DR-P Voluntary Residential</t>
  </si>
  <si>
    <t>Feb</t>
  </si>
  <si>
    <t>Mar</t>
  </si>
  <si>
    <t>Apr</t>
  </si>
  <si>
    <t>May</t>
  </si>
  <si>
    <t>Jun</t>
  </si>
  <si>
    <t>Jul</t>
  </si>
  <si>
    <t>Aug</t>
  </si>
  <si>
    <t>Sep</t>
  </si>
  <si>
    <t>Oct</t>
  </si>
  <si>
    <t>Nov</t>
  </si>
  <si>
    <t>Dec</t>
  </si>
  <si>
    <t xml:space="preserve">SAN DIEGO GAS &amp; ELECTRIC COMPANY REPORT ON INTERRUPTIBLE LOAD AND DEMAND RESPONSE PROGRAMS </t>
  </si>
  <si>
    <t>SUBSCRIPTION STATISTICS - ENROLLED MWs</t>
  </si>
  <si>
    <t>January</t>
  </si>
  <si>
    <t>February</t>
  </si>
  <si>
    <t>March</t>
  </si>
  <si>
    <t>April</t>
  </si>
  <si>
    <t>June</t>
  </si>
  <si>
    <t>Programs</t>
  </si>
  <si>
    <t xml:space="preserve">Service Accounts </t>
  </si>
  <si>
    <r>
      <t xml:space="preserve">Ex Ante Estimated MW </t>
    </r>
    <r>
      <rPr>
        <vertAlign val="superscript"/>
        <sz val="11"/>
        <color rgb="FFFF0000"/>
        <rFont val="Arial"/>
        <family val="2"/>
      </rPr>
      <t>1</t>
    </r>
  </si>
  <si>
    <r>
      <t xml:space="preserve">Ex Post Estimated MW </t>
    </r>
    <r>
      <rPr>
        <vertAlign val="superscript"/>
        <sz val="11"/>
        <color rgb="FFFF0000"/>
        <rFont val="Arial"/>
        <family val="2"/>
      </rPr>
      <t>2</t>
    </r>
  </si>
  <si>
    <t>Eligible Accounts as of Aug 31, 2012</t>
  </si>
  <si>
    <t>Interruptible/Reliability</t>
  </si>
  <si>
    <t xml:space="preserve">  Sub-Total Interruptible</t>
  </si>
  <si>
    <t>Demand Response Programs</t>
  </si>
  <si>
    <r>
      <t>Armed Forces Pilot</t>
    </r>
    <r>
      <rPr>
        <vertAlign val="superscript"/>
        <sz val="9"/>
        <rFont val="Arial"/>
        <family val="2"/>
      </rPr>
      <t xml:space="preserve"> </t>
    </r>
    <r>
      <rPr>
        <vertAlign val="superscript"/>
        <sz val="9"/>
        <color rgb="FFFF0000"/>
        <rFont val="Arial"/>
        <family val="2"/>
      </rPr>
      <t>3</t>
    </r>
  </si>
  <si>
    <r>
      <t xml:space="preserve">Over Generation Pilot </t>
    </r>
    <r>
      <rPr>
        <vertAlign val="superscript"/>
        <sz val="10"/>
        <color rgb="FFFF0000"/>
        <rFont val="Arial"/>
        <family val="2"/>
      </rPr>
      <t>4</t>
    </r>
  </si>
  <si>
    <t>TOU-PA-P Agricultural</t>
  </si>
  <si>
    <t xml:space="preserve"> </t>
  </si>
  <si>
    <t>Sub-Total Demand Response Programs</t>
  </si>
  <si>
    <t>Total All Programs</t>
  </si>
  <si>
    <t>July</t>
  </si>
  <si>
    <t xml:space="preserve">August </t>
  </si>
  <si>
    <t>October</t>
  </si>
  <si>
    <t>December</t>
  </si>
  <si>
    <t xml:space="preserve">Ex Ante Estimated MW </t>
  </si>
  <si>
    <t xml:space="preserve">Ex Post Estimated MW </t>
  </si>
  <si>
    <t>Notes:</t>
  </si>
  <si>
    <r>
      <rPr>
        <vertAlign val="superscript"/>
        <sz val="11"/>
        <color rgb="FFFF0000"/>
        <rFont val="Arial"/>
        <family val="2"/>
      </rPr>
      <t>1</t>
    </r>
    <r>
      <rPr>
        <sz val="11"/>
        <rFont val="Arial"/>
        <family val="2"/>
      </rPr>
      <t xml:space="preserve"> The Ex-Ante average per customer are based on Program Year 2018 SDG&amp;E DR Load Impacts report filed April 2, 2019 for the months of January and February. The Ex-Ante average per customer are based on Program Year 2019 SDG&amp;E DR Load Impacts report filed April 1st, 2020 for the months of March through December.</t>
    </r>
  </si>
  <si>
    <r>
      <rPr>
        <vertAlign val="superscript"/>
        <sz val="11"/>
        <color rgb="FFFF0000"/>
        <rFont val="Arial"/>
        <family val="2"/>
      </rPr>
      <t>2</t>
    </r>
    <r>
      <rPr>
        <sz val="11"/>
        <rFont val="Arial"/>
        <family val="2"/>
      </rPr>
      <t xml:space="preserve">  The Ex-Post average per customer are based on Program Year 2018 SDG&amp;E DR Load Impacts report filed April 2, 2019 for the months of January and February. The Ex-Post average per customer are based on Program Year 2019 SDG&amp;E DR Load Impacts report filed  April 1, 2020 for the months of March through December for BIP, CBP Day Ahead and Day Of, AC Saver Day Ahead and Day Of and OverGen. Please note; SDGE did not triggered CPPD, TOU-PA-P, TOU-A-P, TOU-DR-P, therefore, the Ex-Post average per customer are based on Program Year 2018 SDG&amp;E DR Load Impacts report filed April 2, 2019 for the months of January through December.</t>
    </r>
  </si>
  <si>
    <r>
      <rPr>
        <vertAlign val="superscript"/>
        <sz val="11"/>
        <color rgb="FFFF0000"/>
        <rFont val="Arial"/>
        <family val="2"/>
      </rPr>
      <t xml:space="preserve">3 </t>
    </r>
    <r>
      <rPr>
        <vertAlign val="superscript"/>
        <sz val="11"/>
        <rFont val="Arial"/>
        <family val="2"/>
      </rPr>
      <t xml:space="preserve"> </t>
    </r>
    <r>
      <rPr>
        <sz val="11"/>
        <rFont val="Arial"/>
        <family val="2"/>
      </rPr>
      <t xml:space="preserve">On March 27, 2020 SDG&amp;E filed Advice Letter 3522-E (Tier 3) proposed to close the Armed Forces Pilot. SDG&amp;E is awaiting a Decision.  </t>
    </r>
  </si>
  <si>
    <r>
      <rPr>
        <vertAlign val="superscript"/>
        <sz val="11"/>
        <color rgb="FFFF0000"/>
        <rFont val="Arial"/>
        <family val="2"/>
      </rPr>
      <t xml:space="preserve">4 </t>
    </r>
    <r>
      <rPr>
        <vertAlign val="superscript"/>
        <sz val="11"/>
        <rFont val="Arial"/>
        <family val="2"/>
      </rPr>
      <t xml:space="preserve"> </t>
    </r>
    <r>
      <rPr>
        <sz val="11"/>
        <rFont val="Arial"/>
        <family val="2"/>
      </rPr>
      <t xml:space="preserve">On March 27, 2020 SDG&amp;E filed Advice Letter 3522-E (Tier 3) proposed to close the Over Generation Pilot. SDG&amp;E is awaiting a Decision.  </t>
    </r>
  </si>
  <si>
    <t>- Capacity Bidding Program reports the number of nominations not enrollments.</t>
  </si>
  <si>
    <t>- The number of customers enrolled in AC Saver day-ahead declined in April because SDG&amp;E has disenrolled  customers whose thermostat has been offline for more than 1 1/2 years.</t>
  </si>
  <si>
    <t>(End of page)</t>
  </si>
  <si>
    <t>Average Ex Ante Load Impact kW / Customer</t>
  </si>
  <si>
    <t>August</t>
  </si>
  <si>
    <t>September</t>
  </si>
  <si>
    <t>November</t>
  </si>
  <si>
    <t>Eligible Accounts as of January</t>
  </si>
  <si>
    <t>Eligibility Criteria (Refer to tariff for specifics)</t>
  </si>
  <si>
    <t>This Schedule is the default commodity rate for customers currently receiving bundled utility service on a commercial/industrial rate schedule for customers whose Maximum Monthly Demand is equal to or exceeds or is expected to equal or exceed 20 kW for twelve consecutive months. This Schedule is not applicable to Direct Access (DA) or Community Choice Aggregation (CCA) customers.</t>
  </si>
  <si>
    <t>AC Saver Day Ahead (thermostats) is a voluntary demand response program available to all residential customers with air conditioner (AC) units installed at their premise with SDG&amp;E approved technology capable of curtailing the customers’ AC unit. Residential customers with Net Energy Metering are not eligible for this schedule. This schedule is available to customers receiving Bundled Utility Service or, Direct Access (DA) service and billed by the Utility. Service on this schedule must be taken in combination with the customer’s otherwise applicable rate schedule. Note: AC Saver Day Of in the past we used 65% based on historical RASS data - growth between 2003-2009 and estimate growth from until 2020.</t>
  </si>
  <si>
    <t>AC Saver Day Ahead (thermostats) is a voluntary demand response program available to all commercial customers with air conditioner (AC) units installed at their premise with SDG&amp;E approved technology capable of curtailing the customers’ AC unit. This schedule is available to customers receiving Bundled Utility Service or, Direct Access (DA) service and billed by the Utility. Service on this schedule must be taken in combination with the customer’s otherwise applicable rate schedule. Note: AC Saver Day Of we used 85% based on commercial estimates.</t>
  </si>
  <si>
    <t>AC Saver is a voluntary demand response program available to all residential customers with air conditioner (AC) units installed at their premise with SDG&amp;E approved technology capable of curtailing the customers’ AC unit. Residential customers with Net Energy Metering are not eligible for this schedule. This schedule is available to customers receiving Bundled Utility Service or, Direct Access (DA) service and billed by the Utility. Service on this schedule must be taken in combination with the customer’s otherwise applicable rate schedule. Note: AC Saver Day Of in the past we used 65% based on historical RASS data - growth between 2003-2009 and estimate growth from until 2020.</t>
  </si>
  <si>
    <t>AC Saver Day Of (switches) is a voluntary demand response program available to all commercial customers with air conditioner (AC) units installed at their premise with SDG&amp;E approved technology capable of curtailing the customers’ AC unit. This schedule is available to customers receiving Bundled Utility Service or, Direct Access (DA) service and billed by the Utility. Service on this schedule must be taken in combination with the customer’s otherwise applicable rate schedule. Note: AC Saver Day Of we used 85% based on commercial estimates</t>
  </si>
  <si>
    <t xml:space="preserve">This schedule is available to commercial and industrial Utility customers receiving Bundled Utility service, Direct Access (“DA”) service or Community Choice Aggregation (“CCA”) service, and being billed on a Utility commercial, industrial or agricultural rate schedule. </t>
  </si>
  <si>
    <t xml:space="preserve">This optional tariff provides residential customers with the opportunity to manage their electric costs by either reducing load during high cost pricing periods defined as a Reduce Your Use (RYU) Event Day, or shifting load from high cost pricing periods to lower cost pricing periods. This Schedule is not applicable to commercial customers. This Schedule is not applicable to Direct Access (DA), Transitional Bundled Service (TBS) or Community Choice Aggregation (CCA) customers. </t>
  </si>
  <si>
    <t>This tariff provides commercial customers with the opportunity to manage their electric costs by either reducing load during high cost pricing periods defined as a Reduce Your Use (RYU) Event Day, or shifting load from high cost pricing periods to lower cost pricing periods. Except as set forth below, this Schedule is the default commodity rate for customers currently receiving bundled utility service on a small non-residential rate schedule; or a medium/large non-residential rate schedule with a Maximum Monthly Demand below 20 kW for three consecutive months. This Schedule is available to general service including lighting, appliances, heating, and power, or any combination thereof, including common use and whose facility is separately metered. In order for this Schedule to take effect, the customer must have a smart meter installed, tested, and verified according to Utility procedures. This Schedule is not applicable to any customer whose Maximum Monthly Demand equals, exceeds, or is expected to equal or exceed 20 kW for 12 consecutive months. This Schedule is available to customers with the Utility Distribution Company (UDC) service of Schedule TOU-A. This Schedule is optionally available to Expanded California Alternate Rates for Energy (CARE) customers. This Schedule is not applicable to residential customers, except for those three-phase residential customers taking service on this schedule as of April 12, 2007 who may remain on this Schedule while service continues in their name at the same service address. Those three-phase residential customers remaining on this Schedule who choose to switch to a residential rate schedule may not return to this Schedule. This Schedule is not applicable to Direct Access (DA), Transitional Bundled Service (TBS) or Community Choice Aggregation (CCA) customers.</t>
  </si>
  <si>
    <t>This Schedule is the standard Schedule for customers whose monthly maximum demand does not exceed 20kW for no more than 3 out of 12 consecutive months for general power service utilized to pump water, or in the production of agricultural products including feed choppers, milking machines, heaters for incubators, brooders, poultry house and flower production lighting, but excluding power service used for the processing of agricultural products, general or protective lighting, or domestic household uses. This schedule is available to agricultural and water pumping customers.</t>
  </si>
  <si>
    <t xml:space="preserve">A customer is required to be in SDGE’s updated AL-TOU rate and have enough over generation to maximize the utilization of the distributed storage unit. </t>
  </si>
  <si>
    <r>
      <rPr>
        <vertAlign val="superscript"/>
        <sz val="11"/>
        <color rgb="FFFF0000"/>
        <rFont val="Arial"/>
        <family val="2"/>
      </rPr>
      <t>4</t>
    </r>
    <r>
      <rPr>
        <vertAlign val="superscript"/>
        <sz val="11"/>
        <rFont val="Arial"/>
        <family val="2"/>
      </rPr>
      <t xml:space="preserve"> </t>
    </r>
    <r>
      <rPr>
        <sz val="11"/>
        <rFont val="Arial"/>
        <family val="2"/>
      </rPr>
      <t>This footnote is linked to footnote no. 4 in the "Program MW" tab.</t>
    </r>
  </si>
  <si>
    <t>- The Ex-Ante average per customer are based on Program Year 2018 SDG&amp;E DR Load Impacts report filed April 2, 2019 for the months of January and February. The Ex-Ante average per customer are based on Program Year 2019 SDG&amp;E DR Load Impacts report filed April 1st, 2020 for the months of March through December.</t>
  </si>
  <si>
    <t>-  The Estimated Average Ex-Ante Load Impact kW/Customer = Average kW / Customer, under 1-in-2 weather conditions, of an event that would occur from 4 - 9 pm year around.</t>
  </si>
  <si>
    <t>-  The Resource Adequacy measurement hours were modified to HE17-HE21 (4:00 p.m. – 9:00 p.m.) for each month of the year beginning in 2019.</t>
  </si>
  <si>
    <t>-  CPP-D (Large and Medium customers Program Year 2018 Ex-Ante per customer impacts received negative estimates for the months of January-February. Therefore, the estimates are showing as zero.</t>
  </si>
  <si>
    <t>-  CPP-D, TOU-DR-P (Voluntary Residential) and TOU-A-P (Small Commercial) include Technology Deployment (TD).</t>
  </si>
  <si>
    <t> </t>
  </si>
  <si>
    <t>Average Ex Post Load Impact kW / Customer</t>
  </si>
  <si>
    <t xml:space="preserve">Notes: </t>
  </si>
  <si>
    <t>-  The Ex-Post average per customer are based on Program Year 2018 SDG&amp;E DR Load Impacts report filed April 2, 2019 for the months of January and February. The Ex-Post average per customer are based on Program Year 2019 SDG&amp;E DR Load Impacts report filed April 1st, 2020 for the months of March through December for BIP, CBP Day Ahead and Day Of, AC Saver Day Ahead and Day Of and OverGen.Please note; SDGE did not triggered CPPD, TOU-PA-P, TOU-A-P, TOU-DR-P, therefore, the Ex-Post average per customer are based on Program Year 2018 SDG&amp;E DR Load Impacts report filed April 2, 2019 for the months of January through December.</t>
  </si>
  <si>
    <t xml:space="preserve">-  Estimated Average Ex-Post Load Impact kW / Customer = Average kW / Customer service account over all actual event hours for the preceding year if events occurred. </t>
  </si>
  <si>
    <t>Detailed Breakdown of MWs To Date in TA/Auto DR/TI Programs (A)</t>
  </si>
  <si>
    <t>Price Responsive</t>
  </si>
  <si>
    <t>TA Identified MWs</t>
  </si>
  <si>
    <t>Auto DR Verified MWs</t>
  </si>
  <si>
    <t>TI Verified MWs</t>
  </si>
  <si>
    <t>Total Technology MWs</t>
  </si>
  <si>
    <t>CPP-D</t>
  </si>
  <si>
    <t>CBP</t>
  </si>
  <si>
    <t>Total</t>
  </si>
  <si>
    <t>BIP</t>
  </si>
  <si>
    <t>SLRP</t>
  </si>
  <si>
    <t>General Program</t>
  </si>
  <si>
    <t>TA (may also be enrolled in TI and AutoDR)</t>
  </si>
  <si>
    <t>Total TA MWs</t>
  </si>
  <si>
    <t>AMP</t>
  </si>
  <si>
    <t>DBP</t>
  </si>
  <si>
    <t>Peak Choice - Best Effort</t>
  </si>
  <si>
    <t>Peak Choice - Committed</t>
  </si>
  <si>
    <t xml:space="preserve">CPP-D </t>
  </si>
  <si>
    <t>OBMC</t>
  </si>
  <si>
    <t>ddd</t>
  </si>
  <si>
    <t>·         TA Identified MW</t>
  </si>
  <si>
    <t>Represents identified MW for service accounts from completed TA in accumulative value (may or may not be enrolled in DR).</t>
  </si>
  <si>
    <t>·         AutoDR Verified MW</t>
  </si>
  <si>
    <t>Represents verified/tested MW for service accounts from complete TI (i.e. must be enrolled in DR) and must be Auto DR in accumulative value.</t>
  </si>
  <si>
    <t>·         TI Verified MW</t>
  </si>
  <si>
    <t>Represents verified MW for service accounts from completed TI (i.e. must be enrolled in DR) but not AutoDR in accumulative value; MW reported here not necessarily amount enrolled in DR.</t>
  </si>
  <si>
    <t>·         Total Technology MW</t>
  </si>
  <si>
    <t>Represents the sum of verified MW associated with the service accounts from the completed TI (i.e. must be enrolled in DR), including Auto DR and non-Auto DR.</t>
  </si>
  <si>
    <t>Auto-DR (TI) and Technology Deployment (TD)  Programs Breakdown of MWs</t>
  </si>
  <si>
    <t xml:space="preserve">May </t>
  </si>
  <si>
    <t>Eligible Programs</t>
  </si>
  <si>
    <t xml:space="preserve">Auto DR Verified MWs </t>
  </si>
  <si>
    <t>AFP</t>
  </si>
  <si>
    <t>DRAM</t>
  </si>
  <si>
    <t>-  Auto DR Verified MWs: Represent the verified/tested MW for service accounts from completed TI (i.e. must be enrolled in DR).</t>
  </si>
  <si>
    <t>Technology Deployment- Residential MWs</t>
  </si>
  <si>
    <t>-  Technology Deployment (TD) Verified MWs: Represents the average load reduction expected on an event day based on the ex-post results for customers with qualifying technology.</t>
  </si>
  <si>
    <t>Technology Deployment- Commercial MWs</t>
  </si>
  <si>
    <t xml:space="preserve">Technology Deployment- Commercial MWs </t>
  </si>
  <si>
    <t>MARKETING, EDUCATION &amp; OUTREACH</t>
  </si>
  <si>
    <t>2020 Expenditures for Marketing, Education and Outreach</t>
  </si>
  <si>
    <t>Year-to Date 2020 Expenditures</t>
  </si>
  <si>
    <t>Program Cycle-to Date 2018-2020 Expenditures</t>
  </si>
  <si>
    <r>
      <t xml:space="preserve">Authorized Budget (if Applicable) </t>
    </r>
    <r>
      <rPr>
        <b/>
        <vertAlign val="superscript"/>
        <sz val="10"/>
        <color rgb="FFFF0000"/>
        <rFont val="Calibri"/>
        <family val="2"/>
      </rPr>
      <t>1</t>
    </r>
  </si>
  <si>
    <t xml:space="preserve">October </t>
  </si>
  <si>
    <t>Carryover Expenditures to Date 2012 - 2014</t>
  </si>
  <si>
    <t>I. UTILITY MARKETING BY ACTIVITY</t>
  </si>
  <si>
    <r>
      <t>PROGRAMS, RATES &amp; ACTIVITES WHICH DO NOT REQUIRE ITEMIZED ACCOUNTING</t>
    </r>
    <r>
      <rPr>
        <b/>
        <vertAlign val="superscript"/>
        <sz val="10"/>
        <rFont val="Arial"/>
        <family val="2"/>
      </rPr>
      <t xml:space="preserve"> </t>
    </r>
  </si>
  <si>
    <t xml:space="preserve">Local IDSM Marketing </t>
  </si>
  <si>
    <r>
      <t>Base Interruptible Program</t>
    </r>
    <r>
      <rPr>
        <vertAlign val="superscript"/>
        <sz val="10"/>
        <color rgb="FFFF0000"/>
        <rFont val="Arial"/>
        <family val="2"/>
      </rPr>
      <t xml:space="preserve"> 3</t>
    </r>
  </si>
  <si>
    <t xml:space="preserve">Back Up Generators (BUGs) </t>
  </si>
  <si>
    <r>
      <t xml:space="preserve">Capacity Bidding Program </t>
    </r>
    <r>
      <rPr>
        <vertAlign val="superscript"/>
        <sz val="10"/>
        <color rgb="FFFF0000"/>
        <rFont val="Arial"/>
        <family val="2"/>
      </rPr>
      <t>3</t>
    </r>
  </si>
  <si>
    <r>
      <t>AC Saver Day Ahead</t>
    </r>
    <r>
      <rPr>
        <vertAlign val="superscript"/>
        <sz val="10"/>
        <color rgb="FFFF0000"/>
        <rFont val="Arial"/>
        <family val="2"/>
      </rPr>
      <t xml:space="preserve"> 3</t>
    </r>
  </si>
  <si>
    <r>
      <t xml:space="preserve">AC Saver Day Of </t>
    </r>
    <r>
      <rPr>
        <vertAlign val="superscript"/>
        <sz val="10"/>
        <color rgb="FFFF0000"/>
        <rFont val="Arial"/>
        <family val="2"/>
      </rPr>
      <t>3</t>
    </r>
  </si>
  <si>
    <r>
      <t xml:space="preserve">Technology Deployment </t>
    </r>
    <r>
      <rPr>
        <vertAlign val="superscript"/>
        <sz val="10"/>
        <color rgb="FFFF0000"/>
        <rFont val="Arial"/>
        <family val="2"/>
      </rPr>
      <t>3</t>
    </r>
  </si>
  <si>
    <r>
      <t>Technology Incentives</t>
    </r>
    <r>
      <rPr>
        <vertAlign val="superscript"/>
        <sz val="10"/>
        <color rgb="FFFF0000"/>
        <rFont val="Arial"/>
        <family val="2"/>
      </rPr>
      <t xml:space="preserve"> 3</t>
    </r>
  </si>
  <si>
    <r>
      <t xml:space="preserve">CPP-D </t>
    </r>
    <r>
      <rPr>
        <vertAlign val="superscript"/>
        <sz val="11"/>
        <color rgb="FFFF0000"/>
        <rFont val="Arial"/>
        <family val="2"/>
      </rPr>
      <t>2</t>
    </r>
    <r>
      <rPr>
        <sz val="10"/>
        <rFont val="Arial"/>
        <family val="2"/>
      </rPr>
      <t>,</t>
    </r>
    <r>
      <rPr>
        <vertAlign val="superscript"/>
        <sz val="10"/>
        <color rgb="FFFF0000"/>
        <rFont val="Arial"/>
        <family val="2"/>
      </rPr>
      <t>3</t>
    </r>
  </si>
  <si>
    <r>
      <t>Smart Pricing</t>
    </r>
    <r>
      <rPr>
        <vertAlign val="superscript"/>
        <sz val="10"/>
        <color rgb="FFFF0000"/>
        <rFont val="Arial"/>
        <family val="2"/>
      </rPr>
      <t xml:space="preserve"> </t>
    </r>
    <r>
      <rPr>
        <sz val="10"/>
        <rFont val="Arial"/>
        <family val="2"/>
      </rPr>
      <t xml:space="preserve"> </t>
    </r>
    <r>
      <rPr>
        <vertAlign val="superscript"/>
        <sz val="11"/>
        <color rgb="FFFF0000"/>
        <rFont val="Arial"/>
        <family val="2"/>
      </rPr>
      <t>2</t>
    </r>
    <r>
      <rPr>
        <vertAlign val="superscript"/>
        <sz val="10"/>
        <color rgb="FFFF0000"/>
        <rFont val="Arial"/>
        <family val="2"/>
      </rPr>
      <t>,3</t>
    </r>
  </si>
  <si>
    <t xml:space="preserve">Small Customer Technology Deployment (SCTD) </t>
  </si>
  <si>
    <t xml:space="preserve">Small Business Energy Management Pilot (SBEMP) </t>
  </si>
  <si>
    <t>I. TOTAL UTILITY MARKETING BY ACTIVITY</t>
  </si>
  <si>
    <t xml:space="preserve">II. UTILITY MARKETING BY ITEMIZED COST </t>
  </si>
  <si>
    <t>Customer Research</t>
  </si>
  <si>
    <r>
      <t xml:space="preserve">Collateral- Development, Printing, Distribution etc. (all non-labor costs) </t>
    </r>
    <r>
      <rPr>
        <vertAlign val="superscript"/>
        <sz val="11"/>
        <color rgb="FFFF0000"/>
        <rFont val="Arial"/>
        <family val="2"/>
      </rPr>
      <t>2</t>
    </r>
  </si>
  <si>
    <t>Labor</t>
  </si>
  <si>
    <r>
      <t>Paid Media</t>
    </r>
    <r>
      <rPr>
        <vertAlign val="superscript"/>
        <sz val="10"/>
        <color rgb="FFFF0000"/>
        <rFont val="Arial"/>
        <family val="2"/>
      </rPr>
      <t xml:space="preserve"> 3</t>
    </r>
  </si>
  <si>
    <t xml:space="preserve">Other Costs </t>
  </si>
  <si>
    <t xml:space="preserve">II. TOTAL UTILITY MARKETING BY ITEMIZED COST </t>
  </si>
  <si>
    <t>III. UTILITY MARKETING BY CUSTOMER SEGMENT</t>
  </si>
  <si>
    <r>
      <t>Agricultural</t>
    </r>
    <r>
      <rPr>
        <vertAlign val="superscript"/>
        <sz val="10"/>
        <color rgb="FFFF0000"/>
        <rFont val="Arial"/>
        <family val="2"/>
      </rPr>
      <t xml:space="preserve"> </t>
    </r>
  </si>
  <si>
    <t xml:space="preserve">Large Commercial and Industrial </t>
  </si>
  <si>
    <t xml:space="preserve">Small and Medium Commercial </t>
  </si>
  <si>
    <t xml:space="preserve">Residential </t>
  </si>
  <si>
    <t>III. TOTAL UTILITY MARKETING BY CUSTOMER SEGMENT</t>
  </si>
  <si>
    <r>
      <rPr>
        <vertAlign val="superscript"/>
        <sz val="11"/>
        <color rgb="FFFF0000"/>
        <rFont val="Arial"/>
        <family val="2"/>
      </rPr>
      <t xml:space="preserve">1 </t>
    </r>
    <r>
      <rPr>
        <sz val="11"/>
        <rFont val="Arial"/>
        <family val="2"/>
      </rPr>
      <t>LME&amp;O Approved Budget is a Five (5) Year Program Cycle 2018-2022 with the exception of Local IDSM Marketing which is funded per the approved Advice Letter 3267-E-A/2700-G-A.</t>
    </r>
  </si>
  <si>
    <r>
      <rPr>
        <vertAlign val="superscript"/>
        <sz val="11"/>
        <color rgb="FFFF0000"/>
        <rFont val="Arial"/>
        <family val="2"/>
      </rPr>
      <t>2</t>
    </r>
    <r>
      <rPr>
        <sz val="11"/>
        <rFont val="Arial"/>
        <family val="2"/>
      </rPr>
      <t xml:space="preserve"> March credits are related to Journal Entries to move charges to correct program Interal Orders.</t>
    </r>
  </si>
  <si>
    <r>
      <rPr>
        <vertAlign val="superscript"/>
        <sz val="11"/>
        <color rgb="FFFF0000"/>
        <rFont val="Arial"/>
        <family val="2"/>
      </rPr>
      <t>3</t>
    </r>
    <r>
      <rPr>
        <sz val="11"/>
        <rFont val="Arial"/>
        <family val="2"/>
      </rPr>
      <t xml:space="preserve"> July Credits are related to an invoice that was rejected by Accounts Payable during their daily invoice audit for mis-matched documentation.</t>
    </r>
  </si>
  <si>
    <t xml:space="preserve">SAN DIEGO GAS &amp; ELECTRIC REPORT COMPANY ON INTERRUPTIBLE LOAD AND DEMAND RESPONSE PROGRAMS </t>
  </si>
  <si>
    <t>YEAR TO DATE PROGRAM EXPENDITURES</t>
  </si>
  <si>
    <t>Cost Item</t>
  </si>
  <si>
    <t>Program Cycle-to-Date Total Expenditures (2018-2020)</t>
  </si>
  <si>
    <t>5-Year Funding (2018-2022)</t>
  </si>
  <si>
    <t xml:space="preserve">Fund shift Adjustments </t>
  </si>
  <si>
    <t>Percent Funding</t>
  </si>
  <si>
    <t>Category 1: Supply Side DR Programs</t>
  </si>
  <si>
    <t>AC Saver Day-Ahead</t>
  </si>
  <si>
    <t xml:space="preserve">AC Saver Day-Of </t>
  </si>
  <si>
    <t xml:space="preserve">Base Interruptible Program (BIP) </t>
  </si>
  <si>
    <r>
      <t xml:space="preserve">Capacity Bidding Program (CBP) </t>
    </r>
    <r>
      <rPr>
        <vertAlign val="superscript"/>
        <sz val="10"/>
        <color rgb="FFFF0000"/>
        <rFont val="Arial"/>
        <family val="2"/>
      </rPr>
      <t>4</t>
    </r>
  </si>
  <si>
    <r>
      <t>Peak Time Rebate (PTR)</t>
    </r>
    <r>
      <rPr>
        <vertAlign val="superscript"/>
        <sz val="10"/>
        <color rgb="FFFF0000"/>
        <rFont val="Arial"/>
        <family val="2"/>
      </rPr>
      <t xml:space="preserve"> </t>
    </r>
  </si>
  <si>
    <t xml:space="preserve"> Budget Category 1 Total</t>
  </si>
  <si>
    <t>Category 2:  Load Modifying Demand Response Program</t>
  </si>
  <si>
    <t xml:space="preserve"> Budget Category 2 Total</t>
  </si>
  <si>
    <t>Category 3:  Demand Response Auction Mechanism (DRAM)</t>
  </si>
  <si>
    <r>
      <t xml:space="preserve">Demand Response Auction Mechanism Pilot (DRAM) </t>
    </r>
    <r>
      <rPr>
        <vertAlign val="superscript"/>
        <sz val="10"/>
        <color rgb="FFFF0000"/>
        <rFont val="Arial"/>
        <family val="2"/>
      </rPr>
      <t>6</t>
    </r>
  </si>
  <si>
    <t xml:space="preserve"> Budget Category 3 Total</t>
  </si>
  <si>
    <t>Category 4:  Emerging &amp; Enabling Technologies</t>
  </si>
  <si>
    <t>Emerging Technology (ET)</t>
  </si>
  <si>
    <t xml:space="preserve">Technology Deployment (TD) </t>
  </si>
  <si>
    <t xml:space="preserve">Technology Incentives (TI) </t>
  </si>
  <si>
    <t xml:space="preserve"> Budget Category 4 Total</t>
  </si>
  <si>
    <t xml:space="preserve">Category 5:  Pilots </t>
  </si>
  <si>
    <t xml:space="preserve">Armed Forces Pilot (AFP) </t>
  </si>
  <si>
    <t xml:space="preserve">Constrained Local Capacity Program (CLCP) </t>
  </si>
  <si>
    <t xml:space="preserve">   Over Generation Pilot (OGP)</t>
  </si>
  <si>
    <t xml:space="preserve">   Small Business Energy Management Pilot (SBEMP)</t>
  </si>
  <si>
    <r>
      <t xml:space="preserve"> Budget Category 5 Total </t>
    </r>
    <r>
      <rPr>
        <b/>
        <vertAlign val="superscript"/>
        <sz val="10"/>
        <color rgb="FFFF0000"/>
        <rFont val="Arial"/>
        <family val="2"/>
      </rPr>
      <t>5</t>
    </r>
  </si>
  <si>
    <t>Category 6:  Marketing, Education, and Outreach</t>
  </si>
  <si>
    <r>
      <t xml:space="preserve">Local Marketing Education &amp; Outreach (LME&amp;O) </t>
    </r>
    <r>
      <rPr>
        <vertAlign val="superscript"/>
        <sz val="10"/>
        <color rgb="FFFF0000"/>
        <rFont val="Arial"/>
        <family val="2"/>
      </rPr>
      <t>1,7</t>
    </r>
  </si>
  <si>
    <t xml:space="preserve"> Budget Category 6 Total</t>
  </si>
  <si>
    <t>Category 7:  Portfolio Support</t>
  </si>
  <si>
    <t>Regulatory Policy &amp; Program Support (Gen. Admin.)</t>
  </si>
  <si>
    <t>DR Potential Study</t>
  </si>
  <si>
    <t xml:space="preserve"> Budget Category 7 Total</t>
  </si>
  <si>
    <t>Total Incremental Cost</t>
  </si>
  <si>
    <r>
      <rPr>
        <vertAlign val="superscript"/>
        <sz val="10"/>
        <color rgb="FFFF0000"/>
        <rFont val="Arial"/>
        <family val="2"/>
      </rPr>
      <t>1</t>
    </r>
    <r>
      <rPr>
        <sz val="10"/>
        <rFont val="Arial"/>
        <family val="2"/>
      </rPr>
      <t xml:space="preserve"> March credits are related to Journal Entries to move charges to correct program Interal Orders.</t>
    </r>
  </si>
  <si>
    <r>
      <rPr>
        <vertAlign val="superscript"/>
        <sz val="10"/>
        <color rgb="FFFF0000"/>
        <rFont val="Arial"/>
        <family val="2"/>
      </rPr>
      <t>2</t>
    </r>
    <r>
      <rPr>
        <sz val="10"/>
        <rFont val="Arial"/>
        <family val="2"/>
      </rPr>
      <t xml:space="preserve"> April credits are related to Journal Entries to move charges to the correct Internal Order and Accrual Reversals which occurred in a prior reporting month (March).</t>
    </r>
  </si>
  <si>
    <r>
      <rPr>
        <vertAlign val="superscript"/>
        <sz val="10"/>
        <color rgb="FFFF0000"/>
        <rFont val="Arial"/>
        <family val="2"/>
      </rPr>
      <t xml:space="preserve">3 </t>
    </r>
    <r>
      <rPr>
        <sz val="10"/>
        <rFont val="Arial"/>
        <family val="2"/>
      </rPr>
      <t>April credits are related to Accrual Reversals which occurred in a prior reporting period (March).</t>
    </r>
  </si>
  <si>
    <r>
      <rPr>
        <vertAlign val="superscript"/>
        <sz val="10"/>
        <color rgb="FFFF0000"/>
        <rFont val="Arial"/>
        <family val="2"/>
      </rPr>
      <t>4</t>
    </r>
    <r>
      <rPr>
        <sz val="10"/>
        <rFont val="Arial"/>
        <family val="2"/>
      </rPr>
      <t xml:space="preserve"> 5 year budget updated to include fundshift authorized in Resolution E 4906.</t>
    </r>
  </si>
  <si>
    <r>
      <rPr>
        <vertAlign val="superscript"/>
        <sz val="10"/>
        <color rgb="FFFF0000"/>
        <rFont val="Arial"/>
        <family val="2"/>
      </rPr>
      <t>5</t>
    </r>
    <r>
      <rPr>
        <sz val="10"/>
        <rFont val="Arial"/>
        <family val="2"/>
      </rPr>
      <t xml:space="preserve"> The five (5) Year Budget for Category does not include CBP Residential Pilot; program was only approved in Program Year 2018.</t>
    </r>
  </si>
  <si>
    <r>
      <rPr>
        <vertAlign val="superscript"/>
        <sz val="10"/>
        <color rgb="FFFF0000"/>
        <rFont val="Arial"/>
        <family val="2"/>
      </rPr>
      <t>6</t>
    </r>
    <r>
      <rPr>
        <sz val="10"/>
        <rFont val="Arial"/>
        <family val="2"/>
      </rPr>
      <t xml:space="preserve"> July credits are related to Accrual Reversals which occurred in a prior reporting period (June).</t>
    </r>
  </si>
  <si>
    <r>
      <rPr>
        <vertAlign val="superscript"/>
        <sz val="11"/>
        <color rgb="FFFF0000"/>
        <rFont val="Arial"/>
        <family val="2"/>
      </rPr>
      <t>7</t>
    </r>
    <r>
      <rPr>
        <sz val="11"/>
        <rFont val="Arial"/>
        <family val="2"/>
      </rPr>
      <t xml:space="preserve"> July Credits are related to an invoice that was rejected by Accounts Payable during their daily invoice audit for mis-matched documentation.</t>
    </r>
  </si>
  <si>
    <t>FUND SHIFT LOG</t>
  </si>
  <si>
    <t>Program Category</t>
  </si>
  <si>
    <t>Fund Shift</t>
  </si>
  <si>
    <t>Programs Impacted</t>
  </si>
  <si>
    <t>Date</t>
  </si>
  <si>
    <t xml:space="preserve">Rationale for Fund Shift </t>
  </si>
  <si>
    <t>-  All Fund Shifting Rules remain in effect as adopted in D.12-04-045 as referenced in D.17-12-003 at page 131.</t>
  </si>
  <si>
    <t>EVENT SUMMARY</t>
  </si>
  <si>
    <t>Year-to-Date Event Summary</t>
  </si>
  <si>
    <t>Event No.</t>
  </si>
  <si>
    <t>Event Trigger</t>
  </si>
  <si>
    <r>
      <t xml:space="preserve">Load Reduction     MW </t>
    </r>
    <r>
      <rPr>
        <vertAlign val="superscript"/>
        <sz val="10"/>
        <color rgb="FFFF0000"/>
        <rFont val="Arial"/>
        <family val="2"/>
      </rPr>
      <t>1</t>
    </r>
  </si>
  <si>
    <t>Event Beginning to End</t>
  </si>
  <si>
    <r>
      <t>Program Total Hours (Annual)</t>
    </r>
    <r>
      <rPr>
        <b/>
        <sz val="10"/>
        <color rgb="FFFF0000"/>
        <rFont val="Arial"/>
        <family val="2"/>
      </rPr>
      <t xml:space="preserve"> </t>
    </r>
    <r>
      <rPr>
        <vertAlign val="superscript"/>
        <sz val="10"/>
        <color rgb="FFFF0000"/>
        <rFont val="Arial"/>
        <family val="2"/>
      </rPr>
      <t>2</t>
    </r>
  </si>
  <si>
    <t>AC Saver DO (Summer Saver) Commercial &amp; Residential</t>
  </si>
  <si>
    <t>Heat Rate</t>
  </si>
  <si>
    <t>6:00pm-8:00pm</t>
  </si>
  <si>
    <t>CBP Day Ahead 1-9</t>
  </si>
  <si>
    <t>Market Price</t>
  </si>
  <si>
    <t>CBP Day Ahead 11-7</t>
  </si>
  <si>
    <t>5:00pm-7:00pm</t>
  </si>
  <si>
    <t>CBP Day Of 1-9</t>
  </si>
  <si>
    <t>Real Time Price</t>
  </si>
  <si>
    <t>AC Saver DA Residential</t>
  </si>
  <si>
    <t>AC Saver DA Commercial</t>
  </si>
  <si>
    <t>7:00pm-9:00pm</t>
  </si>
  <si>
    <t>12:00pm-2:00pm</t>
  </si>
  <si>
    <t>6:00pm-9:00pm</t>
  </si>
  <si>
    <t>5:00pm-8:00pm</t>
  </si>
  <si>
    <t>5:00pm-9:00pm</t>
  </si>
  <si>
    <t>CBP Day Of 11-7</t>
  </si>
  <si>
    <r>
      <rPr>
        <vertAlign val="superscript"/>
        <sz val="11"/>
        <color rgb="FFFF0000"/>
        <rFont val="Arial"/>
        <family val="2"/>
      </rPr>
      <t>1</t>
    </r>
    <r>
      <rPr>
        <sz val="11"/>
        <color rgb="FF444444"/>
        <rFont val="Arial"/>
        <family val="2"/>
      </rPr>
      <t xml:space="preserve"> If the MW Load Reduction is 0.00, there was no actual load reduction. If the MW Load Reduction is negative, there was an increase of load during the event hours. If there is nothing there, there were no events.</t>
    </r>
  </si>
  <si>
    <r>
      <rPr>
        <vertAlign val="superscript"/>
        <sz val="11"/>
        <color rgb="FFFF0000"/>
        <rFont val="Arial"/>
        <family val="2"/>
      </rPr>
      <t>2</t>
    </r>
    <r>
      <rPr>
        <b/>
        <vertAlign val="superscript"/>
        <sz val="11"/>
        <color rgb="FFFF0000"/>
        <rFont val="Arial"/>
        <family val="2"/>
      </rPr>
      <t xml:space="preserve">  </t>
    </r>
    <r>
      <rPr>
        <sz val="11"/>
        <rFont val="Arial"/>
        <family val="2"/>
      </rPr>
      <t>Program Total Hours (Annual) is cumulative</t>
    </r>
    <r>
      <rPr>
        <b/>
        <sz val="11"/>
        <rFont val="Arial"/>
        <family val="2"/>
      </rPr>
      <t>.</t>
    </r>
  </si>
  <si>
    <t>TOTAL COST AND AMDRMA ACCOUNT BALANCES ($000)</t>
  </si>
  <si>
    <t>Annual Total Cost</t>
  </si>
  <si>
    <t>Year-to-Date Cost</t>
  </si>
  <si>
    <t>Administrative (O&amp;M)</t>
  </si>
  <si>
    <t>AC Saver Day‐Ahead</t>
  </si>
  <si>
    <r>
      <t>AC Saver Day‐Of</t>
    </r>
    <r>
      <rPr>
        <vertAlign val="superscript"/>
        <sz val="9"/>
        <color rgb="FFFF0000"/>
        <rFont val="Arial"/>
        <family val="2"/>
      </rPr>
      <t xml:space="preserve"> </t>
    </r>
  </si>
  <si>
    <r>
      <t>Base Interruptible Program (BIP)</t>
    </r>
    <r>
      <rPr>
        <vertAlign val="superscript"/>
        <sz val="10"/>
        <rFont val="Arial"/>
        <family val="2"/>
      </rPr>
      <t xml:space="preserve"> </t>
    </r>
  </si>
  <si>
    <t>Back Up Generators (BUGs)</t>
  </si>
  <si>
    <t xml:space="preserve">Capacity Bidding Program (CBP) </t>
  </si>
  <si>
    <t>Demand Response Auction Mechanism (DRAM)</t>
  </si>
  <si>
    <t>Emerging Tech (ET)</t>
  </si>
  <si>
    <t>Armed Forces Pilot</t>
  </si>
  <si>
    <r>
      <t>Over Gen Pilot</t>
    </r>
    <r>
      <rPr>
        <vertAlign val="superscript"/>
        <sz val="9"/>
        <color rgb="FFFF0000"/>
        <rFont val="Arial"/>
        <family val="2"/>
      </rPr>
      <t xml:space="preserve"> </t>
    </r>
  </si>
  <si>
    <t>Constrained Local Capacity Program (CLCP)</t>
  </si>
  <si>
    <r>
      <t>Local Marketing Education &amp; Outreach (LMEO)</t>
    </r>
    <r>
      <rPr>
        <vertAlign val="superscript"/>
        <sz val="10"/>
        <color rgb="FFFF0000"/>
        <rFont val="Arial"/>
        <family val="2"/>
      </rPr>
      <t xml:space="preserve"> 2,7</t>
    </r>
  </si>
  <si>
    <t>General Admin</t>
  </si>
  <si>
    <r>
      <t xml:space="preserve">IT </t>
    </r>
    <r>
      <rPr>
        <vertAlign val="superscript"/>
        <sz val="9"/>
        <color rgb="FFFF0000"/>
        <rFont val="Arial"/>
        <family val="2"/>
      </rPr>
      <t>3</t>
    </r>
  </si>
  <si>
    <r>
      <t>EM&amp;V</t>
    </r>
    <r>
      <rPr>
        <vertAlign val="superscript"/>
        <sz val="9"/>
        <color rgb="FFFF0000"/>
        <rFont val="Arial"/>
        <family val="2"/>
      </rPr>
      <t xml:space="preserve"> 4</t>
    </r>
  </si>
  <si>
    <t>Local Capacity Requirements (LCR)</t>
  </si>
  <si>
    <r>
      <t>SW-COM</t>
    </r>
    <r>
      <rPr>
        <vertAlign val="superscript"/>
        <sz val="9"/>
        <color rgb="FFFF0000"/>
        <rFont val="Arial"/>
        <family val="2"/>
      </rPr>
      <t xml:space="preserve"> </t>
    </r>
    <r>
      <rPr>
        <b/>
        <vertAlign val="superscript"/>
        <sz val="9"/>
        <color rgb="FFFF0000"/>
        <rFont val="Arial"/>
        <family val="2"/>
      </rPr>
      <t>1</t>
    </r>
  </si>
  <si>
    <r>
      <t>SW-IND</t>
    </r>
    <r>
      <rPr>
        <b/>
        <vertAlign val="superscript"/>
        <sz val="9"/>
        <color rgb="FFFF0000"/>
        <rFont val="Arial"/>
        <family val="2"/>
      </rPr>
      <t xml:space="preserve"> 1</t>
    </r>
  </si>
  <si>
    <r>
      <t>SW-AG</t>
    </r>
    <r>
      <rPr>
        <vertAlign val="superscript"/>
        <sz val="9"/>
        <color rgb="FFFF0000"/>
        <rFont val="Arial"/>
        <family val="2"/>
      </rPr>
      <t xml:space="preserve"> </t>
    </r>
  </si>
  <si>
    <t xml:space="preserve">Local Marketing Res and Non-Res </t>
  </si>
  <si>
    <r>
      <t xml:space="preserve">IDSM DR COM </t>
    </r>
    <r>
      <rPr>
        <vertAlign val="superscript"/>
        <sz val="9"/>
        <color rgb="FFFF0000"/>
        <rFont val="Arial"/>
        <family val="2"/>
      </rPr>
      <t>6</t>
    </r>
  </si>
  <si>
    <r>
      <t xml:space="preserve">Behavioral </t>
    </r>
    <r>
      <rPr>
        <vertAlign val="superscript"/>
        <sz val="9"/>
        <color rgb="FFFF0000"/>
        <rFont val="Arial"/>
        <family val="2"/>
      </rPr>
      <t>5</t>
    </r>
  </si>
  <si>
    <t xml:space="preserve">  Total Administrative (O&amp;M) </t>
  </si>
  <si>
    <t>Customer Incentives</t>
  </si>
  <si>
    <r>
      <t>AC Saver Day‐Of</t>
    </r>
    <r>
      <rPr>
        <vertAlign val="superscript"/>
        <sz val="10"/>
        <color rgb="FFFF0000"/>
        <rFont val="Arial"/>
        <family val="2"/>
      </rPr>
      <t xml:space="preserve"> </t>
    </r>
  </si>
  <si>
    <t>Capacity Bidding Program (CBP)</t>
  </si>
  <si>
    <r>
      <t>Demand Response Auction Mechanism (DRAM)</t>
    </r>
    <r>
      <rPr>
        <vertAlign val="superscript"/>
        <sz val="9"/>
        <color rgb="FFFF0000"/>
        <rFont val="Arial"/>
        <family val="2"/>
      </rPr>
      <t xml:space="preserve"> 8</t>
    </r>
  </si>
  <si>
    <t>Technology Deployment (TD)</t>
  </si>
  <si>
    <t>Small Business Energy Management Pilot (SBEMP)</t>
  </si>
  <si>
    <t>CPPD</t>
  </si>
  <si>
    <t>Total Customer Incentives</t>
  </si>
  <si>
    <t xml:space="preserve">Total </t>
  </si>
  <si>
    <t>AMDRMA Account End of Month Balance for Monthly Activity with Interest</t>
  </si>
  <si>
    <r>
      <rPr>
        <vertAlign val="superscript"/>
        <sz val="11"/>
        <color rgb="FFFF0000"/>
        <rFont val="Arial"/>
        <family val="2"/>
      </rPr>
      <t xml:space="preserve">1 </t>
    </r>
    <r>
      <rPr>
        <sz val="11"/>
        <rFont val="Arial"/>
        <family val="2"/>
      </rPr>
      <t>Credits are related to accrual reversals which occurred in a prior reporting period (December 2019).</t>
    </r>
  </si>
  <si>
    <r>
      <rPr>
        <vertAlign val="superscript"/>
        <sz val="11"/>
        <color rgb="FFFF0000"/>
        <rFont val="Arial"/>
        <family val="2"/>
      </rPr>
      <t>3</t>
    </r>
    <r>
      <rPr>
        <sz val="11"/>
        <rFont val="Arial"/>
        <family val="2"/>
      </rPr>
      <t xml:space="preserve"> April credits are related to Journal Entries to move charges to the correct Internal Order and Accrual Reversals which occurred in a prior reporting month (March).</t>
    </r>
  </si>
  <si>
    <r>
      <rPr>
        <vertAlign val="superscript"/>
        <sz val="11"/>
        <color rgb="FFFF0000"/>
        <rFont val="Arial"/>
        <family val="2"/>
      </rPr>
      <t>4</t>
    </r>
    <r>
      <rPr>
        <sz val="11"/>
        <rFont val="Arial"/>
        <family val="2"/>
      </rPr>
      <t xml:space="preserve"> April credits are related to Accrual Reversals which occurred in a prior reporting period (March).</t>
    </r>
  </si>
  <si>
    <r>
      <rPr>
        <vertAlign val="superscript"/>
        <sz val="11"/>
        <color rgb="FFFF0000"/>
        <rFont val="Arial"/>
        <family val="2"/>
      </rPr>
      <t>5</t>
    </r>
    <r>
      <rPr>
        <sz val="11"/>
        <rFont val="Arial"/>
        <family val="2"/>
      </rPr>
      <t xml:space="preserve"> April credit is related to a Journal Entry to move charges from program into a pre-paid account to be amortized.</t>
    </r>
  </si>
  <si>
    <r>
      <rPr>
        <vertAlign val="superscript"/>
        <sz val="11"/>
        <color rgb="FFFF0000"/>
        <rFont val="Arial"/>
        <family val="2"/>
      </rPr>
      <t xml:space="preserve">6  </t>
    </r>
    <r>
      <rPr>
        <sz val="11"/>
        <rFont val="Arial"/>
        <family val="2"/>
      </rPr>
      <t>May Credit is related to an adjustment received on the prior month invoice.</t>
    </r>
  </si>
  <si>
    <r>
      <rPr>
        <vertAlign val="superscript"/>
        <sz val="11"/>
        <color rgb="FFFF0000"/>
        <rFont val="Arial"/>
        <family val="2"/>
      </rPr>
      <t>8</t>
    </r>
    <r>
      <rPr>
        <vertAlign val="superscript"/>
        <sz val="9"/>
        <color rgb="FFFF0000"/>
        <rFont val="Arial"/>
        <family val="2"/>
      </rPr>
      <t xml:space="preserve"> </t>
    </r>
    <r>
      <rPr>
        <sz val="11"/>
        <rFont val="Arial"/>
        <family val="2"/>
      </rPr>
      <t>July credits are related to Accrual Reversals which occurred in a prior reporting period (June).</t>
    </r>
  </si>
  <si>
    <t>GENERAL RATE CASE PROGRAMS ($000)</t>
  </si>
  <si>
    <t>Year-to-Date Total Cost</t>
  </si>
  <si>
    <t>Programs in General Rate Case</t>
  </si>
  <si>
    <r>
      <t>CPP-D</t>
    </r>
    <r>
      <rPr>
        <vertAlign val="superscript"/>
        <sz val="10"/>
        <color rgb="FFFF0000"/>
        <rFont val="Arial"/>
        <family val="2"/>
      </rPr>
      <t xml:space="preserve"> </t>
    </r>
  </si>
  <si>
    <t>Peak Generation (RBRP)</t>
  </si>
  <si>
    <t xml:space="preserve">  Total Administrative (O&amp;M)</t>
  </si>
  <si>
    <t>Capital</t>
  </si>
  <si>
    <r>
      <t>Peak Generation (RBRP)</t>
    </r>
    <r>
      <rPr>
        <b/>
        <vertAlign val="superscript"/>
        <sz val="10"/>
        <color rgb="FFFF0000"/>
        <rFont val="Arial"/>
        <family val="2"/>
      </rPr>
      <t xml:space="preserve"> </t>
    </r>
  </si>
  <si>
    <t xml:space="preserve">  Total Capital</t>
  </si>
  <si>
    <t>Measurement and Evaluation</t>
  </si>
  <si>
    <t xml:space="preserve">Peak Generation (RBRP) </t>
  </si>
  <si>
    <t>Total M&amp;E</t>
  </si>
  <si>
    <t xml:space="preserve">Revenue from Penalties </t>
  </si>
  <si>
    <t>Total GRC Program Costs</t>
  </si>
  <si>
    <t>DIRECT PARTICIPATION DR MEMO ACCOUNT ($000)</t>
  </si>
  <si>
    <t>Programs in Direct Participation Demand Response Memorandum Account (DPDRMA)</t>
  </si>
  <si>
    <r>
      <t xml:space="preserve">Rule 32 </t>
    </r>
    <r>
      <rPr>
        <b/>
        <vertAlign val="superscript"/>
        <sz val="10"/>
        <color rgb="FFFF0000"/>
        <rFont val="Arial"/>
        <family val="2"/>
      </rPr>
      <t>4</t>
    </r>
  </si>
  <si>
    <r>
      <t xml:space="preserve">Rule 32 Operations </t>
    </r>
    <r>
      <rPr>
        <vertAlign val="superscript"/>
        <sz val="10"/>
        <color rgb="FFFF0000"/>
        <rFont val="Arial"/>
        <family val="2"/>
      </rPr>
      <t>2</t>
    </r>
  </si>
  <si>
    <r>
      <t xml:space="preserve">Rule 32 Meter </t>
    </r>
    <r>
      <rPr>
        <b/>
        <vertAlign val="superscript"/>
        <sz val="10"/>
        <color rgb="FFFF0000"/>
        <rFont val="Arial"/>
        <family val="2"/>
      </rPr>
      <t>5</t>
    </r>
  </si>
  <si>
    <r>
      <t>Rule 32 CISR Enhancement</t>
    </r>
    <r>
      <rPr>
        <b/>
        <vertAlign val="superscript"/>
        <sz val="10"/>
        <color rgb="FFFF0000"/>
        <rFont val="Arial"/>
        <family val="2"/>
      </rPr>
      <t xml:space="preserve"> </t>
    </r>
    <r>
      <rPr>
        <vertAlign val="superscript"/>
        <sz val="10"/>
        <color rgb="FFFF0000"/>
        <rFont val="Arial"/>
        <family val="2"/>
      </rPr>
      <t>3</t>
    </r>
  </si>
  <si>
    <r>
      <t xml:space="preserve">Rule 32 Click-Through </t>
    </r>
    <r>
      <rPr>
        <vertAlign val="superscript"/>
        <sz val="10"/>
        <color rgb="FFFF0000"/>
        <rFont val="Arial"/>
        <family val="2"/>
      </rPr>
      <t>1</t>
    </r>
  </si>
  <si>
    <t>Capital Related Costs</t>
  </si>
  <si>
    <t>Depreciation</t>
  </si>
  <si>
    <t>DPDRMA Tax</t>
  </si>
  <si>
    <t>DPDRMA Property Tax</t>
  </si>
  <si>
    <t>Return on Rate Base</t>
  </si>
  <si>
    <t>Total DPDRMA Program Costs</t>
  </si>
  <si>
    <t>Total DPDRMA Program Costs with Interest</t>
  </si>
  <si>
    <r>
      <rPr>
        <vertAlign val="superscript"/>
        <sz val="11"/>
        <color rgb="FFFF0000"/>
        <rFont val="Arial"/>
        <family val="2"/>
      </rPr>
      <t>1</t>
    </r>
    <r>
      <rPr>
        <vertAlign val="superscript"/>
        <sz val="11"/>
        <rFont val="Arial"/>
        <family val="2"/>
      </rPr>
      <t xml:space="preserve"> </t>
    </r>
    <r>
      <rPr>
        <sz val="11"/>
        <rFont val="Arial"/>
        <family val="2"/>
      </rPr>
      <t>Rule 32 click-through was approved in Decision 17-06-005.</t>
    </r>
  </si>
  <si>
    <r>
      <rPr>
        <vertAlign val="superscript"/>
        <sz val="11"/>
        <color rgb="FFFF0000"/>
        <rFont val="Arial"/>
        <family val="2"/>
      </rPr>
      <t>2</t>
    </r>
    <r>
      <rPr>
        <sz val="11"/>
        <rFont val="Arial"/>
        <family val="2"/>
      </rPr>
      <t xml:space="preserve"> Rule 32 Operations was approved in AL 3191-E.</t>
    </r>
  </si>
  <si>
    <r>
      <rPr>
        <vertAlign val="superscript"/>
        <sz val="11"/>
        <color rgb="FFFF0000"/>
        <rFont val="Arial"/>
        <family val="2"/>
      </rPr>
      <t>3</t>
    </r>
    <r>
      <rPr>
        <sz val="11"/>
        <rFont val="Arial"/>
        <family val="2"/>
      </rPr>
      <t xml:space="preserve"> Rule 32 CISR Enhancement was approved in AL 3136-E.</t>
    </r>
  </si>
  <si>
    <r>
      <rPr>
        <vertAlign val="superscript"/>
        <sz val="11"/>
        <color rgb="FFFF0000"/>
        <rFont val="Arial"/>
        <family val="2"/>
      </rPr>
      <t>4</t>
    </r>
    <r>
      <rPr>
        <sz val="11"/>
        <rFont val="Arial"/>
        <family val="2"/>
      </rPr>
      <t xml:space="preserve"> April Credit is related to Journal Entries performed to move charges to the correct program.</t>
    </r>
  </si>
  <si>
    <r>
      <rPr>
        <vertAlign val="superscript"/>
        <sz val="10"/>
        <color rgb="FFFF0000"/>
        <rFont val="Arial"/>
        <family val="2"/>
      </rPr>
      <t>8</t>
    </r>
    <r>
      <rPr>
        <sz val="10"/>
        <rFont val="Arial"/>
        <family val="2"/>
      </rPr>
      <t xml:space="preserve"> Fund shift performed to move 400K and 166K from programs prior years rollover dollars within category 7 to cover IT shortall.</t>
    </r>
  </si>
  <si>
    <r>
      <t>Regulatory Policy &amp; Program Support (Gen. Admin.)</t>
    </r>
    <r>
      <rPr>
        <vertAlign val="superscript"/>
        <sz val="10"/>
        <color rgb="FFFF0000"/>
        <rFont val="Arial"/>
        <family val="2"/>
      </rPr>
      <t xml:space="preserve"> 8</t>
    </r>
  </si>
  <si>
    <r>
      <t>IT Infrastructure &amp; Systems Support</t>
    </r>
    <r>
      <rPr>
        <vertAlign val="superscript"/>
        <sz val="10"/>
        <rFont val="Arial"/>
        <family val="2"/>
      </rPr>
      <t xml:space="preserve"> </t>
    </r>
    <r>
      <rPr>
        <vertAlign val="superscript"/>
        <sz val="10"/>
        <color rgb="FFFF0000"/>
        <rFont val="Arial"/>
        <family val="2"/>
      </rPr>
      <t>2, 8</t>
    </r>
  </si>
  <si>
    <r>
      <t xml:space="preserve">EM&amp;V </t>
    </r>
    <r>
      <rPr>
        <vertAlign val="superscript"/>
        <sz val="10"/>
        <color rgb="FFFF0000"/>
        <rFont val="Arial"/>
        <family val="2"/>
      </rPr>
      <t>3, 8</t>
    </r>
  </si>
  <si>
    <t xml:space="preserve">IT Infrastructure &amp; Systems Support </t>
  </si>
  <si>
    <t xml:space="preserve">EM&amp;V </t>
  </si>
  <si>
    <t>Shifting the funds to IT will allow SDG&amp;E to properly maintain systems to ensure compliance and customer experience. IT is projected to be overspent; M&amp;E and Policy (Gen Admin) have unspent dollars that can be applied towards the IT shortfall.</t>
  </si>
  <si>
    <t>8/14/2020</t>
  </si>
  <si>
    <t>Temperature and System Load</t>
  </si>
  <si>
    <t>3:00pm-7:00pm</t>
  </si>
  <si>
    <t>7:00pm-8:00pm</t>
  </si>
  <si>
    <t>4:00pm-8:00pm</t>
  </si>
  <si>
    <t>Reduce Your Use (TOU-A-P &amp; TOU-PA-P) including TD on PSW</t>
  </si>
  <si>
    <t>2:00pm-6:00pm</t>
  </si>
  <si>
    <t>Voluntary Residential CPP Excluding Grandfather and Including TD</t>
  </si>
  <si>
    <t>CPP (Large and Medium) not in CBP or BIP (including TD)</t>
  </si>
  <si>
    <t>CPP (Large and Medium) not in BIP (including TD)</t>
  </si>
  <si>
    <t>4:00pm-7:00pm</t>
  </si>
  <si>
    <t>September 2020</t>
  </si>
  <si>
    <t>CPP (Large and Medium) not in BIP or CBP (including TD)</t>
  </si>
  <si>
    <t>500pm-9:00pm</t>
  </si>
  <si>
    <t>4:00pm-6:00pm</t>
  </si>
  <si>
    <t>CPP (Large and Medium) not in CBP (including TD)</t>
  </si>
  <si>
    <r>
      <rPr>
        <vertAlign val="superscript"/>
        <sz val="11"/>
        <color rgb="FFFF0000"/>
        <rFont val="Arial"/>
        <family val="2"/>
      </rPr>
      <t>5</t>
    </r>
    <r>
      <rPr>
        <sz val="11"/>
        <rFont val="Arial"/>
        <family val="2"/>
      </rPr>
      <t xml:space="preserve"> July and September credits are related to Accrual Reversals which occurred in a prior reporting period (June, August).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</si>
</sst>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6" formatCode="&quot;$&quot;#,##0_);[Red]\(&quot;$&quot;#,##0\)"/>
    <numFmt numFmtId="8" formatCode="&quot;$&quot;#,##0.00_);[Red]\(&quot;$&quot;#,##0.00\)"/>
    <numFmt numFmtId="42" formatCode="_(&quot;$&quot;* #,##0_);_(&quot;$&quot;* \(#,##0\);_(&quot;$&quot;* &quot;-&quot;_);_(@_)"/>
    <numFmt numFmtId="44" formatCode="_(&quot;$&quot;* #,##0.00_);_(&quot;$&quot;* \(#,##0.00\);_(&quot;$&quot;* &quot;-&quot;??_);_(@_)"/>
    <numFmt numFmtId="43" formatCode="_(* #,##0.00_);_(* \(#,##0.00\);_(* &quot;-&quot;??_);_(@_)"/>
    <numFmt numFmtId="164" formatCode="&quot;$&quot;#,##0.0_);[Red]\(&quot;$&quot;#,##0.0\)"/>
    <numFmt numFmtId="165" formatCode="#,##0.0_);[Red]\(#,##0.0\)"/>
    <numFmt numFmtId="166" formatCode="#,##0.0"/>
    <numFmt numFmtId="167" formatCode="0.0%"/>
    <numFmt numFmtId="168" formatCode="_(&quot;$&quot;* #,##0_);_(&quot;$&quot;* \(#,##0\);_(&quot;$&quot;* &quot;-&quot;??_);_(@_)"/>
    <numFmt numFmtId="169" formatCode="_(* #,##0.0_);_(* \(#,##0.0\);_(* &quot;-&quot;??_);_(@_)"/>
    <numFmt numFmtId="170" formatCode="_(* #,##0_);_(* \(#,##0\);_(* &quot;-&quot;??_);_(@_)"/>
    <numFmt numFmtId="171" formatCode="mm/dd/yy;@"/>
    <numFmt numFmtId="172" formatCode="0.0"/>
    <numFmt numFmtId="173" formatCode="0.0_);[Red]\(0.0\)"/>
    <numFmt numFmtId="174" formatCode="0.00_);[Red]\(0.00\)"/>
    <numFmt numFmtId="175" formatCode="[$-F800]dddd\,\ mmmm\ dd\,\ yyyy"/>
    <numFmt numFmtId="176" formatCode="0.0000"/>
  </numFmts>
  <fonts count="94">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sz val="10"/>
      <color indexed="8"/>
      <name val="Arial"/>
      <family val="2"/>
    </font>
    <font>
      <b/>
      <i/>
      <sz val="10"/>
      <name val="Arial"/>
      <family val="2"/>
    </font>
    <font>
      <sz val="10"/>
      <color indexed="8"/>
      <name val="Arial"/>
      <family val="2"/>
    </font>
    <font>
      <sz val="10"/>
      <color indexed="9"/>
      <name val="Arial"/>
      <family val="2"/>
    </font>
    <font>
      <sz val="11"/>
      <color indexed="9"/>
      <name val="Calibri"/>
      <family val="2"/>
    </font>
    <font>
      <sz val="11"/>
      <color indexed="8"/>
      <name val="Calibri"/>
      <family val="2"/>
    </font>
    <font>
      <sz val="11"/>
      <color indexed="16"/>
      <name val="Calibri"/>
      <family val="2"/>
    </font>
    <font>
      <b/>
      <sz val="11"/>
      <color indexed="53"/>
      <name val="Calibri"/>
      <family val="2"/>
    </font>
    <font>
      <b/>
      <sz val="11"/>
      <color indexed="9"/>
      <name val="Calibri"/>
      <family val="2"/>
    </font>
    <font>
      <b/>
      <sz val="11"/>
      <color indexed="8"/>
      <name val="Calibri"/>
      <family val="2"/>
    </font>
    <font>
      <i/>
      <sz val="10"/>
      <color indexed="23"/>
      <name val="Arial"/>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sz val="11"/>
      <color indexed="48"/>
      <name val="Calibri"/>
      <family val="2"/>
    </font>
    <font>
      <sz val="11"/>
      <color indexed="53"/>
      <name val="Calibri"/>
      <family val="2"/>
    </font>
    <font>
      <sz val="11"/>
      <color indexed="60"/>
      <name val="Calibri"/>
      <family val="2"/>
    </font>
    <font>
      <b/>
      <sz val="11"/>
      <color indexed="63"/>
      <name val="Calibri"/>
      <family val="2"/>
    </font>
    <font>
      <b/>
      <sz val="10"/>
      <color indexed="8"/>
      <name val="Arial"/>
      <family val="2"/>
    </font>
    <font>
      <b/>
      <sz val="10"/>
      <color indexed="39"/>
      <name val="Arial"/>
      <family val="2"/>
    </font>
    <font>
      <b/>
      <sz val="12"/>
      <color indexed="8"/>
      <name val="Arial"/>
      <family val="2"/>
    </font>
    <font>
      <sz val="10"/>
      <color indexed="39"/>
      <name val="Arial"/>
      <family val="2"/>
    </font>
    <font>
      <sz val="19"/>
      <color indexed="48"/>
      <name val="Arial"/>
      <family val="2"/>
    </font>
    <font>
      <sz val="10"/>
      <color indexed="10"/>
      <name val="Arial"/>
      <family val="2"/>
    </font>
    <font>
      <b/>
      <sz val="18"/>
      <color indexed="62"/>
      <name val="Cambria"/>
      <family val="2"/>
    </font>
    <font>
      <sz val="11"/>
      <color indexed="10"/>
      <name val="Calibri"/>
      <family val="2"/>
    </font>
    <font>
      <sz val="8"/>
      <name val="Arial"/>
      <family val="2"/>
    </font>
    <font>
      <b/>
      <sz val="10"/>
      <color indexed="10"/>
      <name val="Arial"/>
      <family val="2"/>
    </font>
    <font>
      <b/>
      <sz val="13"/>
      <name val="Arial"/>
      <family val="2"/>
    </font>
    <font>
      <sz val="10"/>
      <color indexed="30"/>
      <name val="Arial"/>
      <family val="2"/>
    </font>
    <font>
      <b/>
      <strike/>
      <sz val="10"/>
      <color indexed="8"/>
      <name val="Arial"/>
      <family val="2"/>
    </font>
    <font>
      <strike/>
      <sz val="10"/>
      <color indexed="8"/>
      <name val="Arial"/>
      <family val="2"/>
    </font>
    <font>
      <sz val="10"/>
      <name val="Arial"/>
      <family val="2"/>
    </font>
    <font>
      <sz val="10"/>
      <name val="Arial"/>
      <family val="2"/>
    </font>
    <font>
      <sz val="9"/>
      <name val="Calibri"/>
      <family val="2"/>
    </font>
    <font>
      <sz val="10"/>
      <color indexed="8"/>
      <name val="Arial"/>
      <family val="2"/>
    </font>
    <font>
      <b/>
      <sz val="11"/>
      <color rgb="FF1F497D"/>
      <name val="Calibri"/>
      <family val="2"/>
    </font>
    <font>
      <sz val="10"/>
      <color rgb="FF0070C0"/>
      <name val="Arial"/>
      <family val="2"/>
    </font>
    <font>
      <b/>
      <sz val="12"/>
      <name val="Arial"/>
      <family val="2"/>
    </font>
    <font>
      <sz val="10"/>
      <name val="Arial"/>
      <family val="2"/>
    </font>
    <font>
      <sz val="10"/>
      <color theme="1"/>
      <name val="Arial"/>
      <family val="2"/>
    </font>
    <font>
      <sz val="10"/>
      <name val="Arial"/>
      <family val="2"/>
    </font>
    <font>
      <sz val="10"/>
      <name val="Arial"/>
      <family val="2"/>
    </font>
    <font>
      <i/>
      <sz val="11"/>
      <color rgb="FF1F497D"/>
      <name val="Calibri"/>
      <family val="2"/>
    </font>
    <font>
      <sz val="10"/>
      <name val="Arial"/>
      <family val="2"/>
    </font>
    <font>
      <sz val="11"/>
      <name val="Arial"/>
      <family val="2"/>
    </font>
    <font>
      <vertAlign val="superscript"/>
      <sz val="11"/>
      <color rgb="FFFF0000"/>
      <name val="Arial"/>
      <family val="2"/>
    </font>
    <font>
      <sz val="11"/>
      <color rgb="FF1F497D"/>
      <name val="Calibri"/>
      <family val="2"/>
    </font>
    <font>
      <b/>
      <vertAlign val="superscript"/>
      <sz val="10"/>
      <color rgb="FFFF0000"/>
      <name val="Arial"/>
      <family val="2"/>
    </font>
    <font>
      <b/>
      <sz val="9"/>
      <name val="Arial"/>
      <family val="2"/>
    </font>
    <font>
      <sz val="9"/>
      <name val="Arial"/>
      <family val="2"/>
    </font>
    <font>
      <vertAlign val="superscript"/>
      <sz val="10"/>
      <name val="Arial"/>
      <family val="2"/>
    </font>
    <font>
      <b/>
      <sz val="11"/>
      <name val="Arial"/>
      <family val="2"/>
    </font>
    <font>
      <sz val="11"/>
      <color indexed="8"/>
      <name val="Arial"/>
      <family val="2"/>
    </font>
    <font>
      <b/>
      <sz val="11"/>
      <color indexed="8"/>
      <name val="Arial"/>
      <family val="2"/>
    </font>
    <font>
      <b/>
      <sz val="10"/>
      <color rgb="FFFF0000"/>
      <name val="Arial"/>
      <family val="2"/>
    </font>
    <font>
      <sz val="10"/>
      <name val="Arial"/>
      <family val="2"/>
    </font>
    <font>
      <sz val="10"/>
      <name val="Calibri"/>
      <family val="2"/>
    </font>
    <font>
      <vertAlign val="superscript"/>
      <sz val="11"/>
      <name val="Arial"/>
      <family val="2"/>
    </font>
    <font>
      <b/>
      <sz val="10"/>
      <name val="Calibri"/>
      <family val="2"/>
    </font>
    <font>
      <b/>
      <sz val="12"/>
      <name val="Calibri"/>
      <family val="2"/>
    </font>
    <font>
      <b/>
      <sz val="10"/>
      <color indexed="8"/>
      <name val="Calibri"/>
      <family val="2"/>
    </font>
    <font>
      <vertAlign val="superscript"/>
      <sz val="10"/>
      <color rgb="FFFF0000"/>
      <name val="Arial"/>
      <family val="2"/>
    </font>
    <font>
      <sz val="12"/>
      <color rgb="FF000000"/>
      <name val="Arial"/>
      <family val="2"/>
    </font>
    <font>
      <vertAlign val="superscript"/>
      <sz val="9"/>
      <color rgb="FFFF0000"/>
      <name val="Arial"/>
      <family val="2"/>
    </font>
    <font>
      <b/>
      <sz val="14"/>
      <color indexed="8"/>
      <name val="Arial"/>
      <family val="2"/>
    </font>
    <font>
      <b/>
      <sz val="16"/>
      <color indexed="8"/>
      <name val="Arial"/>
      <family val="2"/>
    </font>
    <font>
      <sz val="12"/>
      <color indexed="8"/>
      <name val="Arial"/>
      <family val="2"/>
    </font>
    <font>
      <b/>
      <vertAlign val="superscript"/>
      <sz val="10"/>
      <color rgb="FFFF0000"/>
      <name val="Calibri"/>
      <family val="2"/>
    </font>
    <font>
      <b/>
      <vertAlign val="superscript"/>
      <sz val="10"/>
      <name val="Arial"/>
      <family val="2"/>
    </font>
    <font>
      <b/>
      <sz val="12"/>
      <name val="Ariel"/>
    </font>
    <font>
      <b/>
      <sz val="10"/>
      <color rgb="FFFFFFFF"/>
      <name val="Arial"/>
      <family val="2"/>
    </font>
    <font>
      <b/>
      <vertAlign val="superscript"/>
      <sz val="9"/>
      <color rgb="FFFF0000"/>
      <name val="Arial"/>
      <family val="2"/>
    </font>
    <font>
      <sz val="11"/>
      <color rgb="FF000000"/>
      <name val="Arial"/>
      <family val="2"/>
    </font>
    <font>
      <b/>
      <vertAlign val="superscript"/>
      <sz val="11"/>
      <color rgb="FFFF0000"/>
      <name val="Arial"/>
      <family val="2"/>
    </font>
    <font>
      <vertAlign val="superscript"/>
      <sz val="9"/>
      <name val="Arial"/>
      <family val="2"/>
    </font>
    <font>
      <sz val="11"/>
      <color rgb="FF444444"/>
      <name val="Arial"/>
      <family val="2"/>
    </font>
    <font>
      <sz val="10"/>
      <name val="Century Gothic"/>
      <family val="2"/>
    </font>
  </fonts>
  <fills count="54">
    <fill>
      <patternFill patternType="none"/>
    </fill>
    <fill>
      <patternFill patternType="gray125"/>
    </fill>
    <fill>
      <patternFill patternType="solid">
        <fgColor indexed="40"/>
      </patternFill>
    </fill>
    <fill>
      <patternFill patternType="solid">
        <fgColor indexed="29"/>
      </patternFill>
    </fill>
    <fill>
      <patternFill patternType="solid">
        <fgColor indexed="26"/>
      </patternFill>
    </fill>
    <fill>
      <patternFill patternType="solid">
        <fgColor indexed="9"/>
      </patternFill>
    </fill>
    <fill>
      <patternFill patternType="solid">
        <fgColor indexed="44"/>
      </patternFill>
    </fill>
    <fill>
      <patternFill patternType="solid">
        <fgColor indexed="45"/>
      </patternFill>
    </fill>
    <fill>
      <patternFill patternType="solid">
        <fgColor indexed="54"/>
      </patternFill>
    </fill>
    <fill>
      <patternFill patternType="solid">
        <fgColor indexed="57"/>
      </patternFill>
    </fill>
    <fill>
      <patternFill patternType="solid">
        <fgColor indexed="22"/>
      </patternFill>
    </fill>
    <fill>
      <patternFill patternType="solid">
        <fgColor indexed="47"/>
      </patternFill>
    </fill>
    <fill>
      <patternFill patternType="solid">
        <fgColor indexed="48"/>
        <bgColor indexed="48"/>
      </patternFill>
    </fill>
    <fill>
      <patternFill patternType="solid">
        <fgColor indexed="44"/>
        <bgColor indexed="44"/>
      </patternFill>
    </fill>
    <fill>
      <patternFill patternType="solid">
        <fgColor indexed="54"/>
        <bgColor indexed="54"/>
      </patternFill>
    </fill>
    <fill>
      <patternFill patternType="solid">
        <fgColor indexed="24"/>
        <bgColor indexed="24"/>
      </patternFill>
    </fill>
    <fill>
      <patternFill patternType="solid">
        <fgColor indexed="25"/>
        <bgColor indexed="25"/>
      </patternFill>
    </fill>
    <fill>
      <patternFill patternType="solid">
        <fgColor indexed="15"/>
        <bgColor indexed="15"/>
      </patternFill>
    </fill>
    <fill>
      <patternFill patternType="solid">
        <fgColor indexed="45"/>
        <bgColor indexed="45"/>
      </patternFill>
    </fill>
    <fill>
      <patternFill patternType="solid">
        <fgColor indexed="55"/>
        <bgColor indexed="55"/>
      </patternFill>
    </fill>
    <fill>
      <patternFill patternType="solid">
        <fgColor indexed="41"/>
        <bgColor indexed="41"/>
      </patternFill>
    </fill>
    <fill>
      <patternFill patternType="solid">
        <fgColor indexed="40"/>
        <bgColor indexed="40"/>
      </patternFill>
    </fill>
    <fill>
      <patternFill patternType="solid">
        <fgColor indexed="22"/>
        <bgColor indexed="22"/>
      </patternFill>
    </fill>
    <fill>
      <patternFill patternType="solid">
        <fgColor indexed="23"/>
        <bgColor indexed="23"/>
      </patternFill>
    </fill>
    <fill>
      <patternFill patternType="solid">
        <fgColor indexed="49"/>
        <bgColor indexed="49"/>
      </patternFill>
    </fill>
    <fill>
      <patternFill patternType="solid">
        <fgColor indexed="52"/>
        <bgColor indexed="52"/>
      </patternFill>
    </fill>
    <fill>
      <patternFill patternType="solid">
        <fgColor indexed="26"/>
        <bgColor indexed="26"/>
      </patternFill>
    </fill>
    <fill>
      <patternFill patternType="solid">
        <fgColor indexed="47"/>
        <bgColor indexed="47"/>
      </patternFill>
    </fill>
    <fill>
      <patternFill patternType="solid">
        <fgColor indexed="9"/>
        <bgColor indexed="9"/>
      </patternFill>
    </fill>
    <fill>
      <patternFill patternType="lightUp">
        <fgColor indexed="9"/>
        <bgColor indexed="55"/>
      </patternFill>
    </fill>
    <fill>
      <patternFill patternType="lightUp">
        <fgColor indexed="9"/>
        <bgColor indexed="29"/>
      </patternFill>
    </fill>
    <fill>
      <patternFill patternType="lightUp">
        <fgColor indexed="9"/>
        <bgColor indexed="57"/>
      </patternFill>
    </fill>
    <fill>
      <patternFill patternType="solid">
        <fgColor indexed="42"/>
        <bgColor indexed="42"/>
      </patternFill>
    </fill>
    <fill>
      <patternFill patternType="solid">
        <fgColor indexed="43"/>
      </patternFill>
    </fill>
    <fill>
      <patternFill patternType="solid">
        <fgColor indexed="10"/>
      </patternFill>
    </fill>
    <fill>
      <patternFill patternType="solid">
        <fgColor indexed="51"/>
      </patternFill>
    </fill>
    <fill>
      <patternFill patternType="solid">
        <fgColor indexed="52"/>
      </patternFill>
    </fill>
    <fill>
      <patternFill patternType="solid">
        <fgColor indexed="53"/>
      </patternFill>
    </fill>
    <fill>
      <patternFill patternType="solid">
        <fgColor indexed="50"/>
      </patternFill>
    </fill>
    <fill>
      <patternFill patternType="solid">
        <fgColor indexed="11"/>
      </patternFill>
    </fill>
    <fill>
      <patternFill patternType="lightUp">
        <fgColor indexed="48"/>
        <bgColor indexed="41"/>
      </patternFill>
    </fill>
    <fill>
      <patternFill patternType="solid">
        <fgColor indexed="41"/>
      </patternFill>
    </fill>
    <fill>
      <patternFill patternType="solid">
        <fgColor indexed="15"/>
      </patternFill>
    </fill>
    <fill>
      <patternFill patternType="solid">
        <fgColor indexed="9"/>
        <bgColor indexed="64"/>
      </patternFill>
    </fill>
    <fill>
      <patternFill patternType="solid">
        <fgColor indexed="65"/>
        <bgColor indexed="64"/>
      </patternFill>
    </fill>
    <fill>
      <patternFill patternType="solid">
        <fgColor indexed="55"/>
        <bgColor indexed="64"/>
      </patternFill>
    </fill>
    <fill>
      <patternFill patternType="solid">
        <fgColor indexed="23"/>
        <bgColor indexed="64"/>
      </patternFill>
    </fill>
    <fill>
      <patternFill patternType="solid">
        <fgColor theme="0"/>
        <bgColor indexed="64"/>
      </patternFill>
    </fill>
    <fill>
      <patternFill patternType="solid">
        <fgColor theme="0" tint="-0.14999847407452621"/>
        <bgColor indexed="64"/>
      </patternFill>
    </fill>
    <fill>
      <patternFill patternType="solid">
        <fgColor theme="2"/>
        <bgColor indexed="64"/>
      </patternFill>
    </fill>
    <fill>
      <patternFill patternType="solid">
        <fgColor theme="6" tint="0.59999389629810485"/>
        <bgColor indexed="64"/>
      </patternFill>
    </fill>
    <fill>
      <patternFill patternType="solid">
        <fgColor rgb="FFFFFF00"/>
        <bgColor indexed="64"/>
      </patternFill>
    </fill>
    <fill>
      <patternFill patternType="solid">
        <fgColor indexed="49"/>
      </patternFill>
    </fill>
    <fill>
      <patternFill patternType="solid">
        <fgColor rgb="FFFFFFFF"/>
        <bgColor indexed="64"/>
      </patternFill>
    </fill>
  </fills>
  <borders count="82">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8"/>
      </bottom>
      <diagonal/>
    </border>
    <border>
      <left/>
      <right/>
      <top/>
      <bottom style="thick">
        <color indexed="22"/>
      </bottom>
      <diagonal/>
    </border>
    <border>
      <left/>
      <right/>
      <top/>
      <bottom style="medium">
        <color indexed="24"/>
      </bottom>
      <diagonal/>
    </border>
    <border>
      <left/>
      <right/>
      <top/>
      <bottom style="double">
        <color indexed="5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style="thin">
        <color indexed="64"/>
      </left>
      <right style="thin">
        <color indexed="64"/>
      </right>
      <top style="thin">
        <color indexed="64"/>
      </top>
      <bottom style="thin">
        <color indexed="64"/>
      </bottom>
      <diagonal/>
    </border>
    <border>
      <left/>
      <right/>
      <top style="thin">
        <color indexed="48"/>
      </top>
      <bottom style="double">
        <color indexed="48"/>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style="double">
        <color indexed="64"/>
      </top>
      <bottom style="thin">
        <color indexed="64"/>
      </bottom>
      <diagonal/>
    </border>
    <border>
      <left/>
      <right/>
      <top style="thin">
        <color indexed="64"/>
      </top>
      <bottom/>
      <diagonal/>
    </border>
    <border>
      <left style="thin">
        <color indexed="64"/>
      </left>
      <right style="thin">
        <color indexed="64"/>
      </right>
      <top/>
      <bottom style="double">
        <color indexed="64"/>
      </bottom>
      <diagonal/>
    </border>
    <border>
      <left/>
      <right/>
      <top/>
      <bottom style="double">
        <color indexed="64"/>
      </bottom>
      <diagonal/>
    </border>
    <border>
      <left/>
      <right/>
      <top style="double">
        <color indexed="64"/>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top style="medium">
        <color indexed="64"/>
      </top>
      <bottom/>
      <diagonal/>
    </border>
    <border>
      <left/>
      <right style="thin">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top/>
      <bottom/>
      <diagonal/>
    </border>
    <border>
      <left/>
      <right style="thin">
        <color indexed="64"/>
      </right>
      <top/>
      <bottom/>
      <diagonal/>
    </border>
    <border>
      <left/>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right style="thin">
        <color indexed="64"/>
      </right>
      <top style="double">
        <color indexed="64"/>
      </top>
      <bottom style="thin">
        <color indexed="64"/>
      </bottom>
      <diagonal/>
    </border>
    <border>
      <left/>
      <right/>
      <top style="double">
        <color indexed="64"/>
      </top>
      <bottom/>
      <diagonal/>
    </border>
    <border>
      <left style="thin">
        <color indexed="64"/>
      </left>
      <right/>
      <top/>
      <bottom style="medium">
        <color indexed="64"/>
      </bottom>
      <diagonal/>
    </border>
    <border>
      <left style="medium">
        <color indexed="64"/>
      </left>
      <right style="thin">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medium">
        <color indexed="64"/>
      </right>
      <top style="medium">
        <color indexed="64"/>
      </top>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style="medium">
        <color indexed="64"/>
      </right>
      <top style="double">
        <color indexed="64"/>
      </top>
      <bottom/>
      <diagonal/>
    </border>
    <border>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theme="0"/>
      </left>
      <right/>
      <top/>
      <bottom/>
      <diagonal/>
    </border>
    <border>
      <left/>
      <right/>
      <top style="thick">
        <color theme="0"/>
      </top>
      <bottom/>
      <diagonal/>
    </border>
    <border>
      <left style="thin">
        <color theme="0"/>
      </left>
      <right/>
      <top style="thick">
        <color theme="0"/>
      </top>
      <bottom/>
      <diagonal/>
    </border>
    <border>
      <left style="thin">
        <color indexed="18"/>
      </left>
      <right style="thin">
        <color indexed="18"/>
      </right>
      <top style="thin">
        <color indexed="18"/>
      </top>
      <bottom style="thin">
        <color indexed="18"/>
      </bottom>
      <diagonal/>
    </border>
    <border>
      <left style="medium">
        <color indexed="64"/>
      </left>
      <right/>
      <top/>
      <bottom style="thin">
        <color indexed="64"/>
      </bottom>
      <diagonal/>
    </border>
    <border>
      <left style="thin">
        <color rgb="FF000000"/>
      </left>
      <right style="thin">
        <color rgb="FF000000"/>
      </right>
      <top style="thin">
        <color rgb="FF000000"/>
      </top>
      <bottom style="thin">
        <color rgb="FF000000"/>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top style="thin">
        <color indexed="64"/>
      </top>
      <bottom style="medium">
        <color indexed="64"/>
      </bottom>
      <diagonal/>
    </border>
  </borders>
  <cellStyleXfs count="892">
    <xf numFmtId="175" fontId="0" fillId="0" borderId="0"/>
    <xf numFmtId="175" fontId="17" fillId="2" borderId="0" applyNumberFormat="0" applyBorder="0" applyAlignment="0" applyProtection="0"/>
    <xf numFmtId="175" fontId="17" fillId="3" borderId="0" applyNumberFormat="0" applyBorder="0" applyAlignment="0" applyProtection="0"/>
    <xf numFmtId="175" fontId="17" fillId="4" borderId="0" applyNumberFormat="0" applyBorder="0" applyAlignment="0" applyProtection="0"/>
    <xf numFmtId="175" fontId="17" fillId="5" borderId="0" applyNumberFormat="0" applyBorder="0" applyAlignment="0" applyProtection="0"/>
    <xf numFmtId="175" fontId="17" fillId="6" borderId="0" applyNumberFormat="0" applyBorder="0" applyAlignment="0" applyProtection="0"/>
    <xf numFmtId="175" fontId="17" fillId="7" borderId="0" applyNumberFormat="0" applyBorder="0" applyAlignment="0" applyProtection="0"/>
    <xf numFmtId="175" fontId="17" fillId="8" borderId="0" applyNumberFormat="0" applyBorder="0" applyAlignment="0" applyProtection="0"/>
    <xf numFmtId="175" fontId="17" fillId="3" borderId="0" applyNumberFormat="0" applyBorder="0" applyAlignment="0" applyProtection="0"/>
    <xf numFmtId="175" fontId="17" fillId="9" borderId="0" applyNumberFormat="0" applyBorder="0" applyAlignment="0" applyProtection="0"/>
    <xf numFmtId="175" fontId="17" fillId="10" borderId="0" applyNumberFormat="0" applyBorder="0" applyAlignment="0" applyProtection="0"/>
    <xf numFmtId="175" fontId="17" fillId="8" borderId="0" applyNumberFormat="0" applyBorder="0" applyAlignment="0" applyProtection="0"/>
    <xf numFmtId="175" fontId="17" fillId="11" borderId="0" applyNumberFormat="0" applyBorder="0" applyAlignment="0" applyProtection="0"/>
    <xf numFmtId="175" fontId="18" fillId="8" borderId="0" applyNumberFormat="0" applyBorder="0" applyAlignment="0" applyProtection="0"/>
    <xf numFmtId="175" fontId="18" fillId="3" borderId="0" applyNumberFormat="0" applyBorder="0" applyAlignment="0" applyProtection="0"/>
    <xf numFmtId="175" fontId="18" fillId="9" borderId="0" applyNumberFormat="0" applyBorder="0" applyAlignment="0" applyProtection="0"/>
    <xf numFmtId="175" fontId="18" fillId="10" borderId="0" applyNumberFormat="0" applyBorder="0" applyAlignment="0" applyProtection="0"/>
    <xf numFmtId="175" fontId="18" fillId="8" borderId="0" applyNumberFormat="0" applyBorder="0" applyAlignment="0" applyProtection="0"/>
    <xf numFmtId="175" fontId="18" fillId="11" borderId="0" applyNumberFormat="0" applyBorder="0" applyAlignment="0" applyProtection="0"/>
    <xf numFmtId="175" fontId="19" fillId="12" borderId="0" applyNumberFormat="0" applyBorder="0" applyAlignment="0" applyProtection="0"/>
    <xf numFmtId="175" fontId="20" fillId="13" borderId="0" applyNumberFormat="0" applyBorder="0" applyAlignment="0" applyProtection="0"/>
    <xf numFmtId="175" fontId="20" fillId="14" borderId="0" applyNumberFormat="0" applyBorder="0" applyAlignment="0" applyProtection="0"/>
    <xf numFmtId="175" fontId="19" fillId="15" borderId="0" applyNumberFormat="0" applyBorder="0" applyAlignment="0" applyProtection="0"/>
    <xf numFmtId="175" fontId="19" fillId="16" borderId="0" applyNumberFormat="0" applyBorder="0" applyAlignment="0" applyProtection="0"/>
    <xf numFmtId="175" fontId="20" fillId="17" borderId="0" applyNumberFormat="0" applyBorder="0" applyAlignment="0" applyProtection="0"/>
    <xf numFmtId="175" fontId="20" fillId="18" borderId="0" applyNumberFormat="0" applyBorder="0" applyAlignment="0" applyProtection="0"/>
    <xf numFmtId="175" fontId="19" fillId="19" borderId="0" applyNumberFormat="0" applyBorder="0" applyAlignment="0" applyProtection="0"/>
    <xf numFmtId="175" fontId="19" fillId="19" borderId="0" applyNumberFormat="0" applyBorder="0" applyAlignment="0" applyProtection="0"/>
    <xf numFmtId="175" fontId="20" fillId="20" borderId="0" applyNumberFormat="0" applyBorder="0" applyAlignment="0" applyProtection="0"/>
    <xf numFmtId="175" fontId="20" fillId="21" borderId="0" applyNumberFormat="0" applyBorder="0" applyAlignment="0" applyProtection="0"/>
    <xf numFmtId="175" fontId="19" fillId="22" borderId="0" applyNumberFormat="0" applyBorder="0" applyAlignment="0" applyProtection="0"/>
    <xf numFmtId="175" fontId="19" fillId="23" borderId="0" applyNumberFormat="0" applyBorder="0" applyAlignment="0" applyProtection="0"/>
    <xf numFmtId="175" fontId="20" fillId="21" borderId="0" applyNumberFormat="0" applyBorder="0" applyAlignment="0" applyProtection="0"/>
    <xf numFmtId="175" fontId="20" fillId="22" borderId="0" applyNumberFormat="0" applyBorder="0" applyAlignment="0" applyProtection="0"/>
    <xf numFmtId="175" fontId="19" fillId="22" borderId="0" applyNumberFormat="0" applyBorder="0" applyAlignment="0" applyProtection="0"/>
    <xf numFmtId="175" fontId="19" fillId="24" borderId="0" applyNumberFormat="0" applyBorder="0" applyAlignment="0" applyProtection="0"/>
    <xf numFmtId="175" fontId="20" fillId="13" borderId="0" applyNumberFormat="0" applyBorder="0" applyAlignment="0" applyProtection="0"/>
    <xf numFmtId="175" fontId="20" fillId="14" borderId="0" applyNumberFormat="0" applyBorder="0" applyAlignment="0" applyProtection="0"/>
    <xf numFmtId="175" fontId="19" fillId="14" borderId="0" applyNumberFormat="0" applyBorder="0" applyAlignment="0" applyProtection="0"/>
    <xf numFmtId="175" fontId="19" fillId="25" borderId="0" applyNumberFormat="0" applyBorder="0" applyAlignment="0" applyProtection="0"/>
    <xf numFmtId="175" fontId="20" fillId="26" borderId="0" applyNumberFormat="0" applyBorder="0" applyAlignment="0" applyProtection="0"/>
    <xf numFmtId="175" fontId="20" fillId="18" borderId="0" applyNumberFormat="0" applyBorder="0" applyAlignment="0" applyProtection="0"/>
    <xf numFmtId="175" fontId="19" fillId="27" borderId="0" applyNumberFormat="0" applyBorder="0" applyAlignment="0" applyProtection="0"/>
    <xf numFmtId="175" fontId="21" fillId="18" borderId="0" applyNumberFormat="0" applyBorder="0" applyAlignment="0" applyProtection="0"/>
    <xf numFmtId="175" fontId="22" fillId="28" borderId="1" applyNumberFormat="0" applyAlignment="0" applyProtection="0"/>
    <xf numFmtId="175" fontId="23" fillId="19" borderId="2" applyNumberFormat="0" applyAlignment="0" applyProtection="0"/>
    <xf numFmtId="43" fontId="13" fillId="0" borderId="0" applyFont="0" applyFill="0" applyBorder="0" applyAlignment="0" applyProtection="0"/>
    <xf numFmtId="43" fontId="48" fillId="0" borderId="0" applyFont="0" applyFill="0" applyBorder="0" applyAlignment="0" applyProtection="0"/>
    <xf numFmtId="43" fontId="13" fillId="0" borderId="0" applyFont="0" applyFill="0" applyBorder="0" applyAlignment="0" applyProtection="0"/>
    <xf numFmtId="44" fontId="48" fillId="0" borderId="0" applyFont="0" applyFill="0" applyBorder="0" applyAlignment="0" applyProtection="0"/>
    <xf numFmtId="44" fontId="13" fillId="0" borderId="0" applyFont="0" applyFill="0" applyBorder="0" applyAlignment="0" applyProtection="0"/>
    <xf numFmtId="44" fontId="49" fillId="0" borderId="0" applyFont="0" applyFill="0" applyBorder="0" applyAlignment="0" applyProtection="0"/>
    <xf numFmtId="44" fontId="13" fillId="0" borderId="0" applyFont="0" applyFill="0" applyBorder="0" applyAlignment="0" applyProtection="0"/>
    <xf numFmtId="44" fontId="49" fillId="0" borderId="0" applyFont="0" applyFill="0" applyBorder="0" applyAlignment="0" applyProtection="0"/>
    <xf numFmtId="175" fontId="24" fillId="29" borderId="0" applyNumberFormat="0" applyBorder="0" applyAlignment="0" applyProtection="0"/>
    <xf numFmtId="175" fontId="24" fillId="30" borderId="0" applyNumberFormat="0" applyBorder="0" applyAlignment="0" applyProtection="0"/>
    <xf numFmtId="175" fontId="24" fillId="31" borderId="0" applyNumberFormat="0" applyBorder="0" applyAlignment="0" applyProtection="0"/>
    <xf numFmtId="175" fontId="25" fillId="0" borderId="0" applyNumberFormat="0" applyFill="0" applyBorder="0" applyAlignment="0" applyProtection="0"/>
    <xf numFmtId="175" fontId="26" fillId="32" borderId="0" applyNumberFormat="0" applyBorder="0" applyAlignment="0" applyProtection="0"/>
    <xf numFmtId="175" fontId="27" fillId="0" borderId="3" applyNumberFormat="0" applyFill="0" applyAlignment="0" applyProtection="0"/>
    <xf numFmtId="175" fontId="28" fillId="0" borderId="4" applyNumberFormat="0" applyFill="0" applyAlignment="0" applyProtection="0"/>
    <xf numFmtId="175" fontId="29" fillId="0" borderId="5" applyNumberFormat="0" applyFill="0" applyAlignment="0" applyProtection="0"/>
    <xf numFmtId="175" fontId="29" fillId="0" borderId="0" applyNumberFormat="0" applyFill="0" applyBorder="0" applyAlignment="0" applyProtection="0"/>
    <xf numFmtId="175" fontId="30" fillId="27" borderId="1" applyNumberFormat="0" applyAlignment="0" applyProtection="0"/>
    <xf numFmtId="175" fontId="31" fillId="0" borderId="6" applyNumberFormat="0" applyFill="0" applyAlignment="0" applyProtection="0"/>
    <xf numFmtId="175" fontId="32" fillId="27" borderId="0" applyNumberFormat="0" applyBorder="0" applyAlignment="0" applyProtection="0"/>
    <xf numFmtId="175" fontId="13" fillId="0" borderId="0"/>
    <xf numFmtId="175" fontId="15" fillId="0" borderId="0"/>
    <xf numFmtId="175" fontId="13" fillId="26" borderId="7" applyNumberFormat="0" applyFont="0" applyAlignment="0" applyProtection="0"/>
    <xf numFmtId="175" fontId="33" fillId="28" borderId="8" applyNumberFormat="0" applyAlignment="0" applyProtection="0"/>
    <xf numFmtId="9" fontId="48" fillId="0" borderId="0" applyFont="0" applyFill="0" applyBorder="0" applyAlignment="0" applyProtection="0"/>
    <xf numFmtId="9" fontId="13" fillId="0" borderId="0" applyFont="0" applyFill="0" applyBorder="0" applyAlignment="0" applyProtection="0"/>
    <xf numFmtId="4" fontId="34" fillId="33" borderId="9" applyNumberFormat="0" applyProtection="0">
      <alignment vertical="center"/>
    </xf>
    <xf numFmtId="4" fontId="35" fillId="33" borderId="9" applyNumberFormat="0" applyProtection="0">
      <alignment vertical="center"/>
    </xf>
    <xf numFmtId="4" fontId="34" fillId="33" borderId="9" applyNumberFormat="0" applyProtection="0">
      <alignment horizontal="left" vertical="center" indent="1"/>
    </xf>
    <xf numFmtId="175" fontId="34" fillId="33" borderId="9" applyNumberFormat="0" applyProtection="0">
      <alignment horizontal="left" vertical="top" indent="1"/>
    </xf>
    <xf numFmtId="4" fontId="34" fillId="2" borderId="0" applyNumberFormat="0" applyProtection="0">
      <alignment horizontal="left" vertical="center" indent="1"/>
    </xf>
    <xf numFmtId="4" fontId="17" fillId="7" borderId="9" applyNumberFormat="0" applyProtection="0">
      <alignment horizontal="right" vertical="center"/>
    </xf>
    <xf numFmtId="4" fontId="17" fillId="3" borderId="9" applyNumberFormat="0" applyProtection="0">
      <alignment horizontal="right" vertical="center"/>
    </xf>
    <xf numFmtId="4" fontId="17" fillId="34" borderId="9" applyNumberFormat="0" applyProtection="0">
      <alignment horizontal="right" vertical="center"/>
    </xf>
    <xf numFmtId="4" fontId="17" fillId="35" borderId="9" applyNumberFormat="0" applyProtection="0">
      <alignment horizontal="right" vertical="center"/>
    </xf>
    <xf numFmtId="4" fontId="17" fillId="36" borderId="9" applyNumberFormat="0" applyProtection="0">
      <alignment horizontal="right" vertical="center"/>
    </xf>
    <xf numFmtId="4" fontId="17" fillId="37" borderId="9" applyNumberFormat="0" applyProtection="0">
      <alignment horizontal="right" vertical="center"/>
    </xf>
    <xf numFmtId="4" fontId="17" fillId="9" borderId="9" applyNumberFormat="0" applyProtection="0">
      <alignment horizontal="right" vertical="center"/>
    </xf>
    <xf numFmtId="4" fontId="17" fillId="38" borderId="9" applyNumberFormat="0" applyProtection="0">
      <alignment horizontal="right" vertical="center"/>
    </xf>
    <xf numFmtId="4" fontId="17" fillId="39" borderId="9" applyNumberFormat="0" applyProtection="0">
      <alignment horizontal="right" vertical="center"/>
    </xf>
    <xf numFmtId="4" fontId="34" fillId="40" borderId="10" applyNumberFormat="0" applyProtection="0">
      <alignment horizontal="left" vertical="center" indent="1"/>
    </xf>
    <xf numFmtId="4" fontId="17" fillId="41" borderId="0" applyNumberFormat="0" applyProtection="0">
      <alignment horizontal="left" vertical="center" indent="1"/>
    </xf>
    <xf numFmtId="4" fontId="36" fillId="8" borderId="0" applyNumberFormat="0" applyProtection="0">
      <alignment horizontal="left" vertical="center" indent="1"/>
    </xf>
    <xf numFmtId="4" fontId="17" fillId="2" borderId="9" applyNumberFormat="0" applyProtection="0">
      <alignment horizontal="right" vertical="center"/>
    </xf>
    <xf numFmtId="4" fontId="15" fillId="41" borderId="0" applyNumberFormat="0" applyProtection="0">
      <alignment horizontal="left" vertical="center" indent="1"/>
    </xf>
    <xf numFmtId="4" fontId="15" fillId="2" borderId="0" applyNumberFormat="0" applyProtection="0">
      <alignment horizontal="left" vertical="center" indent="1"/>
    </xf>
    <xf numFmtId="175" fontId="13" fillId="8" borderId="9" applyNumberFormat="0" applyProtection="0">
      <alignment horizontal="left" vertical="center" indent="1"/>
    </xf>
    <xf numFmtId="175" fontId="13" fillId="8" borderId="9" applyNumberFormat="0" applyProtection="0">
      <alignment horizontal="left" vertical="top" indent="1"/>
    </xf>
    <xf numFmtId="175" fontId="13" fillId="2" borderId="9" applyNumberFormat="0" applyProtection="0">
      <alignment horizontal="left" vertical="center" indent="1"/>
    </xf>
    <xf numFmtId="175" fontId="13" fillId="2" borderId="9" applyNumberFormat="0" applyProtection="0">
      <alignment horizontal="left" vertical="top" indent="1"/>
    </xf>
    <xf numFmtId="175" fontId="13" fillId="6" borderId="9" applyNumberFormat="0" applyProtection="0">
      <alignment horizontal="left" vertical="center" indent="1"/>
    </xf>
    <xf numFmtId="175" fontId="13" fillId="6" borderId="9" applyNumberFormat="0" applyProtection="0">
      <alignment horizontal="left" vertical="top" indent="1"/>
    </xf>
    <xf numFmtId="175" fontId="13" fillId="41" borderId="9" applyNumberFormat="0" applyProtection="0">
      <alignment horizontal="left" vertical="center" indent="1"/>
    </xf>
    <xf numFmtId="175" fontId="13" fillId="41" borderId="9" applyNumberFormat="0" applyProtection="0">
      <alignment horizontal="left" vertical="top" indent="1"/>
    </xf>
    <xf numFmtId="175" fontId="13" fillId="5" borderId="11" applyNumberFormat="0">
      <protection locked="0"/>
    </xf>
    <xf numFmtId="4" fontId="17" fillId="4" borderId="9" applyNumberFormat="0" applyProtection="0">
      <alignment vertical="center"/>
    </xf>
    <xf numFmtId="4" fontId="37" fillId="4" borderId="9" applyNumberFormat="0" applyProtection="0">
      <alignment vertical="center"/>
    </xf>
    <xf numFmtId="4" fontId="17" fillId="4" borderId="9" applyNumberFormat="0" applyProtection="0">
      <alignment horizontal="left" vertical="center" indent="1"/>
    </xf>
    <xf numFmtId="175" fontId="17" fillId="4" borderId="9" applyNumberFormat="0" applyProtection="0">
      <alignment horizontal="left" vertical="top" indent="1"/>
    </xf>
    <xf numFmtId="4" fontId="17" fillId="41" borderId="9" applyNumberFormat="0" applyProtection="0">
      <alignment horizontal="right" vertical="center"/>
    </xf>
    <xf numFmtId="4" fontId="37" fillId="41" borderId="9" applyNumberFormat="0" applyProtection="0">
      <alignment horizontal="right" vertical="center"/>
    </xf>
    <xf numFmtId="4" fontId="17" fillId="2" borderId="9" applyNumberFormat="0" applyProtection="0">
      <alignment horizontal="left" vertical="center" indent="1"/>
    </xf>
    <xf numFmtId="175" fontId="17" fillId="2" borderId="9" applyNumberFormat="0" applyProtection="0">
      <alignment horizontal="left" vertical="top" indent="1"/>
    </xf>
    <xf numFmtId="4" fontId="38" fillId="42" borderId="0" applyNumberFormat="0" applyProtection="0">
      <alignment horizontal="left" vertical="center" indent="1"/>
    </xf>
    <xf numFmtId="4" fontId="39" fillId="41" borderId="9" applyNumberFormat="0" applyProtection="0">
      <alignment horizontal="right" vertical="center"/>
    </xf>
    <xf numFmtId="175" fontId="40" fillId="0" borderId="0" applyNumberFormat="0" applyFill="0" applyBorder="0" applyAlignment="0" applyProtection="0"/>
    <xf numFmtId="175" fontId="40" fillId="0" borderId="0" applyNumberFormat="0" applyFill="0" applyBorder="0" applyAlignment="0" applyProtection="0"/>
    <xf numFmtId="175" fontId="24" fillId="0" borderId="12" applyNumberFormat="0" applyFill="0" applyAlignment="0" applyProtection="0"/>
    <xf numFmtId="175" fontId="41" fillId="0" borderId="0" applyNumberFormat="0" applyFill="0" applyBorder="0" applyAlignment="0" applyProtection="0"/>
    <xf numFmtId="175" fontId="15" fillId="2" borderId="0" applyNumberFormat="0" applyBorder="0" applyAlignment="0" applyProtection="0"/>
    <xf numFmtId="175" fontId="15" fillId="3" borderId="0" applyNumberFormat="0" applyBorder="0" applyAlignment="0" applyProtection="0"/>
    <xf numFmtId="175" fontId="15" fillId="4" borderId="0" applyNumberFormat="0" applyBorder="0" applyAlignment="0" applyProtection="0"/>
    <xf numFmtId="175" fontId="15" fillId="5" borderId="0" applyNumberFormat="0" applyBorder="0" applyAlignment="0" applyProtection="0"/>
    <xf numFmtId="175" fontId="15" fillId="6" borderId="0" applyNumberFormat="0" applyBorder="0" applyAlignment="0" applyProtection="0"/>
    <xf numFmtId="175" fontId="15" fillId="7" borderId="0" applyNumberFormat="0" applyBorder="0" applyAlignment="0" applyProtection="0"/>
    <xf numFmtId="175" fontId="15" fillId="8" borderId="0" applyNumberFormat="0" applyBorder="0" applyAlignment="0" applyProtection="0"/>
    <xf numFmtId="175" fontId="15" fillId="3" borderId="0" applyNumberFormat="0" applyBorder="0" applyAlignment="0" applyProtection="0"/>
    <xf numFmtId="175" fontId="15" fillId="9" borderId="0" applyNumberFormat="0" applyBorder="0" applyAlignment="0" applyProtection="0"/>
    <xf numFmtId="175" fontId="15" fillId="10" borderId="0" applyNumberFormat="0" applyBorder="0" applyAlignment="0" applyProtection="0"/>
    <xf numFmtId="175" fontId="15" fillId="8" borderId="0" applyNumberFormat="0" applyBorder="0" applyAlignment="0" applyProtection="0"/>
    <xf numFmtId="175" fontId="15" fillId="11" borderId="0" applyNumberFormat="0" applyBorder="0" applyAlignment="0" applyProtection="0"/>
    <xf numFmtId="44" fontId="13" fillId="0" borderId="0" applyFont="0" applyFill="0" applyBorder="0" applyAlignment="0" applyProtection="0"/>
    <xf numFmtId="4" fontId="15" fillId="7" borderId="9" applyNumberFormat="0" applyProtection="0">
      <alignment horizontal="right" vertical="center"/>
    </xf>
    <xf numFmtId="4" fontId="15" fillId="3" borderId="9" applyNumberFormat="0" applyProtection="0">
      <alignment horizontal="right" vertical="center"/>
    </xf>
    <xf numFmtId="4" fontId="15" fillId="34" borderId="9" applyNumberFormat="0" applyProtection="0">
      <alignment horizontal="right" vertical="center"/>
    </xf>
    <xf numFmtId="4" fontId="15" fillId="35" borderId="9" applyNumberFormat="0" applyProtection="0">
      <alignment horizontal="right" vertical="center"/>
    </xf>
    <xf numFmtId="4" fontId="15" fillId="36" borderId="9" applyNumberFormat="0" applyProtection="0">
      <alignment horizontal="right" vertical="center"/>
    </xf>
    <xf numFmtId="4" fontId="15" fillId="37" borderId="9" applyNumberFormat="0" applyProtection="0">
      <alignment horizontal="right" vertical="center"/>
    </xf>
    <xf numFmtId="4" fontId="15" fillId="9" borderId="9" applyNumberFormat="0" applyProtection="0">
      <alignment horizontal="right" vertical="center"/>
    </xf>
    <xf numFmtId="4" fontId="15" fillId="38" borderId="9" applyNumberFormat="0" applyProtection="0">
      <alignment horizontal="right" vertical="center"/>
    </xf>
    <xf numFmtId="4" fontId="15" fillId="39" borderId="9" applyNumberFormat="0" applyProtection="0">
      <alignment horizontal="right" vertical="center"/>
    </xf>
    <xf numFmtId="4" fontId="15" fillId="41" borderId="0" applyNumberFormat="0" applyProtection="0">
      <alignment horizontal="left" vertical="center" indent="1"/>
    </xf>
    <xf numFmtId="4" fontId="15" fillId="2" borderId="9" applyNumberFormat="0" applyProtection="0">
      <alignment horizontal="right" vertical="center"/>
    </xf>
    <xf numFmtId="4" fontId="15" fillId="4" borderId="9" applyNumberFormat="0" applyProtection="0">
      <alignment vertical="center"/>
    </xf>
    <xf numFmtId="4" fontId="15" fillId="4" borderId="9" applyNumberFormat="0" applyProtection="0">
      <alignment horizontal="left" vertical="center" indent="1"/>
    </xf>
    <xf numFmtId="175" fontId="15" fillId="4" borderId="9" applyNumberFormat="0" applyProtection="0">
      <alignment horizontal="left" vertical="top" indent="1"/>
    </xf>
    <xf numFmtId="4" fontId="15" fillId="41" borderId="9" applyNumberFormat="0" applyProtection="0">
      <alignment horizontal="right" vertical="center"/>
    </xf>
    <xf numFmtId="4" fontId="15" fillId="2" borderId="9" applyNumberFormat="0" applyProtection="0">
      <alignment horizontal="left" vertical="center" indent="1"/>
    </xf>
    <xf numFmtId="175" fontId="15" fillId="2" borderId="9" applyNumberFormat="0" applyProtection="0">
      <alignment horizontal="left" vertical="top" indent="1"/>
    </xf>
    <xf numFmtId="9" fontId="55" fillId="0" borderId="0" applyFont="0" applyFill="0" applyBorder="0" applyAlignment="0" applyProtection="0"/>
    <xf numFmtId="175" fontId="57" fillId="0" borderId="0"/>
    <xf numFmtId="175" fontId="12" fillId="0" borderId="0"/>
    <xf numFmtId="175" fontId="13" fillId="0" borderId="0"/>
    <xf numFmtId="175" fontId="15" fillId="2" borderId="0" applyNumberFormat="0" applyBorder="0" applyAlignment="0" applyProtection="0"/>
    <xf numFmtId="175" fontId="15" fillId="3" borderId="0" applyNumberFormat="0" applyBorder="0" applyAlignment="0" applyProtection="0"/>
    <xf numFmtId="175" fontId="15" fillId="4" borderId="0" applyNumberFormat="0" applyBorder="0" applyAlignment="0" applyProtection="0"/>
    <xf numFmtId="175" fontId="15" fillId="5" borderId="0" applyNumberFormat="0" applyBorder="0" applyAlignment="0" applyProtection="0"/>
    <xf numFmtId="175" fontId="15" fillId="6" borderId="0" applyNumberFormat="0" applyBorder="0" applyAlignment="0" applyProtection="0"/>
    <xf numFmtId="175" fontId="15" fillId="7" borderId="0" applyNumberFormat="0" applyBorder="0" applyAlignment="0" applyProtection="0"/>
    <xf numFmtId="175" fontId="15" fillId="8" borderId="0" applyNumberFormat="0" applyBorder="0" applyAlignment="0" applyProtection="0"/>
    <xf numFmtId="175" fontId="15" fillId="3" borderId="0" applyNumberFormat="0" applyBorder="0" applyAlignment="0" applyProtection="0"/>
    <xf numFmtId="175" fontId="15" fillId="9" borderId="0" applyNumberFormat="0" applyBorder="0" applyAlignment="0" applyProtection="0"/>
    <xf numFmtId="175" fontId="15" fillId="10" borderId="0" applyNumberFormat="0" applyBorder="0" applyAlignment="0" applyProtection="0"/>
    <xf numFmtId="175" fontId="15" fillId="8" borderId="0" applyNumberFormat="0" applyBorder="0" applyAlignment="0" applyProtection="0"/>
    <xf numFmtId="175" fontId="15" fillId="11" borderId="0" applyNumberFormat="0" applyBorder="0" applyAlignment="0" applyProtection="0"/>
    <xf numFmtId="175" fontId="18" fillId="8" borderId="0" applyNumberFormat="0" applyBorder="0" applyAlignment="0" applyProtection="0"/>
    <xf numFmtId="175" fontId="18" fillId="3" borderId="0" applyNumberFormat="0" applyBorder="0" applyAlignment="0" applyProtection="0"/>
    <xf numFmtId="175" fontId="18" fillId="9" borderId="0" applyNumberFormat="0" applyBorder="0" applyAlignment="0" applyProtection="0"/>
    <xf numFmtId="175" fontId="18" fillId="10" borderId="0" applyNumberFormat="0" applyBorder="0" applyAlignment="0" applyProtection="0"/>
    <xf numFmtId="175" fontId="18" fillId="8" borderId="0" applyNumberFormat="0" applyBorder="0" applyAlignment="0" applyProtection="0"/>
    <xf numFmtId="175" fontId="18" fillId="11" borderId="0" applyNumberFormat="0" applyBorder="0" applyAlignment="0" applyProtection="0"/>
    <xf numFmtId="175" fontId="19" fillId="12" borderId="0" applyNumberFormat="0" applyBorder="0" applyAlignment="0" applyProtection="0"/>
    <xf numFmtId="175" fontId="19" fillId="16" borderId="0" applyNumberFormat="0" applyBorder="0" applyAlignment="0" applyProtection="0"/>
    <xf numFmtId="175" fontId="19" fillId="19" borderId="0" applyNumberFormat="0" applyBorder="0" applyAlignment="0" applyProtection="0"/>
    <xf numFmtId="175" fontId="19" fillId="23" borderId="0" applyNumberFormat="0" applyBorder="0" applyAlignment="0" applyProtection="0"/>
    <xf numFmtId="175" fontId="19" fillId="24" borderId="0" applyNumberFormat="0" applyBorder="0" applyAlignment="0" applyProtection="0"/>
    <xf numFmtId="175" fontId="19" fillId="25" borderId="0" applyNumberFormat="0" applyBorder="0" applyAlignment="0" applyProtection="0"/>
    <xf numFmtId="175" fontId="21" fillId="18" borderId="0" applyNumberFormat="0" applyBorder="0" applyAlignment="0" applyProtection="0"/>
    <xf numFmtId="175" fontId="22" fillId="28" borderId="1" applyNumberFormat="0" applyAlignment="0" applyProtection="0"/>
    <xf numFmtId="175" fontId="23" fillId="19" borderId="2" applyNumberFormat="0" applyAlignment="0" applyProtection="0"/>
    <xf numFmtId="43" fontId="13" fillId="0" borderId="0" applyFont="0" applyFill="0" applyBorder="0" applyAlignment="0" applyProtection="0"/>
    <xf numFmtId="175" fontId="25" fillId="0" borderId="0" applyNumberFormat="0" applyFill="0" applyBorder="0" applyAlignment="0" applyProtection="0"/>
    <xf numFmtId="175" fontId="26" fillId="32" borderId="0" applyNumberFormat="0" applyBorder="0" applyAlignment="0" applyProtection="0"/>
    <xf numFmtId="175" fontId="27" fillId="0" borderId="3" applyNumberFormat="0" applyFill="0" applyAlignment="0" applyProtection="0"/>
    <xf numFmtId="175" fontId="28" fillId="0" borderId="4" applyNumberFormat="0" applyFill="0" applyAlignment="0" applyProtection="0"/>
    <xf numFmtId="175" fontId="29" fillId="0" borderId="5" applyNumberFormat="0" applyFill="0" applyAlignment="0" applyProtection="0"/>
    <xf numFmtId="175" fontId="29" fillId="0" borderId="0" applyNumberFormat="0" applyFill="0" applyBorder="0" applyAlignment="0" applyProtection="0"/>
    <xf numFmtId="175" fontId="30" fillId="27" borderId="1" applyNumberFormat="0" applyAlignment="0" applyProtection="0"/>
    <xf numFmtId="175" fontId="31" fillId="0" borderId="6" applyNumberFormat="0" applyFill="0" applyAlignment="0" applyProtection="0"/>
    <xf numFmtId="175" fontId="32" fillId="27" borderId="0" applyNumberFormat="0" applyBorder="0" applyAlignment="0" applyProtection="0"/>
    <xf numFmtId="175" fontId="13" fillId="26" borderId="7" applyNumberFormat="0" applyFont="0" applyAlignment="0" applyProtection="0"/>
    <xf numFmtId="175" fontId="33" fillId="28" borderId="8" applyNumberFormat="0" applyAlignment="0" applyProtection="0"/>
    <xf numFmtId="175" fontId="40" fillId="0" borderId="0" applyNumberFormat="0" applyFill="0" applyBorder="0" applyAlignment="0" applyProtection="0"/>
    <xf numFmtId="175" fontId="24" fillId="0" borderId="12" applyNumberFormat="0" applyFill="0" applyAlignment="0" applyProtection="0"/>
    <xf numFmtId="175" fontId="41" fillId="0" borderId="0" applyNumberFormat="0" applyFill="0" applyBorder="0" applyAlignment="0" applyProtection="0"/>
    <xf numFmtId="9" fontId="13" fillId="0" borderId="0" applyFont="0" applyFill="0" applyBorder="0" applyAlignment="0" applyProtection="0"/>
    <xf numFmtId="175" fontId="13" fillId="0" borderId="0"/>
    <xf numFmtId="175" fontId="11" fillId="0" borderId="0"/>
    <xf numFmtId="175" fontId="58" fillId="0" borderId="0"/>
    <xf numFmtId="175" fontId="15" fillId="2" borderId="0" applyNumberFormat="0" applyBorder="0" applyAlignment="0" applyProtection="0"/>
    <xf numFmtId="175" fontId="15" fillId="3" borderId="0" applyNumberFormat="0" applyBorder="0" applyAlignment="0" applyProtection="0"/>
    <xf numFmtId="175" fontId="15" fillId="4" borderId="0" applyNumberFormat="0" applyBorder="0" applyAlignment="0" applyProtection="0"/>
    <xf numFmtId="175" fontId="15" fillId="5" borderId="0" applyNumberFormat="0" applyBorder="0" applyAlignment="0" applyProtection="0"/>
    <xf numFmtId="175" fontId="15" fillId="6" borderId="0" applyNumberFormat="0" applyBorder="0" applyAlignment="0" applyProtection="0"/>
    <xf numFmtId="175" fontId="15" fillId="7" borderId="0" applyNumberFormat="0" applyBorder="0" applyAlignment="0" applyProtection="0"/>
    <xf numFmtId="175" fontId="15" fillId="8" borderId="0" applyNumberFormat="0" applyBorder="0" applyAlignment="0" applyProtection="0"/>
    <xf numFmtId="175" fontId="15" fillId="3" borderId="0" applyNumberFormat="0" applyBorder="0" applyAlignment="0" applyProtection="0"/>
    <xf numFmtId="175" fontId="15" fillId="9" borderId="0" applyNumberFormat="0" applyBorder="0" applyAlignment="0" applyProtection="0"/>
    <xf numFmtId="175" fontId="15" fillId="10" borderId="0" applyNumberFormat="0" applyBorder="0" applyAlignment="0" applyProtection="0"/>
    <xf numFmtId="175" fontId="15" fillId="8" borderId="0" applyNumberFormat="0" applyBorder="0" applyAlignment="0" applyProtection="0"/>
    <xf numFmtId="175" fontId="15" fillId="11" borderId="0" applyNumberFormat="0" applyBorder="0" applyAlignment="0" applyProtection="0"/>
    <xf numFmtId="175" fontId="18" fillId="8" borderId="0" applyNumberFormat="0" applyBorder="0" applyAlignment="0" applyProtection="0"/>
    <xf numFmtId="175" fontId="18" fillId="3" borderId="0" applyNumberFormat="0" applyBorder="0" applyAlignment="0" applyProtection="0"/>
    <xf numFmtId="175" fontId="18" fillId="9" borderId="0" applyNumberFormat="0" applyBorder="0" applyAlignment="0" applyProtection="0"/>
    <xf numFmtId="175" fontId="18" fillId="10" borderId="0" applyNumberFormat="0" applyBorder="0" applyAlignment="0" applyProtection="0"/>
    <xf numFmtId="175" fontId="18" fillId="8" borderId="0" applyNumberFormat="0" applyBorder="0" applyAlignment="0" applyProtection="0"/>
    <xf numFmtId="175" fontId="18" fillId="11" borderId="0" applyNumberFormat="0" applyBorder="0" applyAlignment="0" applyProtection="0"/>
    <xf numFmtId="175" fontId="19" fillId="12" borderId="0" applyNumberFormat="0" applyBorder="0" applyAlignment="0" applyProtection="0"/>
    <xf numFmtId="175" fontId="19" fillId="16" borderId="0" applyNumberFormat="0" applyBorder="0" applyAlignment="0" applyProtection="0"/>
    <xf numFmtId="175" fontId="19" fillId="19" borderId="0" applyNumberFormat="0" applyBorder="0" applyAlignment="0" applyProtection="0"/>
    <xf numFmtId="175" fontId="19" fillId="23" borderId="0" applyNumberFormat="0" applyBorder="0" applyAlignment="0" applyProtection="0"/>
    <xf numFmtId="175" fontId="19" fillId="24" borderId="0" applyNumberFormat="0" applyBorder="0" applyAlignment="0" applyProtection="0"/>
    <xf numFmtId="175" fontId="19" fillId="25" borderId="0" applyNumberFormat="0" applyBorder="0" applyAlignment="0" applyProtection="0"/>
    <xf numFmtId="175" fontId="21" fillId="18" borderId="0" applyNumberFormat="0" applyBorder="0" applyAlignment="0" applyProtection="0"/>
    <xf numFmtId="175" fontId="22" fillId="28" borderId="1" applyNumberFormat="0" applyAlignment="0" applyProtection="0"/>
    <xf numFmtId="175" fontId="23" fillId="19" borderId="2" applyNumberFormat="0" applyAlignment="0" applyProtection="0"/>
    <xf numFmtId="43" fontId="13" fillId="0" borderId="0" applyFont="0" applyFill="0" applyBorder="0" applyAlignment="0" applyProtection="0"/>
    <xf numFmtId="175" fontId="25" fillId="0" borderId="0" applyNumberFormat="0" applyFill="0" applyBorder="0" applyAlignment="0" applyProtection="0"/>
    <xf numFmtId="175" fontId="26" fillId="32" borderId="0" applyNumberFormat="0" applyBorder="0" applyAlignment="0" applyProtection="0"/>
    <xf numFmtId="175" fontId="27" fillId="0" borderId="3" applyNumberFormat="0" applyFill="0" applyAlignment="0" applyProtection="0"/>
    <xf numFmtId="175" fontId="28" fillId="0" borderId="4" applyNumberFormat="0" applyFill="0" applyAlignment="0" applyProtection="0"/>
    <xf numFmtId="175" fontId="29" fillId="0" borderId="5" applyNumberFormat="0" applyFill="0" applyAlignment="0" applyProtection="0"/>
    <xf numFmtId="175" fontId="29" fillId="0" borderId="0" applyNumberFormat="0" applyFill="0" applyBorder="0" applyAlignment="0" applyProtection="0"/>
    <xf numFmtId="175" fontId="30" fillId="27" borderId="1" applyNumberFormat="0" applyAlignment="0" applyProtection="0"/>
    <xf numFmtId="175" fontId="31" fillId="0" borderId="6" applyNumberFormat="0" applyFill="0" applyAlignment="0" applyProtection="0"/>
    <xf numFmtId="175" fontId="32" fillId="27" borderId="0" applyNumberFormat="0" applyBorder="0" applyAlignment="0" applyProtection="0"/>
    <xf numFmtId="175" fontId="13" fillId="26" borderId="7" applyNumberFormat="0" applyFont="0" applyAlignment="0" applyProtection="0"/>
    <xf numFmtId="175" fontId="33" fillId="28" borderId="8" applyNumberFormat="0" applyAlignment="0" applyProtection="0"/>
    <xf numFmtId="175" fontId="40" fillId="0" borderId="0" applyNumberFormat="0" applyFill="0" applyBorder="0" applyAlignment="0" applyProtection="0"/>
    <xf numFmtId="175" fontId="24" fillId="0" borderId="12" applyNumberFormat="0" applyFill="0" applyAlignment="0" applyProtection="0"/>
    <xf numFmtId="175" fontId="41" fillId="0" borderId="0" applyNumberFormat="0" applyFill="0" applyBorder="0" applyAlignment="0" applyProtection="0"/>
    <xf numFmtId="9" fontId="13" fillId="0" borderId="0" applyFont="0" applyFill="0" applyBorder="0" applyAlignment="0" applyProtection="0"/>
    <xf numFmtId="175" fontId="11" fillId="0" borderId="0"/>
    <xf numFmtId="175" fontId="10" fillId="0" borderId="0"/>
    <xf numFmtId="175" fontId="13" fillId="0" borderId="0"/>
    <xf numFmtId="175" fontId="15" fillId="2" borderId="0" applyNumberFormat="0" applyBorder="0" applyAlignment="0" applyProtection="0"/>
    <xf numFmtId="175" fontId="15" fillId="3" borderId="0" applyNumberFormat="0" applyBorder="0" applyAlignment="0" applyProtection="0"/>
    <xf numFmtId="175" fontId="15" fillId="4" borderId="0" applyNumberFormat="0" applyBorder="0" applyAlignment="0" applyProtection="0"/>
    <xf numFmtId="175" fontId="15" fillId="5" borderId="0" applyNumberFormat="0" applyBorder="0" applyAlignment="0" applyProtection="0"/>
    <xf numFmtId="175" fontId="15" fillId="6" borderId="0" applyNumberFormat="0" applyBorder="0" applyAlignment="0" applyProtection="0"/>
    <xf numFmtId="175" fontId="15" fillId="7" borderId="0" applyNumberFormat="0" applyBorder="0" applyAlignment="0" applyProtection="0"/>
    <xf numFmtId="175" fontId="15" fillId="8" borderId="0" applyNumberFormat="0" applyBorder="0" applyAlignment="0" applyProtection="0"/>
    <xf numFmtId="175" fontId="15" fillId="3" borderId="0" applyNumberFormat="0" applyBorder="0" applyAlignment="0" applyProtection="0"/>
    <xf numFmtId="175" fontId="15" fillId="9" borderId="0" applyNumberFormat="0" applyBorder="0" applyAlignment="0" applyProtection="0"/>
    <xf numFmtId="175" fontId="15" fillId="10" borderId="0" applyNumberFormat="0" applyBorder="0" applyAlignment="0" applyProtection="0"/>
    <xf numFmtId="175" fontId="15" fillId="8" borderId="0" applyNumberFormat="0" applyBorder="0" applyAlignment="0" applyProtection="0"/>
    <xf numFmtId="175" fontId="15" fillId="11" borderId="0" applyNumberFormat="0" applyBorder="0" applyAlignment="0" applyProtection="0"/>
    <xf numFmtId="175" fontId="18" fillId="8" borderId="0" applyNumberFormat="0" applyBorder="0" applyAlignment="0" applyProtection="0"/>
    <xf numFmtId="175" fontId="18" fillId="3" borderId="0" applyNumberFormat="0" applyBorder="0" applyAlignment="0" applyProtection="0"/>
    <xf numFmtId="175" fontId="18" fillId="9" borderId="0" applyNumberFormat="0" applyBorder="0" applyAlignment="0" applyProtection="0"/>
    <xf numFmtId="175" fontId="18" fillId="10" borderId="0" applyNumberFormat="0" applyBorder="0" applyAlignment="0" applyProtection="0"/>
    <xf numFmtId="175" fontId="18" fillId="8" borderId="0" applyNumberFormat="0" applyBorder="0" applyAlignment="0" applyProtection="0"/>
    <xf numFmtId="175" fontId="18" fillId="11" borderId="0" applyNumberFormat="0" applyBorder="0" applyAlignment="0" applyProtection="0"/>
    <xf numFmtId="175" fontId="19" fillId="12" borderId="0" applyNumberFormat="0" applyBorder="0" applyAlignment="0" applyProtection="0"/>
    <xf numFmtId="175" fontId="19" fillId="16" borderId="0" applyNumberFormat="0" applyBorder="0" applyAlignment="0" applyProtection="0"/>
    <xf numFmtId="175" fontId="19" fillId="19" borderId="0" applyNumberFormat="0" applyBorder="0" applyAlignment="0" applyProtection="0"/>
    <xf numFmtId="175" fontId="19" fillId="23" borderId="0" applyNumberFormat="0" applyBorder="0" applyAlignment="0" applyProtection="0"/>
    <xf numFmtId="175" fontId="19" fillId="24" borderId="0" applyNumberFormat="0" applyBorder="0" applyAlignment="0" applyProtection="0"/>
    <xf numFmtId="175" fontId="19" fillId="25" borderId="0" applyNumberFormat="0" applyBorder="0" applyAlignment="0" applyProtection="0"/>
    <xf numFmtId="175" fontId="21" fillId="18" borderId="0" applyNumberFormat="0" applyBorder="0" applyAlignment="0" applyProtection="0"/>
    <xf numFmtId="175" fontId="22" fillId="28" borderId="1" applyNumberFormat="0" applyAlignment="0" applyProtection="0"/>
    <xf numFmtId="175" fontId="23" fillId="19" borderId="2" applyNumberFormat="0" applyAlignment="0" applyProtection="0"/>
    <xf numFmtId="43" fontId="13" fillId="0" borderId="0" applyFont="0" applyFill="0" applyBorder="0" applyAlignment="0" applyProtection="0"/>
    <xf numFmtId="175" fontId="25" fillId="0" borderId="0" applyNumberFormat="0" applyFill="0" applyBorder="0" applyAlignment="0" applyProtection="0"/>
    <xf numFmtId="175" fontId="26" fillId="32" borderId="0" applyNumberFormat="0" applyBorder="0" applyAlignment="0" applyProtection="0"/>
    <xf numFmtId="175" fontId="27" fillId="0" borderId="3" applyNumberFormat="0" applyFill="0" applyAlignment="0" applyProtection="0"/>
    <xf numFmtId="175" fontId="28" fillId="0" borderId="4" applyNumberFormat="0" applyFill="0" applyAlignment="0" applyProtection="0"/>
    <xf numFmtId="175" fontId="29" fillId="0" borderId="5" applyNumberFormat="0" applyFill="0" applyAlignment="0" applyProtection="0"/>
    <xf numFmtId="175" fontId="29" fillId="0" borderId="0" applyNumberFormat="0" applyFill="0" applyBorder="0" applyAlignment="0" applyProtection="0"/>
    <xf numFmtId="175" fontId="30" fillId="27" borderId="1" applyNumberFormat="0" applyAlignment="0" applyProtection="0"/>
    <xf numFmtId="175" fontId="31" fillId="0" borderId="6" applyNumberFormat="0" applyFill="0" applyAlignment="0" applyProtection="0"/>
    <xf numFmtId="175" fontId="32" fillId="27" borderId="0" applyNumberFormat="0" applyBorder="0" applyAlignment="0" applyProtection="0"/>
    <xf numFmtId="175" fontId="13" fillId="26" borderId="7" applyNumberFormat="0" applyFont="0" applyAlignment="0" applyProtection="0"/>
    <xf numFmtId="175" fontId="33" fillId="28" borderId="8" applyNumberFormat="0" applyAlignment="0" applyProtection="0"/>
    <xf numFmtId="175" fontId="40" fillId="0" borderId="0" applyNumberFormat="0" applyFill="0" applyBorder="0" applyAlignment="0" applyProtection="0"/>
    <xf numFmtId="175" fontId="24" fillId="0" borderId="12" applyNumberFormat="0" applyFill="0" applyAlignment="0" applyProtection="0"/>
    <xf numFmtId="175" fontId="41" fillId="0" borderId="0" applyNumberFormat="0" applyFill="0" applyBorder="0" applyAlignment="0" applyProtection="0"/>
    <xf numFmtId="9" fontId="13" fillId="0" borderId="0" applyFont="0" applyFill="0" applyBorder="0" applyAlignment="0" applyProtection="0"/>
    <xf numFmtId="175" fontId="10" fillId="0" borderId="0"/>
    <xf numFmtId="175" fontId="10" fillId="0" borderId="0"/>
    <xf numFmtId="175" fontId="13" fillId="0" borderId="0"/>
    <xf numFmtId="175" fontId="10" fillId="0" borderId="0"/>
    <xf numFmtId="175" fontId="9" fillId="0" borderId="0"/>
    <xf numFmtId="175" fontId="13" fillId="0" borderId="0"/>
    <xf numFmtId="175" fontId="15" fillId="2" borderId="0" applyNumberFormat="0" applyBorder="0" applyAlignment="0" applyProtection="0"/>
    <xf numFmtId="175" fontId="15" fillId="3" borderId="0" applyNumberFormat="0" applyBorder="0" applyAlignment="0" applyProtection="0"/>
    <xf numFmtId="175" fontId="15" fillId="4" borderId="0" applyNumberFormat="0" applyBorder="0" applyAlignment="0" applyProtection="0"/>
    <xf numFmtId="175" fontId="15" fillId="5" borderId="0" applyNumberFormat="0" applyBorder="0" applyAlignment="0" applyProtection="0"/>
    <xf numFmtId="175" fontId="15" fillId="6" borderId="0" applyNumberFormat="0" applyBorder="0" applyAlignment="0" applyProtection="0"/>
    <xf numFmtId="175" fontId="15" fillId="7" borderId="0" applyNumberFormat="0" applyBorder="0" applyAlignment="0" applyProtection="0"/>
    <xf numFmtId="175" fontId="15" fillId="8" borderId="0" applyNumberFormat="0" applyBorder="0" applyAlignment="0" applyProtection="0"/>
    <xf numFmtId="175" fontId="15" fillId="3" borderId="0" applyNumberFormat="0" applyBorder="0" applyAlignment="0" applyProtection="0"/>
    <xf numFmtId="175" fontId="15" fillId="9" borderId="0" applyNumberFormat="0" applyBorder="0" applyAlignment="0" applyProtection="0"/>
    <xf numFmtId="175" fontId="15" fillId="10" borderId="0" applyNumberFormat="0" applyBorder="0" applyAlignment="0" applyProtection="0"/>
    <xf numFmtId="175" fontId="15" fillId="8" borderId="0" applyNumberFormat="0" applyBorder="0" applyAlignment="0" applyProtection="0"/>
    <xf numFmtId="175" fontId="15" fillId="11" borderId="0" applyNumberFormat="0" applyBorder="0" applyAlignment="0" applyProtection="0"/>
    <xf numFmtId="175" fontId="18" fillId="8" borderId="0" applyNumberFormat="0" applyBorder="0" applyAlignment="0" applyProtection="0"/>
    <xf numFmtId="175" fontId="18" fillId="3" borderId="0" applyNumberFormat="0" applyBorder="0" applyAlignment="0" applyProtection="0"/>
    <xf numFmtId="175" fontId="18" fillId="9" borderId="0" applyNumberFormat="0" applyBorder="0" applyAlignment="0" applyProtection="0"/>
    <xf numFmtId="175" fontId="18" fillId="10" borderId="0" applyNumberFormat="0" applyBorder="0" applyAlignment="0" applyProtection="0"/>
    <xf numFmtId="175" fontId="18" fillId="8" borderId="0" applyNumberFormat="0" applyBorder="0" applyAlignment="0" applyProtection="0"/>
    <xf numFmtId="175" fontId="18" fillId="11" borderId="0" applyNumberFormat="0" applyBorder="0" applyAlignment="0" applyProtection="0"/>
    <xf numFmtId="175" fontId="19" fillId="12" borderId="0" applyNumberFormat="0" applyBorder="0" applyAlignment="0" applyProtection="0"/>
    <xf numFmtId="175" fontId="19" fillId="16" borderId="0" applyNumberFormat="0" applyBorder="0" applyAlignment="0" applyProtection="0"/>
    <xf numFmtId="175" fontId="19" fillId="19" borderId="0" applyNumberFormat="0" applyBorder="0" applyAlignment="0" applyProtection="0"/>
    <xf numFmtId="175" fontId="19" fillId="23" borderId="0" applyNumberFormat="0" applyBorder="0" applyAlignment="0" applyProtection="0"/>
    <xf numFmtId="175" fontId="19" fillId="24" borderId="0" applyNumberFormat="0" applyBorder="0" applyAlignment="0" applyProtection="0"/>
    <xf numFmtId="175" fontId="19" fillId="25" borderId="0" applyNumberFormat="0" applyBorder="0" applyAlignment="0" applyProtection="0"/>
    <xf numFmtId="175" fontId="21" fillId="18" borderId="0" applyNumberFormat="0" applyBorder="0" applyAlignment="0" applyProtection="0"/>
    <xf numFmtId="175" fontId="22" fillId="28" borderId="1" applyNumberFormat="0" applyAlignment="0" applyProtection="0"/>
    <xf numFmtId="175" fontId="23" fillId="19" borderId="2" applyNumberFormat="0" applyAlignment="0" applyProtection="0"/>
    <xf numFmtId="43" fontId="13" fillId="0" borderId="0" applyFont="0" applyFill="0" applyBorder="0" applyAlignment="0" applyProtection="0"/>
    <xf numFmtId="175" fontId="25" fillId="0" borderId="0" applyNumberFormat="0" applyFill="0" applyBorder="0" applyAlignment="0" applyProtection="0"/>
    <xf numFmtId="175" fontId="26" fillId="32" borderId="0" applyNumberFormat="0" applyBorder="0" applyAlignment="0" applyProtection="0"/>
    <xf numFmtId="175" fontId="27" fillId="0" borderId="3" applyNumberFormat="0" applyFill="0" applyAlignment="0" applyProtection="0"/>
    <xf numFmtId="175" fontId="28" fillId="0" borderId="4" applyNumberFormat="0" applyFill="0" applyAlignment="0" applyProtection="0"/>
    <xf numFmtId="175" fontId="29" fillId="0" borderId="5" applyNumberFormat="0" applyFill="0" applyAlignment="0" applyProtection="0"/>
    <xf numFmtId="175" fontId="29" fillId="0" borderId="0" applyNumberFormat="0" applyFill="0" applyBorder="0" applyAlignment="0" applyProtection="0"/>
    <xf numFmtId="175" fontId="30" fillId="27" borderId="1" applyNumberFormat="0" applyAlignment="0" applyProtection="0"/>
    <xf numFmtId="175" fontId="31" fillId="0" borderId="6" applyNumberFormat="0" applyFill="0" applyAlignment="0" applyProtection="0"/>
    <xf numFmtId="175" fontId="32" fillId="27" borderId="0" applyNumberFormat="0" applyBorder="0" applyAlignment="0" applyProtection="0"/>
    <xf numFmtId="175" fontId="13" fillId="26" borderId="7" applyNumberFormat="0" applyFont="0" applyAlignment="0" applyProtection="0"/>
    <xf numFmtId="175" fontId="33" fillId="28" borderId="8" applyNumberFormat="0" applyAlignment="0" applyProtection="0"/>
    <xf numFmtId="175" fontId="40" fillId="0" borderId="0" applyNumberFormat="0" applyFill="0" applyBorder="0" applyAlignment="0" applyProtection="0"/>
    <xf numFmtId="175" fontId="24" fillId="0" borderId="12" applyNumberFormat="0" applyFill="0" applyAlignment="0" applyProtection="0"/>
    <xf numFmtId="175" fontId="41" fillId="0" borderId="0" applyNumberFormat="0" applyFill="0" applyBorder="0" applyAlignment="0" applyProtection="0"/>
    <xf numFmtId="9" fontId="13" fillId="0" borderId="0" applyFont="0" applyFill="0" applyBorder="0" applyAlignment="0" applyProtection="0"/>
    <xf numFmtId="175" fontId="9" fillId="0" borderId="0"/>
    <xf numFmtId="175" fontId="9" fillId="0" borderId="0"/>
    <xf numFmtId="175" fontId="9" fillId="0" borderId="0"/>
    <xf numFmtId="175" fontId="9" fillId="0" borderId="0"/>
    <xf numFmtId="175" fontId="9" fillId="0" borderId="0"/>
    <xf numFmtId="175" fontId="9" fillId="0" borderId="0"/>
    <xf numFmtId="175" fontId="9" fillId="0" borderId="0"/>
    <xf numFmtId="175" fontId="8" fillId="0" borderId="0"/>
    <xf numFmtId="175" fontId="7" fillId="0" borderId="0"/>
    <xf numFmtId="175" fontId="60" fillId="0" borderId="0"/>
    <xf numFmtId="175" fontId="7" fillId="0" borderId="0"/>
    <xf numFmtId="175" fontId="7" fillId="0" borderId="0"/>
    <xf numFmtId="175" fontId="7" fillId="0" borderId="0"/>
    <xf numFmtId="175" fontId="7" fillId="0" borderId="0"/>
    <xf numFmtId="175" fontId="7" fillId="0" borderId="0"/>
    <xf numFmtId="175" fontId="7" fillId="0" borderId="0"/>
    <xf numFmtId="175" fontId="7" fillId="0" borderId="0"/>
    <xf numFmtId="175" fontId="13" fillId="0" borderId="0"/>
    <xf numFmtId="175" fontId="6" fillId="0" borderId="0"/>
    <xf numFmtId="0" fontId="5" fillId="0" borderId="0"/>
    <xf numFmtId="175" fontId="13" fillId="0" borderId="0"/>
    <xf numFmtId="175" fontId="15" fillId="2" borderId="0" applyNumberFormat="0" applyBorder="0" applyAlignment="0" applyProtection="0"/>
    <xf numFmtId="175" fontId="15" fillId="3" borderId="0" applyNumberFormat="0" applyBorder="0" applyAlignment="0" applyProtection="0"/>
    <xf numFmtId="175" fontId="15" fillId="4" borderId="0" applyNumberFormat="0" applyBorder="0" applyAlignment="0" applyProtection="0"/>
    <xf numFmtId="175" fontId="15" fillId="5" borderId="0" applyNumberFormat="0" applyBorder="0" applyAlignment="0" applyProtection="0"/>
    <xf numFmtId="175" fontId="15" fillId="6" borderId="0" applyNumberFormat="0" applyBorder="0" applyAlignment="0" applyProtection="0"/>
    <xf numFmtId="175" fontId="15" fillId="7" borderId="0" applyNumberFormat="0" applyBorder="0" applyAlignment="0" applyProtection="0"/>
    <xf numFmtId="175" fontId="15" fillId="8" borderId="0" applyNumberFormat="0" applyBorder="0" applyAlignment="0" applyProtection="0"/>
    <xf numFmtId="175" fontId="15" fillId="3" borderId="0" applyNumberFormat="0" applyBorder="0" applyAlignment="0" applyProtection="0"/>
    <xf numFmtId="175" fontId="15" fillId="9" borderId="0" applyNumberFormat="0" applyBorder="0" applyAlignment="0" applyProtection="0"/>
    <xf numFmtId="175" fontId="15" fillId="10" borderId="0" applyNumberFormat="0" applyBorder="0" applyAlignment="0" applyProtection="0"/>
    <xf numFmtId="175" fontId="15" fillId="8" borderId="0" applyNumberFormat="0" applyBorder="0" applyAlignment="0" applyProtection="0"/>
    <xf numFmtId="175" fontId="15" fillId="11" borderId="0" applyNumberFormat="0" applyBorder="0" applyAlignment="0" applyProtection="0"/>
    <xf numFmtId="175" fontId="18" fillId="8" borderId="0" applyNumberFormat="0" applyBorder="0" applyAlignment="0" applyProtection="0"/>
    <xf numFmtId="175" fontId="18" fillId="3" borderId="0" applyNumberFormat="0" applyBorder="0" applyAlignment="0" applyProtection="0"/>
    <xf numFmtId="175" fontId="18" fillId="9" borderId="0" applyNumberFormat="0" applyBorder="0" applyAlignment="0" applyProtection="0"/>
    <xf numFmtId="175" fontId="18" fillId="10" borderId="0" applyNumberFormat="0" applyBorder="0" applyAlignment="0" applyProtection="0"/>
    <xf numFmtId="175" fontId="18" fillId="8" borderId="0" applyNumberFormat="0" applyBorder="0" applyAlignment="0" applyProtection="0"/>
    <xf numFmtId="175" fontId="18" fillId="11" borderId="0" applyNumberFormat="0" applyBorder="0" applyAlignment="0" applyProtection="0"/>
    <xf numFmtId="175" fontId="19" fillId="12" borderId="0" applyNumberFormat="0" applyBorder="0" applyAlignment="0" applyProtection="0"/>
    <xf numFmtId="175" fontId="19" fillId="16" borderId="0" applyNumberFormat="0" applyBorder="0" applyAlignment="0" applyProtection="0"/>
    <xf numFmtId="175" fontId="19" fillId="19" borderId="0" applyNumberFormat="0" applyBorder="0" applyAlignment="0" applyProtection="0"/>
    <xf numFmtId="175" fontId="19" fillId="23" borderId="0" applyNumberFormat="0" applyBorder="0" applyAlignment="0" applyProtection="0"/>
    <xf numFmtId="175" fontId="19" fillId="24" borderId="0" applyNumberFormat="0" applyBorder="0" applyAlignment="0" applyProtection="0"/>
    <xf numFmtId="175" fontId="19" fillId="25" borderId="0" applyNumberFormat="0" applyBorder="0" applyAlignment="0" applyProtection="0"/>
    <xf numFmtId="175" fontId="21" fillId="18" borderId="0" applyNumberFormat="0" applyBorder="0" applyAlignment="0" applyProtection="0"/>
    <xf numFmtId="175" fontId="22" fillId="28" borderId="1" applyNumberFormat="0" applyAlignment="0" applyProtection="0"/>
    <xf numFmtId="175" fontId="23" fillId="19" borderId="2" applyNumberFormat="0" applyAlignment="0" applyProtection="0"/>
    <xf numFmtId="43" fontId="13" fillId="0" borderId="0" applyFont="0" applyFill="0" applyBorder="0" applyAlignment="0" applyProtection="0"/>
    <xf numFmtId="175" fontId="25" fillId="0" borderId="0" applyNumberFormat="0" applyFill="0" applyBorder="0" applyAlignment="0" applyProtection="0"/>
    <xf numFmtId="175" fontId="26" fillId="32" borderId="0" applyNumberFormat="0" applyBorder="0" applyAlignment="0" applyProtection="0"/>
    <xf numFmtId="175" fontId="27" fillId="0" borderId="3" applyNumberFormat="0" applyFill="0" applyAlignment="0" applyProtection="0"/>
    <xf numFmtId="175" fontId="28" fillId="0" borderId="4" applyNumberFormat="0" applyFill="0" applyAlignment="0" applyProtection="0"/>
    <xf numFmtId="175" fontId="29" fillId="0" borderId="5" applyNumberFormat="0" applyFill="0" applyAlignment="0" applyProtection="0"/>
    <xf numFmtId="175" fontId="29" fillId="0" borderId="0" applyNumberFormat="0" applyFill="0" applyBorder="0" applyAlignment="0" applyProtection="0"/>
    <xf numFmtId="175" fontId="30" fillId="27" borderId="1" applyNumberFormat="0" applyAlignment="0" applyProtection="0"/>
    <xf numFmtId="175" fontId="31" fillId="0" borderId="6" applyNumberFormat="0" applyFill="0" applyAlignment="0" applyProtection="0"/>
    <xf numFmtId="175" fontId="32" fillId="27" borderId="0" applyNumberFormat="0" applyBorder="0" applyAlignment="0" applyProtection="0"/>
    <xf numFmtId="175" fontId="13" fillId="26" borderId="7" applyNumberFormat="0" applyFont="0" applyAlignment="0" applyProtection="0"/>
    <xf numFmtId="175" fontId="33" fillId="28" borderId="8" applyNumberFormat="0" applyAlignment="0" applyProtection="0"/>
    <xf numFmtId="175" fontId="40" fillId="0" borderId="0" applyNumberFormat="0" applyFill="0" applyBorder="0" applyAlignment="0" applyProtection="0"/>
    <xf numFmtId="175" fontId="24" fillId="0" borderId="12" applyNumberFormat="0" applyFill="0" applyAlignment="0" applyProtection="0"/>
    <xf numFmtId="175" fontId="41" fillId="0" borderId="0" applyNumberFormat="0" applyFill="0" applyBorder="0" applyAlignment="0" applyProtection="0"/>
    <xf numFmtId="9" fontId="13" fillId="0" borderId="0" applyFont="0" applyFill="0" applyBorder="0" applyAlignment="0" applyProtection="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13"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0" fontId="4" fillId="0" borderId="0"/>
    <xf numFmtId="175" fontId="13" fillId="0" borderId="0"/>
    <xf numFmtId="175" fontId="15" fillId="2" borderId="0" applyNumberFormat="0" applyBorder="0" applyAlignment="0" applyProtection="0"/>
    <xf numFmtId="175" fontId="15" fillId="3" borderId="0" applyNumberFormat="0" applyBorder="0" applyAlignment="0" applyProtection="0"/>
    <xf numFmtId="175" fontId="15" fillId="4" borderId="0" applyNumberFormat="0" applyBorder="0" applyAlignment="0" applyProtection="0"/>
    <xf numFmtId="175" fontId="15" fillId="5" borderId="0" applyNumberFormat="0" applyBorder="0" applyAlignment="0" applyProtection="0"/>
    <xf numFmtId="175" fontId="15" fillId="6" borderId="0" applyNumberFormat="0" applyBorder="0" applyAlignment="0" applyProtection="0"/>
    <xf numFmtId="175" fontId="15" fillId="7" borderId="0" applyNumberFormat="0" applyBorder="0" applyAlignment="0" applyProtection="0"/>
    <xf numFmtId="175" fontId="15" fillId="8" borderId="0" applyNumberFormat="0" applyBorder="0" applyAlignment="0" applyProtection="0"/>
    <xf numFmtId="175" fontId="15" fillId="3" borderId="0" applyNumberFormat="0" applyBorder="0" applyAlignment="0" applyProtection="0"/>
    <xf numFmtId="175" fontId="15" fillId="9" borderId="0" applyNumberFormat="0" applyBorder="0" applyAlignment="0" applyProtection="0"/>
    <xf numFmtId="175" fontId="15" fillId="10" borderId="0" applyNumberFormat="0" applyBorder="0" applyAlignment="0" applyProtection="0"/>
    <xf numFmtId="175" fontId="15" fillId="8" borderId="0" applyNumberFormat="0" applyBorder="0" applyAlignment="0" applyProtection="0"/>
    <xf numFmtId="175" fontId="15" fillId="11" borderId="0" applyNumberFormat="0" applyBorder="0" applyAlignment="0" applyProtection="0"/>
    <xf numFmtId="175" fontId="18" fillId="8" borderId="0" applyNumberFormat="0" applyBorder="0" applyAlignment="0" applyProtection="0"/>
    <xf numFmtId="175" fontId="18" fillId="3" borderId="0" applyNumberFormat="0" applyBorder="0" applyAlignment="0" applyProtection="0"/>
    <xf numFmtId="175" fontId="18" fillId="9" borderId="0" applyNumberFormat="0" applyBorder="0" applyAlignment="0" applyProtection="0"/>
    <xf numFmtId="175" fontId="18" fillId="10" borderId="0" applyNumberFormat="0" applyBorder="0" applyAlignment="0" applyProtection="0"/>
    <xf numFmtId="175" fontId="18" fillId="8" borderId="0" applyNumberFormat="0" applyBorder="0" applyAlignment="0" applyProtection="0"/>
    <xf numFmtId="175" fontId="18" fillId="11" borderId="0" applyNumberFormat="0" applyBorder="0" applyAlignment="0" applyProtection="0"/>
    <xf numFmtId="175" fontId="19" fillId="12" borderId="0" applyNumberFormat="0" applyBorder="0" applyAlignment="0" applyProtection="0"/>
    <xf numFmtId="175" fontId="19" fillId="16" borderId="0" applyNumberFormat="0" applyBorder="0" applyAlignment="0" applyProtection="0"/>
    <xf numFmtId="175" fontId="19" fillId="19" borderId="0" applyNumberFormat="0" applyBorder="0" applyAlignment="0" applyProtection="0"/>
    <xf numFmtId="175" fontId="19" fillId="23" borderId="0" applyNumberFormat="0" applyBorder="0" applyAlignment="0" applyProtection="0"/>
    <xf numFmtId="175" fontId="19" fillId="24" borderId="0" applyNumberFormat="0" applyBorder="0" applyAlignment="0" applyProtection="0"/>
    <xf numFmtId="175" fontId="19" fillId="25" borderId="0" applyNumberFormat="0" applyBorder="0" applyAlignment="0" applyProtection="0"/>
    <xf numFmtId="175" fontId="21" fillId="18" borderId="0" applyNumberFormat="0" applyBorder="0" applyAlignment="0" applyProtection="0"/>
    <xf numFmtId="175" fontId="22" fillId="28" borderId="1" applyNumberFormat="0" applyAlignment="0" applyProtection="0"/>
    <xf numFmtId="175" fontId="23" fillId="19" borderId="2" applyNumberFormat="0" applyAlignment="0" applyProtection="0"/>
    <xf numFmtId="43" fontId="13" fillId="0" borderId="0" applyFont="0" applyFill="0" applyBorder="0" applyAlignment="0" applyProtection="0"/>
    <xf numFmtId="175" fontId="25" fillId="0" borderId="0" applyNumberFormat="0" applyFill="0" applyBorder="0" applyAlignment="0" applyProtection="0"/>
    <xf numFmtId="175" fontId="26" fillId="32" borderId="0" applyNumberFormat="0" applyBorder="0" applyAlignment="0" applyProtection="0"/>
    <xf numFmtId="175" fontId="27" fillId="0" borderId="3" applyNumberFormat="0" applyFill="0" applyAlignment="0" applyProtection="0"/>
    <xf numFmtId="175" fontId="28" fillId="0" borderId="4" applyNumberFormat="0" applyFill="0" applyAlignment="0" applyProtection="0"/>
    <xf numFmtId="175" fontId="29" fillId="0" borderId="5" applyNumberFormat="0" applyFill="0" applyAlignment="0" applyProtection="0"/>
    <xf numFmtId="175" fontId="29" fillId="0" borderId="0" applyNumberFormat="0" applyFill="0" applyBorder="0" applyAlignment="0" applyProtection="0"/>
    <xf numFmtId="175" fontId="30" fillId="27" borderId="1" applyNumberFormat="0" applyAlignment="0" applyProtection="0"/>
    <xf numFmtId="175" fontId="31" fillId="0" borderId="6" applyNumberFormat="0" applyFill="0" applyAlignment="0" applyProtection="0"/>
    <xf numFmtId="175" fontId="32" fillId="27" borderId="0" applyNumberFormat="0" applyBorder="0" applyAlignment="0" applyProtection="0"/>
    <xf numFmtId="175" fontId="13" fillId="26" borderId="7" applyNumberFormat="0" applyFont="0" applyAlignment="0" applyProtection="0"/>
    <xf numFmtId="175" fontId="33" fillId="28" borderId="8" applyNumberFormat="0" applyAlignment="0" applyProtection="0"/>
    <xf numFmtId="175" fontId="40" fillId="0" borderId="0" applyNumberFormat="0" applyFill="0" applyBorder="0" applyAlignment="0" applyProtection="0"/>
    <xf numFmtId="175" fontId="24" fillId="0" borderId="12" applyNumberFormat="0" applyFill="0" applyAlignment="0" applyProtection="0"/>
    <xf numFmtId="175" fontId="41" fillId="0" borderId="0" applyNumberFormat="0" applyFill="0" applyBorder="0" applyAlignment="0" applyProtection="0"/>
    <xf numFmtId="9" fontId="13" fillId="0" borderId="0" applyFont="0" applyFill="0" applyBorder="0" applyAlignment="0" applyProtection="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0"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0" fontId="13" fillId="0" borderId="0"/>
    <xf numFmtId="0" fontId="13" fillId="0" borderId="0"/>
    <xf numFmtId="0" fontId="13" fillId="0" borderId="0"/>
    <xf numFmtId="0" fontId="13" fillId="0" borderId="0"/>
    <xf numFmtId="0" fontId="4" fillId="0" borderId="0"/>
    <xf numFmtId="0" fontId="13" fillId="0" borderId="0"/>
    <xf numFmtId="0" fontId="13" fillId="0" borderId="0"/>
    <xf numFmtId="0" fontId="13" fillId="0" borderId="0"/>
    <xf numFmtId="0" fontId="3" fillId="0" borderId="0"/>
    <xf numFmtId="175" fontId="72" fillId="0" borderId="0"/>
    <xf numFmtId="175" fontId="15" fillId="2" borderId="0" applyNumberFormat="0" applyBorder="0" applyAlignment="0" applyProtection="0"/>
    <xf numFmtId="175" fontId="15" fillId="3" borderId="0" applyNumberFormat="0" applyBorder="0" applyAlignment="0" applyProtection="0"/>
    <xf numFmtId="175" fontId="15" fillId="4" borderId="0" applyNumberFormat="0" applyBorder="0" applyAlignment="0" applyProtection="0"/>
    <xf numFmtId="175" fontId="15" fillId="5" borderId="0" applyNumberFormat="0" applyBorder="0" applyAlignment="0" applyProtection="0"/>
    <xf numFmtId="175" fontId="15" fillId="6" borderId="0" applyNumberFormat="0" applyBorder="0" applyAlignment="0" applyProtection="0"/>
    <xf numFmtId="175" fontId="15" fillId="7" borderId="0" applyNumberFormat="0" applyBorder="0" applyAlignment="0" applyProtection="0"/>
    <xf numFmtId="175" fontId="15" fillId="8" borderId="0" applyNumberFormat="0" applyBorder="0" applyAlignment="0" applyProtection="0"/>
    <xf numFmtId="175" fontId="15" fillId="3" borderId="0" applyNumberFormat="0" applyBorder="0" applyAlignment="0" applyProtection="0"/>
    <xf numFmtId="175" fontId="15" fillId="9" borderId="0" applyNumberFormat="0" applyBorder="0" applyAlignment="0" applyProtection="0"/>
    <xf numFmtId="175" fontId="15" fillId="10" borderId="0" applyNumberFormat="0" applyBorder="0" applyAlignment="0" applyProtection="0"/>
    <xf numFmtId="175" fontId="15" fillId="8" borderId="0" applyNumberFormat="0" applyBorder="0" applyAlignment="0" applyProtection="0"/>
    <xf numFmtId="175" fontId="15" fillId="11" borderId="0" applyNumberFormat="0" applyBorder="0" applyAlignment="0" applyProtection="0"/>
    <xf numFmtId="175" fontId="18" fillId="8" borderId="0" applyNumberFormat="0" applyBorder="0" applyAlignment="0" applyProtection="0"/>
    <xf numFmtId="175" fontId="18" fillId="3" borderId="0" applyNumberFormat="0" applyBorder="0" applyAlignment="0" applyProtection="0"/>
    <xf numFmtId="175" fontId="18" fillId="9" borderId="0" applyNumberFormat="0" applyBorder="0" applyAlignment="0" applyProtection="0"/>
    <xf numFmtId="175" fontId="18" fillId="10" borderId="0" applyNumberFormat="0" applyBorder="0" applyAlignment="0" applyProtection="0"/>
    <xf numFmtId="175" fontId="18" fillId="8" borderId="0" applyNumberFormat="0" applyBorder="0" applyAlignment="0" applyProtection="0"/>
    <xf numFmtId="175" fontId="18" fillId="11" borderId="0" applyNumberFormat="0" applyBorder="0" applyAlignment="0" applyProtection="0"/>
    <xf numFmtId="175" fontId="19" fillId="12" borderId="0" applyNumberFormat="0" applyBorder="0" applyAlignment="0" applyProtection="0"/>
    <xf numFmtId="175" fontId="19" fillId="16" borderId="0" applyNumberFormat="0" applyBorder="0" applyAlignment="0" applyProtection="0"/>
    <xf numFmtId="175" fontId="19" fillId="19" borderId="0" applyNumberFormat="0" applyBorder="0" applyAlignment="0" applyProtection="0"/>
    <xf numFmtId="175" fontId="19" fillId="23" borderId="0" applyNumberFormat="0" applyBorder="0" applyAlignment="0" applyProtection="0"/>
    <xf numFmtId="175" fontId="19" fillId="24" borderId="0" applyNumberFormat="0" applyBorder="0" applyAlignment="0" applyProtection="0"/>
    <xf numFmtId="175" fontId="19" fillId="25" borderId="0" applyNumberFormat="0" applyBorder="0" applyAlignment="0" applyProtection="0"/>
    <xf numFmtId="175" fontId="21" fillId="18" borderId="0" applyNumberFormat="0" applyBorder="0" applyAlignment="0" applyProtection="0"/>
    <xf numFmtId="175" fontId="22" fillId="28" borderId="1" applyNumberFormat="0" applyAlignment="0" applyProtection="0"/>
    <xf numFmtId="175" fontId="23" fillId="19" borderId="2" applyNumberFormat="0" applyAlignment="0" applyProtection="0"/>
    <xf numFmtId="43" fontId="13" fillId="0" borderId="0" applyFont="0" applyFill="0" applyBorder="0" applyAlignment="0" applyProtection="0"/>
    <xf numFmtId="175" fontId="25" fillId="0" borderId="0" applyNumberFormat="0" applyFill="0" applyBorder="0" applyAlignment="0" applyProtection="0"/>
    <xf numFmtId="175" fontId="26" fillId="32" borderId="0" applyNumberFormat="0" applyBorder="0" applyAlignment="0" applyProtection="0"/>
    <xf numFmtId="175" fontId="27" fillId="0" borderId="3" applyNumberFormat="0" applyFill="0" applyAlignment="0" applyProtection="0"/>
    <xf numFmtId="175" fontId="28" fillId="0" borderId="4" applyNumberFormat="0" applyFill="0" applyAlignment="0" applyProtection="0"/>
    <xf numFmtId="175" fontId="29" fillId="0" borderId="5" applyNumberFormat="0" applyFill="0" applyAlignment="0" applyProtection="0"/>
    <xf numFmtId="175" fontId="29" fillId="0" borderId="0" applyNumberFormat="0" applyFill="0" applyBorder="0" applyAlignment="0" applyProtection="0"/>
    <xf numFmtId="175" fontId="30" fillId="27" borderId="1" applyNumberFormat="0" applyAlignment="0" applyProtection="0"/>
    <xf numFmtId="175" fontId="31" fillId="0" borderId="6" applyNumberFormat="0" applyFill="0" applyAlignment="0" applyProtection="0"/>
    <xf numFmtId="175" fontId="32" fillId="27" borderId="0" applyNumberFormat="0" applyBorder="0" applyAlignment="0" applyProtection="0"/>
    <xf numFmtId="175" fontId="13" fillId="26" borderId="7" applyNumberFormat="0" applyFont="0" applyAlignment="0" applyProtection="0"/>
    <xf numFmtId="175" fontId="33" fillId="28" borderId="8" applyNumberFormat="0" applyAlignment="0" applyProtection="0"/>
    <xf numFmtId="175" fontId="40" fillId="0" borderId="0" applyNumberFormat="0" applyFill="0" applyBorder="0" applyAlignment="0" applyProtection="0"/>
    <xf numFmtId="175" fontId="24" fillId="0" borderId="12" applyNumberFormat="0" applyFill="0" applyAlignment="0" applyProtection="0"/>
    <xf numFmtId="175" fontId="41" fillId="0" borderId="0" applyNumberFormat="0" applyFill="0" applyBorder="0" applyAlignment="0" applyProtection="0"/>
    <xf numFmtId="9" fontId="13" fillId="0" borderId="0" applyFont="0" applyFill="0" applyBorder="0" applyAlignment="0" applyProtection="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0"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0"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0"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0" fontId="3" fillId="0" borderId="0"/>
    <xf numFmtId="0" fontId="7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0"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0"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0"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0" fontId="2" fillId="0" borderId="0"/>
    <xf numFmtId="0" fontId="2" fillId="0" borderId="0"/>
    <xf numFmtId="175" fontId="13"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0"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0"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0"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0" fontId="2" fillId="0" borderId="0"/>
    <xf numFmtId="0" fontId="13" fillId="0" borderId="0"/>
    <xf numFmtId="0" fontId="1" fillId="0" borderId="0"/>
    <xf numFmtId="4" fontId="42" fillId="0" borderId="76" applyNumberFormat="0" applyProtection="0">
      <alignment horizontal="right" vertical="center"/>
    </xf>
    <xf numFmtId="4" fontId="42" fillId="52" borderId="76" applyNumberFormat="0" applyProtection="0">
      <alignment horizontal="left" vertical="center" indent="1"/>
    </xf>
    <xf numFmtId="43" fontId="1" fillId="0" borderId="0" applyFont="0" applyFill="0" applyBorder="0" applyAlignment="0" applyProtection="0"/>
  </cellStyleXfs>
  <cellXfs count="699">
    <xf numFmtId="175" fontId="0" fillId="0" borderId="0" xfId="0"/>
    <xf numFmtId="3" fontId="13" fillId="0" borderId="24" xfId="0" applyNumberFormat="1" applyFont="1" applyBorder="1" applyAlignment="1">
      <alignment horizontal="center"/>
    </xf>
    <xf numFmtId="3" fontId="13" fillId="0" borderId="31" xfId="0" applyNumberFormat="1" applyFont="1" applyBorder="1" applyAlignment="1">
      <alignment horizontal="center"/>
    </xf>
    <xf numFmtId="3" fontId="13" fillId="0" borderId="33" xfId="0" applyNumberFormat="1" applyFont="1" applyBorder="1" applyAlignment="1">
      <alignment horizontal="center"/>
    </xf>
    <xf numFmtId="3" fontId="13" fillId="0" borderId="41" xfId="0" applyNumberFormat="1" applyFont="1" applyBorder="1" applyAlignment="1" applyProtection="1">
      <alignment wrapText="1"/>
      <protection locked="0"/>
    </xf>
    <xf numFmtId="165" fontId="13" fillId="0" borderId="25" xfId="0" applyNumberFormat="1" applyFont="1" applyBorder="1" applyAlignment="1" applyProtection="1">
      <alignment horizontal="center"/>
      <protection locked="0"/>
    </xf>
    <xf numFmtId="165" fontId="13" fillId="0" borderId="0" xfId="0" applyNumberFormat="1" applyFont="1" applyProtection="1">
      <protection locked="0"/>
    </xf>
    <xf numFmtId="3" fontId="13" fillId="0" borderId="50" xfId="0" applyNumberFormat="1" applyFont="1" applyBorder="1" applyAlignment="1" applyProtection="1">
      <alignment wrapText="1"/>
      <protection locked="0"/>
    </xf>
    <xf numFmtId="165" fontId="13" fillId="0" borderId="32" xfId="0" applyNumberFormat="1" applyFont="1" applyBorder="1" applyAlignment="1" applyProtection="1">
      <alignment horizontal="center"/>
      <protection locked="0"/>
    </xf>
    <xf numFmtId="165" fontId="13" fillId="0" borderId="0" xfId="0" applyNumberFormat="1" applyFont="1" applyAlignment="1" applyProtection="1">
      <alignment horizontal="center"/>
      <protection locked="0"/>
    </xf>
    <xf numFmtId="175" fontId="13" fillId="0" borderId="0" xfId="0" applyFont="1" applyProtection="1">
      <protection locked="0"/>
    </xf>
    <xf numFmtId="175" fontId="14" fillId="0" borderId="0" xfId="0" applyFont="1" applyAlignment="1" applyProtection="1">
      <alignment horizontal="center" wrapText="1"/>
      <protection locked="0"/>
    </xf>
    <xf numFmtId="3" fontId="13" fillId="0" borderId="0" xfId="0" applyNumberFormat="1" applyFont="1" applyProtection="1">
      <protection locked="0"/>
    </xf>
    <xf numFmtId="175" fontId="14" fillId="0" borderId="0" xfId="0" applyFont="1" applyAlignment="1" applyProtection="1">
      <alignment wrapText="1"/>
      <protection locked="0"/>
    </xf>
    <xf numFmtId="3" fontId="45" fillId="0" borderId="17" xfId="0" applyNumberFormat="1" applyFont="1" applyBorder="1" applyAlignment="1">
      <alignment horizontal="center"/>
    </xf>
    <xf numFmtId="6" fontId="13" fillId="0" borderId="0" xfId="66" applyNumberFormat="1"/>
    <xf numFmtId="175" fontId="13" fillId="0" borderId="0" xfId="66"/>
    <xf numFmtId="175" fontId="15" fillId="0" borderId="0" xfId="67"/>
    <xf numFmtId="175" fontId="34" fillId="0" borderId="11" xfId="67" applyFont="1" applyBorder="1" applyAlignment="1">
      <alignment horizontal="center"/>
    </xf>
    <xf numFmtId="175" fontId="34" fillId="0" borderId="0" xfId="67" applyFont="1" applyAlignment="1">
      <alignment horizontal="center"/>
    </xf>
    <xf numFmtId="175" fontId="14" fillId="0" borderId="43" xfId="66" applyFont="1" applyBorder="1"/>
    <xf numFmtId="175" fontId="14" fillId="0" borderId="47" xfId="66" applyFont="1" applyBorder="1" applyAlignment="1">
      <alignment wrapText="1"/>
    </xf>
    <xf numFmtId="175" fontId="43" fillId="0" borderId="0" xfId="66" applyFont="1"/>
    <xf numFmtId="175" fontId="14" fillId="44" borderId="35" xfId="66" applyFont="1" applyFill="1" applyBorder="1" applyAlignment="1">
      <alignment horizontal="center"/>
    </xf>
    <xf numFmtId="175" fontId="14" fillId="0" borderId="36" xfId="66" applyFont="1" applyBorder="1" applyAlignment="1">
      <alignment horizontal="center"/>
    </xf>
    <xf numFmtId="175" fontId="44" fillId="0" borderId="45" xfId="66" applyFont="1" applyBorder="1" applyAlignment="1">
      <alignment horizontal="center"/>
    </xf>
    <xf numFmtId="175" fontId="14" fillId="0" borderId="45" xfId="66" applyFont="1" applyBorder="1" applyAlignment="1">
      <alignment horizontal="center"/>
    </xf>
    <xf numFmtId="175" fontId="13" fillId="0" borderId="45" xfId="66" applyBorder="1"/>
    <xf numFmtId="164" fontId="13" fillId="0" borderId="0" xfId="66" applyNumberFormat="1"/>
    <xf numFmtId="175" fontId="14" fillId="0" borderId="45" xfId="66" applyFont="1" applyBorder="1"/>
    <xf numFmtId="164" fontId="13" fillId="0" borderId="0" xfId="66" applyNumberFormat="1" applyAlignment="1">
      <alignment horizontal="right"/>
    </xf>
    <xf numFmtId="175" fontId="14" fillId="0" borderId="45" xfId="66" applyFont="1" applyBorder="1" applyAlignment="1">
      <alignment horizontal="left" indent="1"/>
    </xf>
    <xf numFmtId="175" fontId="14" fillId="0" borderId="45" xfId="66" applyFont="1" applyBorder="1" applyAlignment="1">
      <alignment horizontal="center" wrapText="1"/>
    </xf>
    <xf numFmtId="175" fontId="14" fillId="0" borderId="43" xfId="66" applyFont="1" applyBorder="1" applyAlignment="1">
      <alignment horizontal="left" indent="1"/>
    </xf>
    <xf numFmtId="175" fontId="14" fillId="0" borderId="49" xfId="66" applyFont="1" applyBorder="1" applyAlignment="1">
      <alignment horizontal="left" indent="1"/>
    </xf>
    <xf numFmtId="164" fontId="13" fillId="44" borderId="0" xfId="66" applyNumberFormat="1" applyFill="1"/>
    <xf numFmtId="175" fontId="14" fillId="0" borderId="37" xfId="66" applyFont="1" applyBorder="1" applyAlignment="1">
      <alignment wrapText="1"/>
    </xf>
    <xf numFmtId="164" fontId="14" fillId="0" borderId="37" xfId="66" applyNumberFormat="1" applyFont="1" applyBorder="1"/>
    <xf numFmtId="175" fontId="14" fillId="0" borderId="0" xfId="0" applyFont="1"/>
    <xf numFmtId="175" fontId="0" fillId="0" borderId="15" xfId="0" applyBorder="1"/>
    <xf numFmtId="175" fontId="14" fillId="0" borderId="34" xfId="0" applyFont="1" applyBorder="1"/>
    <xf numFmtId="175" fontId="13" fillId="0" borderId="0" xfId="0" applyFont="1"/>
    <xf numFmtId="175" fontId="13" fillId="0" borderId="13" xfId="0" applyFont="1" applyBorder="1"/>
    <xf numFmtId="175" fontId="34" fillId="0" borderId="0" xfId="0" applyFont="1" applyProtection="1">
      <protection locked="0"/>
    </xf>
    <xf numFmtId="175" fontId="15" fillId="0" borderId="0" xfId="0" applyFont="1" applyProtection="1">
      <protection locked="0"/>
    </xf>
    <xf numFmtId="165" fontId="15" fillId="0" borderId="0" xfId="0" applyNumberFormat="1" applyFont="1" applyProtection="1">
      <protection locked="0"/>
    </xf>
    <xf numFmtId="175" fontId="46" fillId="0" borderId="0" xfId="0" applyFont="1" applyProtection="1">
      <protection locked="0"/>
    </xf>
    <xf numFmtId="172" fontId="34" fillId="0" borderId="0" xfId="0" applyNumberFormat="1" applyFont="1" applyAlignment="1" applyProtection="1">
      <alignment horizontal="right"/>
      <protection locked="0"/>
    </xf>
    <xf numFmtId="172" fontId="34" fillId="0" borderId="0" xfId="0" applyNumberFormat="1" applyFont="1" applyAlignment="1" applyProtection="1">
      <alignment horizontal="center"/>
      <protection locked="0"/>
    </xf>
    <xf numFmtId="38" fontId="47" fillId="0" borderId="0" xfId="0" applyNumberFormat="1" applyFont="1" applyProtection="1">
      <protection locked="0"/>
    </xf>
    <xf numFmtId="165" fontId="47" fillId="0" borderId="0" xfId="0" applyNumberFormat="1" applyFont="1" applyProtection="1">
      <protection locked="0"/>
    </xf>
    <xf numFmtId="175" fontId="47" fillId="0" borderId="0" xfId="0" applyFont="1" applyProtection="1">
      <protection locked="0"/>
    </xf>
    <xf numFmtId="175" fontId="15" fillId="0" borderId="0" xfId="0" applyFont="1" applyAlignment="1" applyProtection="1">
      <alignment horizontal="left" indent="1"/>
      <protection locked="0"/>
    </xf>
    <xf numFmtId="175" fontId="15" fillId="0" borderId="0" xfId="0" applyFont="1"/>
    <xf numFmtId="175" fontId="34" fillId="0" borderId="11" xfId="0" applyFont="1" applyBorder="1" applyAlignment="1">
      <alignment horizontal="center" wrapText="1"/>
    </xf>
    <xf numFmtId="175" fontId="15" fillId="0" borderId="11" xfId="0" applyFont="1" applyBorder="1"/>
    <xf numFmtId="172" fontId="15" fillId="0" borderId="11" xfId="0" applyNumberFormat="1" applyFont="1" applyBorder="1"/>
    <xf numFmtId="172" fontId="15" fillId="0" borderId="11" xfId="46" applyNumberFormat="1" applyFont="1" applyBorder="1" applyAlignment="1">
      <alignment horizontal="right"/>
    </xf>
    <xf numFmtId="166" fontId="15" fillId="0" borderId="11" xfId="46" applyNumberFormat="1" applyFont="1" applyBorder="1" applyAlignment="1">
      <alignment horizontal="right"/>
    </xf>
    <xf numFmtId="172" fontId="34" fillId="0" borderId="11" xfId="46" applyNumberFormat="1" applyFont="1" applyBorder="1" applyAlignment="1">
      <alignment horizontal="right" wrapText="1"/>
    </xf>
    <xf numFmtId="166" fontId="34" fillId="0" borderId="11" xfId="0" applyNumberFormat="1" applyFont="1" applyBorder="1"/>
    <xf numFmtId="166" fontId="15" fillId="0" borderId="11" xfId="46" applyNumberFormat="1" applyFont="1" applyBorder="1" applyAlignment="1">
      <alignment horizontal="right" wrapText="1"/>
    </xf>
    <xf numFmtId="166" fontId="15" fillId="0" borderId="11" xfId="0" applyNumberFormat="1" applyFont="1" applyBorder="1"/>
    <xf numFmtId="175" fontId="34" fillId="0" borderId="20" xfId="0" applyFont="1" applyBorder="1"/>
    <xf numFmtId="166" fontId="34" fillId="0" borderId="20" xfId="0" applyNumberFormat="1" applyFont="1" applyBorder="1"/>
    <xf numFmtId="175" fontId="34" fillId="0" borderId="20" xfId="0" applyFont="1" applyBorder="1" applyAlignment="1">
      <alignment horizontal="center"/>
    </xf>
    <xf numFmtId="166" fontId="34" fillId="0" borderId="11" xfId="0" applyNumberFormat="1" applyFont="1" applyBorder="1" applyAlignment="1">
      <alignment horizontal="center" wrapText="1"/>
    </xf>
    <xf numFmtId="166" fontId="34" fillId="0" borderId="11" xfId="0" applyNumberFormat="1" applyFont="1" applyBorder="1" applyAlignment="1">
      <alignment horizontal="center"/>
    </xf>
    <xf numFmtId="166" fontId="34" fillId="0" borderId="20" xfId="0" applyNumberFormat="1" applyFont="1" applyBorder="1" applyAlignment="1">
      <alignment horizontal="center"/>
    </xf>
    <xf numFmtId="166" fontId="15" fillId="0" borderId="27" xfId="0" applyNumberFormat="1" applyFont="1" applyBorder="1"/>
    <xf numFmtId="166" fontId="34" fillId="0" borderId="27" xfId="0" applyNumberFormat="1" applyFont="1" applyBorder="1"/>
    <xf numFmtId="166" fontId="15" fillId="0" borderId="18" xfId="46" applyNumberFormat="1" applyFont="1" applyBorder="1" applyAlignment="1">
      <alignment horizontal="right"/>
    </xf>
    <xf numFmtId="166" fontId="15" fillId="0" borderId="18" xfId="0" applyNumberFormat="1" applyFont="1" applyBorder="1"/>
    <xf numFmtId="166" fontId="15" fillId="0" borderId="19" xfId="0" applyNumberFormat="1" applyFont="1" applyBorder="1"/>
    <xf numFmtId="172" fontId="34" fillId="0" borderId="11" xfId="0" applyNumberFormat="1" applyFont="1" applyBorder="1"/>
    <xf numFmtId="166" fontId="34" fillId="0" borderId="11" xfId="46" applyNumberFormat="1" applyFont="1" applyBorder="1" applyAlignment="1">
      <alignment horizontal="right"/>
    </xf>
    <xf numFmtId="172" fontId="34" fillId="0" borderId="20" xfId="0" applyNumberFormat="1" applyFont="1" applyBorder="1" applyAlignment="1">
      <alignment horizontal="right"/>
    </xf>
    <xf numFmtId="172" fontId="34" fillId="0" borderId="20" xfId="0" applyNumberFormat="1" applyFont="1" applyBorder="1" applyAlignment="1">
      <alignment horizontal="center"/>
    </xf>
    <xf numFmtId="166" fontId="15" fillId="0" borderId="11" xfId="0" quotePrefix="1" applyNumberFormat="1" applyFont="1" applyBorder="1" applyAlignment="1">
      <alignment horizontal="center"/>
    </xf>
    <xf numFmtId="166" fontId="15" fillId="0" borderId="11" xfId="46" applyNumberFormat="1" applyFont="1" applyBorder="1" applyAlignment="1">
      <alignment horizontal="center"/>
    </xf>
    <xf numFmtId="166" fontId="34" fillId="0" borderId="20" xfId="0" applyNumberFormat="1" applyFont="1" applyBorder="1" applyAlignment="1">
      <alignment horizontal="right"/>
    </xf>
    <xf numFmtId="175" fontId="34" fillId="0" borderId="27" xfId="0" applyFont="1" applyBorder="1"/>
    <xf numFmtId="175" fontId="34" fillId="0" borderId="0" xfId="0" applyFont="1"/>
    <xf numFmtId="38" fontId="15" fillId="0" borderId="0" xfId="0" applyNumberFormat="1" applyFont="1"/>
    <xf numFmtId="165" fontId="15" fillId="0" borderId="0" xfId="0" applyNumberFormat="1" applyFont="1"/>
    <xf numFmtId="175" fontId="13" fillId="0" borderId="13" xfId="0" applyFont="1" applyBorder="1" applyProtection="1">
      <protection locked="0"/>
    </xf>
    <xf numFmtId="9" fontId="13" fillId="0" borderId="0" xfId="145" applyFont="1" applyProtection="1">
      <protection locked="0"/>
    </xf>
    <xf numFmtId="175" fontId="14" fillId="0" borderId="14" xfId="0" applyFont="1" applyBorder="1" applyAlignment="1" applyProtection="1">
      <alignment horizontal="center"/>
      <protection locked="0"/>
    </xf>
    <xf numFmtId="175" fontId="13" fillId="0" borderId="16" xfId="0" applyFont="1" applyBorder="1" applyProtection="1">
      <protection locked="0"/>
    </xf>
    <xf numFmtId="175" fontId="14" fillId="0" borderId="11" xfId="0" applyFont="1" applyBorder="1" applyAlignment="1" applyProtection="1">
      <alignment horizontal="center"/>
      <protection locked="0"/>
    </xf>
    <xf numFmtId="166" fontId="13" fillId="0" borderId="0" xfId="0" applyNumberFormat="1" applyFont="1" applyAlignment="1">
      <alignment horizontal="center"/>
    </xf>
    <xf numFmtId="173" fontId="13" fillId="0" borderId="0" xfId="0" applyNumberFormat="1" applyFont="1" applyAlignment="1">
      <alignment horizontal="center"/>
    </xf>
    <xf numFmtId="3" fontId="13" fillId="0" borderId="0" xfId="0" applyNumberFormat="1" applyFont="1" applyAlignment="1">
      <alignment horizontal="center"/>
    </xf>
    <xf numFmtId="165" fontId="13" fillId="0" borderId="0" xfId="0" applyNumberFormat="1" applyFont="1" applyAlignment="1">
      <alignment horizontal="center"/>
    </xf>
    <xf numFmtId="175" fontId="34" fillId="0" borderId="16" xfId="0" applyFont="1" applyBorder="1" applyAlignment="1" applyProtection="1">
      <alignment horizontal="center"/>
      <protection locked="0"/>
    </xf>
    <xf numFmtId="175" fontId="15" fillId="0" borderId="11" xfId="0" applyFont="1" applyBorder="1" applyProtection="1">
      <protection locked="0"/>
    </xf>
    <xf numFmtId="175" fontId="34" fillId="0" borderId="20" xfId="0" applyFont="1" applyBorder="1" applyProtection="1">
      <protection locked="0"/>
    </xf>
    <xf numFmtId="175" fontId="34" fillId="0" borderId="20" xfId="0" applyFont="1" applyBorder="1" applyAlignment="1" applyProtection="1">
      <alignment horizontal="center"/>
      <protection locked="0"/>
    </xf>
    <xf numFmtId="175" fontId="34" fillId="0" borderId="22" xfId="0" applyFont="1" applyBorder="1" applyProtection="1">
      <protection locked="0"/>
    </xf>
    <xf numFmtId="175" fontId="15" fillId="0" borderId="11" xfId="0" applyFont="1" applyBorder="1" applyAlignment="1" applyProtection="1">
      <alignment wrapText="1" shrinkToFit="1"/>
      <protection locked="0"/>
    </xf>
    <xf numFmtId="175" fontId="34" fillId="0" borderId="11" xfId="0" applyFont="1" applyBorder="1" applyProtection="1">
      <protection locked="0"/>
    </xf>
    <xf numFmtId="175" fontId="15" fillId="0" borderId="16" xfId="0" applyFont="1" applyBorder="1" applyProtection="1">
      <protection locked="0"/>
    </xf>
    <xf numFmtId="38" fontId="53" fillId="0" borderId="17" xfId="0" applyNumberFormat="1" applyFont="1" applyBorder="1" applyAlignment="1">
      <alignment horizontal="center"/>
    </xf>
    <xf numFmtId="172" fontId="15" fillId="0" borderId="11" xfId="0" quotePrefix="1" applyNumberFormat="1" applyFont="1" applyBorder="1" applyAlignment="1">
      <alignment horizontal="center"/>
    </xf>
    <xf numFmtId="172" fontId="15" fillId="0" borderId="11" xfId="0" quotePrefix="1" applyNumberFormat="1" applyFont="1" applyBorder="1" applyAlignment="1">
      <alignment horizontal="right"/>
    </xf>
    <xf numFmtId="172" fontId="34" fillId="0" borderId="20" xfId="0" quotePrefix="1" applyNumberFormat="1" applyFont="1" applyBorder="1" applyAlignment="1">
      <alignment horizontal="center"/>
    </xf>
    <xf numFmtId="172" fontId="34" fillId="0" borderId="20" xfId="0" applyNumberFormat="1" applyFont="1" applyBorder="1"/>
    <xf numFmtId="38" fontId="15" fillId="0" borderId="11" xfId="0" applyNumberFormat="1" applyFont="1" applyBorder="1"/>
    <xf numFmtId="165" fontId="34" fillId="0" borderId="11" xfId="0" applyNumberFormat="1" applyFont="1" applyBorder="1"/>
    <xf numFmtId="172" fontId="34" fillId="0" borderId="11" xfId="46" applyNumberFormat="1" applyFont="1" applyBorder="1" applyAlignment="1">
      <alignment horizontal="right"/>
    </xf>
    <xf numFmtId="38" fontId="15" fillId="0" borderId="27" xfId="0" applyNumberFormat="1" applyFont="1" applyBorder="1"/>
    <xf numFmtId="165" fontId="34" fillId="0" borderId="27" xfId="0" applyNumberFormat="1" applyFont="1" applyBorder="1"/>
    <xf numFmtId="175" fontId="15" fillId="0" borderId="20" xfId="0" applyFont="1" applyBorder="1"/>
    <xf numFmtId="170" fontId="15" fillId="0" borderId="18" xfId="46" applyNumberFormat="1" applyFont="1" applyBorder="1" applyAlignment="1">
      <alignment horizontal="right"/>
    </xf>
    <xf numFmtId="169" fontId="34" fillId="0" borderId="18" xfId="46" applyNumberFormat="1" applyFont="1" applyBorder="1" applyAlignment="1">
      <alignment horizontal="right"/>
    </xf>
    <xf numFmtId="170" fontId="15" fillId="0" borderId="11" xfId="46" applyNumberFormat="1" applyFont="1" applyBorder="1" applyAlignment="1">
      <alignment horizontal="right"/>
    </xf>
    <xf numFmtId="169" fontId="34" fillId="0" borderId="11" xfId="46" applyNumberFormat="1" applyFont="1" applyBorder="1" applyAlignment="1">
      <alignment horizontal="right"/>
    </xf>
    <xf numFmtId="166" fontId="34" fillId="0" borderId="11" xfId="46" applyNumberFormat="1" applyFont="1" applyBorder="1" applyAlignment="1">
      <alignment horizontal="right" wrapText="1"/>
    </xf>
    <xf numFmtId="166" fontId="15" fillId="0" borderId="11" xfId="0" quotePrefix="1" applyNumberFormat="1" applyFont="1" applyBorder="1" applyAlignment="1">
      <alignment horizontal="right"/>
    </xf>
    <xf numFmtId="166" fontId="34" fillId="0" borderId="20" xfId="0" quotePrefix="1" applyNumberFormat="1" applyFont="1" applyBorder="1" applyAlignment="1">
      <alignment horizontal="center"/>
    </xf>
    <xf numFmtId="166" fontId="15" fillId="0" borderId="20" xfId="0" applyNumberFormat="1" applyFont="1" applyBorder="1"/>
    <xf numFmtId="166" fontId="34" fillId="0" borderId="18" xfId="46" applyNumberFormat="1" applyFont="1" applyBorder="1" applyAlignment="1">
      <alignment horizontal="right"/>
    </xf>
    <xf numFmtId="175" fontId="15" fillId="0" borderId="18" xfId="0" applyFont="1" applyBorder="1"/>
    <xf numFmtId="175" fontId="59" fillId="0" borderId="0" xfId="0" applyFont="1"/>
    <xf numFmtId="3" fontId="45" fillId="0" borderId="17" xfId="0" applyNumberFormat="1" applyFont="1" applyBorder="1" applyAlignment="1" applyProtection="1">
      <alignment horizontal="center"/>
      <protection locked="0"/>
    </xf>
    <xf numFmtId="3" fontId="13" fillId="0" borderId="24" xfId="0" applyNumberFormat="1" applyFont="1" applyBorder="1" applyAlignment="1" applyProtection="1">
      <alignment horizontal="center"/>
      <protection locked="0"/>
    </xf>
    <xf numFmtId="3" fontId="45" fillId="0" borderId="20" xfId="0" applyNumberFormat="1" applyFont="1" applyBorder="1" applyAlignment="1" applyProtection="1">
      <alignment horizontal="center"/>
      <protection locked="0"/>
    </xf>
    <xf numFmtId="38" fontId="53" fillId="0" borderId="11" xfId="146" applyNumberFormat="1" applyFont="1" applyBorder="1" applyAlignment="1" applyProtection="1">
      <alignment horizontal="center"/>
      <protection locked="0"/>
    </xf>
    <xf numFmtId="175" fontId="34" fillId="0" borderId="11" xfId="0" applyFont="1" applyBorder="1" applyAlignment="1" applyProtection="1">
      <alignment horizontal="center" wrapText="1"/>
      <protection locked="0"/>
    </xf>
    <xf numFmtId="175" fontId="14" fillId="0" borderId="0" xfId="66" applyFont="1" applyProtection="1">
      <protection locked="0"/>
    </xf>
    <xf numFmtId="175" fontId="13" fillId="0" borderId="0" xfId="66" applyProtection="1">
      <protection locked="0"/>
    </xf>
    <xf numFmtId="175" fontId="13" fillId="0" borderId="36" xfId="66" applyBorder="1" applyProtection="1">
      <protection locked="0"/>
    </xf>
    <xf numFmtId="175" fontId="13" fillId="0" borderId="37" xfId="66" applyBorder="1" applyProtection="1">
      <protection locked="0"/>
    </xf>
    <xf numFmtId="175" fontId="13" fillId="0" borderId="38" xfId="66" applyBorder="1" applyProtection="1">
      <protection locked="0"/>
    </xf>
    <xf numFmtId="175" fontId="13" fillId="0" borderId="14" xfId="66" applyBorder="1" applyProtection="1">
      <protection locked="0"/>
    </xf>
    <xf numFmtId="175" fontId="13" fillId="0" borderId="18" xfId="66" applyBorder="1" applyProtection="1">
      <protection locked="0"/>
    </xf>
    <xf numFmtId="175" fontId="13" fillId="0" borderId="19" xfId="66" applyBorder="1" applyProtection="1">
      <protection locked="0"/>
    </xf>
    <xf numFmtId="175" fontId="14" fillId="0" borderId="11" xfId="66" applyFont="1" applyBorder="1" applyAlignment="1" applyProtection="1">
      <alignment horizontal="center" wrapText="1"/>
      <protection locked="0"/>
    </xf>
    <xf numFmtId="6" fontId="13" fillId="0" borderId="0" xfId="66" applyNumberFormat="1" applyProtection="1">
      <protection locked="0"/>
    </xf>
    <xf numFmtId="175" fontId="14" fillId="0" borderId="13" xfId="66" applyFont="1" applyBorder="1" applyAlignment="1" applyProtection="1">
      <alignment horizontal="center" wrapText="1"/>
      <protection locked="0"/>
    </xf>
    <xf numFmtId="175" fontId="13" fillId="0" borderId="13" xfId="66" applyBorder="1" applyProtection="1">
      <protection locked="0"/>
    </xf>
    <xf numFmtId="164" fontId="13" fillId="0" borderId="42" xfId="66" applyNumberFormat="1" applyBorder="1" applyProtection="1">
      <protection locked="0"/>
    </xf>
    <xf numFmtId="175" fontId="13" fillId="0" borderId="42" xfId="66" applyBorder="1" applyProtection="1">
      <protection locked="0"/>
    </xf>
    <xf numFmtId="175" fontId="15" fillId="0" borderId="0" xfId="67" applyProtection="1">
      <protection locked="0"/>
    </xf>
    <xf numFmtId="175" fontId="15" fillId="0" borderId="11" xfId="67" applyBorder="1" applyProtection="1">
      <protection locked="0"/>
    </xf>
    <xf numFmtId="175" fontId="34" fillId="0" borderId="11" xfId="67" applyFont="1" applyBorder="1" applyProtection="1">
      <protection locked="0"/>
    </xf>
    <xf numFmtId="175" fontId="52" fillId="0" borderId="0" xfId="0" applyFont="1" applyProtection="1">
      <protection locked="0"/>
    </xf>
    <xf numFmtId="175" fontId="14" fillId="0" borderId="0" xfId="0" applyFont="1" applyProtection="1">
      <protection locked="0"/>
    </xf>
    <xf numFmtId="175" fontId="63" fillId="0" borderId="0" xfId="0" applyFont="1" applyAlignment="1">
      <alignment horizontal="left" vertical="center" indent="4"/>
    </xf>
    <xf numFmtId="175" fontId="14" fillId="0" borderId="0" xfId="0" applyFont="1" applyAlignment="1" applyProtection="1">
      <alignment horizontal="center"/>
      <protection locked="0"/>
    </xf>
    <xf numFmtId="17" fontId="14" fillId="0" borderId="0" xfId="0" quotePrefix="1" applyNumberFormat="1" applyFont="1" applyAlignment="1" applyProtection="1">
      <alignment horizontal="center"/>
      <protection locked="0"/>
    </xf>
    <xf numFmtId="175" fontId="0" fillId="47" borderId="0" xfId="0" applyFill="1"/>
    <xf numFmtId="17" fontId="14" fillId="47" borderId="0" xfId="0" quotePrefix="1" applyNumberFormat="1" applyFont="1" applyFill="1" applyAlignment="1" applyProtection="1">
      <alignment horizontal="center"/>
      <protection locked="0"/>
    </xf>
    <xf numFmtId="175" fontId="13" fillId="47" borderId="0" xfId="0" applyFont="1" applyFill="1" applyProtection="1">
      <protection locked="0"/>
    </xf>
    <xf numFmtId="175" fontId="51" fillId="0" borderId="0" xfId="0" applyFont="1" applyAlignment="1">
      <alignment horizontal="center"/>
    </xf>
    <xf numFmtId="38" fontId="13" fillId="0" borderId="24" xfId="0" applyNumberFormat="1" applyFont="1" applyBorder="1" applyAlignment="1">
      <alignment horizontal="center"/>
    </xf>
    <xf numFmtId="38" fontId="13" fillId="0" borderId="24" xfId="0" applyNumberFormat="1" applyFont="1" applyBorder="1" applyAlignment="1" applyProtection="1">
      <alignment horizontal="center"/>
      <protection locked="0"/>
    </xf>
    <xf numFmtId="175" fontId="13" fillId="0" borderId="17" xfId="0" applyFont="1" applyBorder="1" applyProtection="1">
      <protection locked="0"/>
    </xf>
    <xf numFmtId="3" fontId="13" fillId="0" borderId="29" xfId="0" applyNumberFormat="1" applyFont="1" applyBorder="1" applyAlignment="1">
      <alignment horizontal="center"/>
    </xf>
    <xf numFmtId="3" fontId="53" fillId="0" borderId="22" xfId="0" applyNumberFormat="1" applyFont="1" applyBorder="1" applyAlignment="1">
      <alignment horizontal="center"/>
    </xf>
    <xf numFmtId="3" fontId="53" fillId="0" borderId="17" xfId="0" applyNumberFormat="1" applyFont="1" applyBorder="1" applyAlignment="1">
      <alignment horizontal="center"/>
    </xf>
    <xf numFmtId="175" fontId="13" fillId="47" borderId="0" xfId="66" applyFill="1"/>
    <xf numFmtId="175" fontId="14" fillId="47" borderId="0" xfId="0" applyFont="1" applyFill="1" applyAlignment="1" applyProtection="1">
      <alignment horizontal="center"/>
      <protection locked="0"/>
    </xf>
    <xf numFmtId="175" fontId="14" fillId="0" borderId="11" xfId="0" applyFont="1" applyBorder="1" applyAlignment="1" applyProtection="1">
      <alignment horizontal="left"/>
      <protection locked="0"/>
    </xf>
    <xf numFmtId="175" fontId="13" fillId="0" borderId="17" xfId="0" applyFont="1" applyBorder="1"/>
    <xf numFmtId="17" fontId="15" fillId="0" borderId="0" xfId="0" applyNumberFormat="1" applyFont="1" applyAlignment="1" applyProtection="1">
      <alignment horizontal="center"/>
      <protection locked="0"/>
    </xf>
    <xf numFmtId="175" fontId="34" fillId="48" borderId="20" xfId="0" applyFont="1" applyFill="1" applyBorder="1" applyAlignment="1" applyProtection="1">
      <alignment horizontal="center" vertical="center"/>
      <protection locked="0"/>
    </xf>
    <xf numFmtId="175" fontId="34" fillId="48" borderId="11" xfId="0" applyFont="1" applyFill="1" applyBorder="1" applyAlignment="1" applyProtection="1">
      <alignment horizontal="center" vertical="center"/>
      <protection locked="0"/>
    </xf>
    <xf numFmtId="175" fontId="34" fillId="0" borderId="20" xfId="0" applyFont="1" applyBorder="1" applyAlignment="1" applyProtection="1">
      <alignment horizontal="right"/>
      <protection locked="0"/>
    </xf>
    <xf numFmtId="175" fontId="15" fillId="0" borderId="11" xfId="0" applyFont="1" applyBorder="1" applyAlignment="1" applyProtection="1">
      <alignment horizontal="left"/>
      <protection locked="0"/>
    </xf>
    <xf numFmtId="175" fontId="14" fillId="0" borderId="19" xfId="0" applyFont="1" applyBorder="1" applyAlignment="1" applyProtection="1">
      <alignment horizontal="center" wrapText="1"/>
      <protection locked="0"/>
    </xf>
    <xf numFmtId="3" fontId="14" fillId="0" borderId="26" xfId="0" applyNumberFormat="1" applyFont="1" applyBorder="1" applyAlignment="1">
      <alignment horizontal="center" wrapText="1"/>
    </xf>
    <xf numFmtId="174" fontId="13" fillId="0" borderId="24" xfId="0" applyNumberFormat="1" applyFont="1" applyBorder="1"/>
    <xf numFmtId="3" fontId="14" fillId="0" borderId="27" xfId="0" applyNumberFormat="1" applyFont="1" applyBorder="1" applyAlignment="1">
      <alignment horizontal="center" wrapText="1"/>
    </xf>
    <xf numFmtId="175" fontId="14" fillId="0" borderId="52" xfId="0" applyFont="1" applyBorder="1" applyAlignment="1">
      <alignment horizontal="center"/>
    </xf>
    <xf numFmtId="4" fontId="13" fillId="0" borderId="32" xfId="0" applyNumberFormat="1" applyFont="1" applyBorder="1" applyAlignment="1">
      <alignment horizontal="right"/>
    </xf>
    <xf numFmtId="4" fontId="13" fillId="0" borderId="29" xfId="0" applyNumberFormat="1" applyFont="1" applyBorder="1" applyAlignment="1">
      <alignment horizontal="right"/>
    </xf>
    <xf numFmtId="175" fontId="14" fillId="0" borderId="17" xfId="0" applyFont="1" applyBorder="1" applyProtection="1">
      <protection locked="0"/>
    </xf>
    <xf numFmtId="175" fontId="14" fillId="0" borderId="11" xfId="0" applyFont="1" applyBorder="1" applyProtection="1">
      <protection locked="0"/>
    </xf>
    <xf numFmtId="175" fontId="14" fillId="0" borderId="18" xfId="0" applyFont="1" applyBorder="1" applyAlignment="1" applyProtection="1">
      <alignment horizontal="center" wrapText="1"/>
      <protection locked="0"/>
    </xf>
    <xf numFmtId="175" fontId="14" fillId="0" borderId="11" xfId="0" applyFont="1" applyBorder="1" applyAlignment="1" applyProtection="1">
      <alignment horizontal="center" wrapText="1"/>
      <protection locked="0"/>
    </xf>
    <xf numFmtId="175" fontId="14" fillId="0" borderId="20" xfId="0" applyFont="1" applyBorder="1" applyAlignment="1" applyProtection="1">
      <alignment horizontal="center" wrapText="1"/>
      <protection locked="0"/>
    </xf>
    <xf numFmtId="175" fontId="14" fillId="0" borderId="21" xfId="0" applyFont="1" applyBorder="1" applyAlignment="1" applyProtection="1">
      <alignment horizontal="center" wrapText="1"/>
      <protection locked="0"/>
    </xf>
    <xf numFmtId="175" fontId="14" fillId="0" borderId="18" xfId="0" applyFont="1" applyBorder="1" applyAlignment="1">
      <alignment horizontal="center" wrapText="1"/>
    </xf>
    <xf numFmtId="175" fontId="14" fillId="0" borderId="18" xfId="0" applyFont="1" applyBorder="1" applyAlignment="1">
      <alignment horizontal="center"/>
    </xf>
    <xf numFmtId="175" fontId="14" fillId="0" borderId="20" xfId="0" applyFont="1" applyBorder="1" applyAlignment="1">
      <alignment horizontal="center" wrapText="1"/>
    </xf>
    <xf numFmtId="175" fontId="14" fillId="0" borderId="19" xfId="0" applyFont="1" applyBorder="1" applyAlignment="1">
      <alignment horizontal="center"/>
    </xf>
    <xf numFmtId="175" fontId="14" fillId="0" borderId="19" xfId="0" applyFont="1" applyBorder="1" applyAlignment="1" applyProtection="1">
      <alignment horizontal="center"/>
      <protection locked="0"/>
    </xf>
    <xf numFmtId="175" fontId="14" fillId="0" borderId="23" xfId="0" applyFont="1" applyBorder="1" applyProtection="1">
      <protection locked="0"/>
    </xf>
    <xf numFmtId="3" fontId="14" fillId="0" borderId="20" xfId="0" applyNumberFormat="1" applyFont="1" applyBorder="1" applyAlignment="1">
      <alignment horizontal="center" wrapText="1"/>
    </xf>
    <xf numFmtId="2" fontId="14" fillId="0" borderId="18" xfId="0" applyNumberFormat="1" applyFont="1" applyBorder="1" applyAlignment="1">
      <alignment horizontal="center" wrapText="1"/>
    </xf>
    <xf numFmtId="175" fontId="14" fillId="0" borderId="26" xfId="0" applyFont="1" applyBorder="1" applyAlignment="1">
      <alignment horizontal="center"/>
    </xf>
    <xf numFmtId="3" fontId="14" fillId="0" borderId="18" xfId="0" applyNumberFormat="1" applyFont="1" applyBorder="1" applyAlignment="1">
      <alignment horizontal="center" wrapText="1"/>
    </xf>
    <xf numFmtId="3" fontId="14" fillId="0" borderId="20" xfId="0" applyNumberFormat="1" applyFont="1" applyBorder="1" applyAlignment="1" applyProtection="1">
      <alignment horizontal="center" wrapText="1"/>
      <protection locked="0"/>
    </xf>
    <xf numFmtId="175" fontId="14" fillId="0" borderId="51" xfId="0" applyFont="1" applyBorder="1" applyAlignment="1">
      <alignment horizontal="center"/>
    </xf>
    <xf numFmtId="175" fontId="14" fillId="0" borderId="28" xfId="0" applyFont="1" applyBorder="1" applyProtection="1">
      <protection locked="0"/>
    </xf>
    <xf numFmtId="175" fontId="39" fillId="0" borderId="0" xfId="0" applyFont="1" applyProtection="1">
      <protection locked="0"/>
    </xf>
    <xf numFmtId="3" fontId="39" fillId="0" borderId="0" xfId="0" applyNumberFormat="1" applyFont="1" applyProtection="1">
      <protection locked="0"/>
    </xf>
    <xf numFmtId="1" fontId="39" fillId="0" borderId="0" xfId="0" applyNumberFormat="1" applyFont="1" applyProtection="1">
      <protection locked="0"/>
    </xf>
    <xf numFmtId="175" fontId="14" fillId="47" borderId="18" xfId="0" applyFont="1" applyFill="1" applyBorder="1" applyAlignment="1" applyProtection="1">
      <alignment horizontal="center" wrapText="1"/>
      <protection locked="0"/>
    </xf>
    <xf numFmtId="175" fontId="15" fillId="47" borderId="0" xfId="67" applyFill="1" applyProtection="1">
      <protection locked="0"/>
    </xf>
    <xf numFmtId="175" fontId="13" fillId="47" borderId="0" xfId="66" applyFill="1" applyProtection="1">
      <protection locked="0"/>
    </xf>
    <xf numFmtId="17" fontId="14" fillId="47" borderId="0" xfId="0" applyNumberFormat="1" applyFont="1" applyFill="1" applyAlignment="1" applyProtection="1">
      <alignment horizontal="center"/>
      <protection locked="0"/>
    </xf>
    <xf numFmtId="175" fontId="15" fillId="47" borderId="0" xfId="0" applyFont="1" applyFill="1" applyProtection="1">
      <protection locked="0"/>
    </xf>
    <xf numFmtId="164" fontId="13" fillId="0" borderId="53" xfId="66" applyNumberFormat="1" applyBorder="1" applyProtection="1">
      <protection locked="0"/>
    </xf>
    <xf numFmtId="175" fontId="51" fillId="47" borderId="0" xfId="0" applyFont="1" applyFill="1" applyAlignment="1">
      <alignment horizontal="center"/>
    </xf>
    <xf numFmtId="175" fontId="14" fillId="0" borderId="53" xfId="66" applyFont="1" applyBorder="1" applyProtection="1">
      <protection locked="0"/>
    </xf>
    <xf numFmtId="175" fontId="14" fillId="47" borderId="0" xfId="0" applyFont="1" applyFill="1" applyProtection="1">
      <protection locked="0"/>
    </xf>
    <xf numFmtId="175" fontId="0" fillId="0" borderId="0" xfId="0" quotePrefix="1"/>
    <xf numFmtId="175" fontId="13" fillId="47" borderId="17" xfId="0" applyFont="1" applyFill="1" applyBorder="1"/>
    <xf numFmtId="3" fontId="53" fillId="47" borderId="17" xfId="0" applyNumberFormat="1" applyFont="1" applyFill="1" applyBorder="1" applyAlignment="1">
      <alignment horizontal="center"/>
    </xf>
    <xf numFmtId="175" fontId="14" fillId="0" borderId="43" xfId="66" quotePrefix="1" applyFont="1" applyBorder="1" applyAlignment="1">
      <alignment horizontal="left" wrapText="1" indent="1"/>
    </xf>
    <xf numFmtId="175" fontId="15" fillId="0" borderId="0" xfId="0" quotePrefix="1" applyFont="1" applyProtection="1">
      <protection locked="0"/>
    </xf>
    <xf numFmtId="175" fontId="65" fillId="0" borderId="0" xfId="0" applyFont="1" applyAlignment="1" applyProtection="1">
      <alignment horizontal="center"/>
      <protection locked="0"/>
    </xf>
    <xf numFmtId="168" fontId="50" fillId="0" borderId="0" xfId="52" applyNumberFormat="1" applyFont="1"/>
    <xf numFmtId="175" fontId="66" fillId="43" borderId="0" xfId="66" applyFont="1" applyFill="1"/>
    <xf numFmtId="44" fontId="66" fillId="43" borderId="0" xfId="50" applyFont="1" applyFill="1"/>
    <xf numFmtId="175" fontId="66" fillId="47" borderId="0" xfId="66" applyFont="1" applyFill="1"/>
    <xf numFmtId="17" fontId="65" fillId="47" borderId="0" xfId="0" applyNumberFormat="1" applyFont="1" applyFill="1" applyAlignment="1" applyProtection="1">
      <alignment horizontal="center"/>
      <protection locked="0"/>
    </xf>
    <xf numFmtId="175" fontId="65" fillId="44" borderId="35" xfId="66" applyFont="1" applyFill="1" applyBorder="1"/>
    <xf numFmtId="175" fontId="66" fillId="43" borderId="37" xfId="66" applyFont="1" applyFill="1" applyBorder="1"/>
    <xf numFmtId="44" fontId="66" fillId="43" borderId="37" xfId="50" applyFont="1" applyFill="1" applyBorder="1"/>
    <xf numFmtId="175" fontId="65" fillId="44" borderId="43" xfId="66" applyFont="1" applyFill="1" applyBorder="1" applyAlignment="1">
      <alignment horizontal="center"/>
    </xf>
    <xf numFmtId="175" fontId="65" fillId="44" borderId="45" xfId="66" applyFont="1" applyFill="1" applyBorder="1" applyAlignment="1">
      <alignment horizontal="center"/>
    </xf>
    <xf numFmtId="175" fontId="65" fillId="43" borderId="0" xfId="66" applyFont="1" applyFill="1" applyAlignment="1">
      <alignment horizontal="center"/>
    </xf>
    <xf numFmtId="44" fontId="65" fillId="43" borderId="0" xfId="50" applyFont="1" applyFill="1" applyAlignment="1">
      <alignment horizontal="center"/>
    </xf>
    <xf numFmtId="175" fontId="65" fillId="0" borderId="45" xfId="66" applyFont="1" applyBorder="1" applyAlignment="1">
      <alignment horizontal="center"/>
    </xf>
    <xf numFmtId="164" fontId="66" fillId="0" borderId="0" xfId="66" applyNumberFormat="1" applyFont="1"/>
    <xf numFmtId="175" fontId="66" fillId="0" borderId="0" xfId="66" applyFont="1"/>
    <xf numFmtId="175" fontId="65" fillId="0" borderId="43" xfId="66" applyFont="1" applyBorder="1" applyAlignment="1">
      <alignment wrapText="1"/>
    </xf>
    <xf numFmtId="175" fontId="65" fillId="0" borderId="20" xfId="66" applyFont="1" applyBorder="1"/>
    <xf numFmtId="175" fontId="65" fillId="0" borderId="54" xfId="66" applyFont="1" applyBorder="1" applyAlignment="1">
      <alignment wrapText="1"/>
    </xf>
    <xf numFmtId="164" fontId="65" fillId="43" borderId="53" xfId="66" applyNumberFormat="1" applyFont="1" applyFill="1" applyBorder="1"/>
    <xf numFmtId="164" fontId="65" fillId="43" borderId="42" xfId="66" applyNumberFormat="1" applyFont="1" applyFill="1" applyBorder="1"/>
    <xf numFmtId="43" fontId="13" fillId="0" borderId="24" xfId="0" applyNumberFormat="1" applyFont="1" applyBorder="1" applyAlignment="1">
      <alignment horizontal="right"/>
    </xf>
    <xf numFmtId="175" fontId="13" fillId="47" borderId="13" xfId="0" applyFont="1" applyFill="1" applyBorder="1"/>
    <xf numFmtId="6" fontId="34" fillId="0" borderId="11" xfId="67" applyNumberFormat="1" applyFont="1" applyBorder="1" applyAlignment="1" applyProtection="1">
      <alignment horizontal="center"/>
      <protection locked="0"/>
    </xf>
    <xf numFmtId="4" fontId="13" fillId="0" borderId="24" xfId="0" applyNumberFormat="1" applyFont="1" applyBorder="1" applyAlignment="1">
      <alignment horizontal="right"/>
    </xf>
    <xf numFmtId="4" fontId="13" fillId="0" borderId="25" xfId="0" applyNumberFormat="1" applyFont="1" applyBorder="1" applyAlignment="1">
      <alignment horizontal="right"/>
    </xf>
    <xf numFmtId="2" fontId="13" fillId="0" borderId="24" xfId="0" applyNumberFormat="1" applyFont="1" applyBorder="1" applyAlignment="1">
      <alignment horizontal="right"/>
    </xf>
    <xf numFmtId="2" fontId="13" fillId="0" borderId="29" xfId="0" applyNumberFormat="1" applyFont="1" applyBorder="1" applyAlignment="1">
      <alignment horizontal="right"/>
    </xf>
    <xf numFmtId="165" fontId="13" fillId="0" borderId="32" xfId="0" applyNumberFormat="1" applyFont="1" applyBorder="1" applyAlignment="1">
      <alignment horizontal="right"/>
    </xf>
    <xf numFmtId="165" fontId="13" fillId="0" borderId="25" xfId="0" applyNumberFormat="1" applyFont="1" applyBorder="1" applyAlignment="1">
      <alignment horizontal="right"/>
    </xf>
    <xf numFmtId="175" fontId="68" fillId="0" borderId="0" xfId="0" applyFont="1" applyAlignment="1">
      <alignment vertical="center"/>
    </xf>
    <xf numFmtId="164" fontId="13" fillId="0" borderId="0" xfId="66" applyNumberFormat="1" applyAlignment="1">
      <alignment horizontal="center"/>
    </xf>
    <xf numFmtId="164" fontId="13" fillId="0" borderId="18" xfId="66" applyNumberFormat="1" applyBorder="1" applyAlignment="1">
      <alignment horizontal="center"/>
    </xf>
    <xf numFmtId="164" fontId="13" fillId="0" borderId="27" xfId="66" applyNumberFormat="1" applyBorder="1" applyAlignment="1">
      <alignment horizontal="center"/>
    </xf>
    <xf numFmtId="164" fontId="13" fillId="44" borderId="18" xfId="66" applyNumberFormat="1" applyFill="1" applyBorder="1" applyAlignment="1">
      <alignment horizontal="center"/>
    </xf>
    <xf numFmtId="164" fontId="14" fillId="0" borderId="48" xfId="66" applyNumberFormat="1" applyFont="1" applyBorder="1" applyAlignment="1">
      <alignment horizontal="center"/>
    </xf>
    <xf numFmtId="164" fontId="14" fillId="0" borderId="37" xfId="66" applyNumberFormat="1" applyFont="1" applyBorder="1" applyAlignment="1">
      <alignment horizontal="center"/>
    </xf>
    <xf numFmtId="164" fontId="13" fillId="0" borderId="0" xfId="66" applyNumberFormat="1" applyAlignment="1" applyProtection="1">
      <alignment horizontal="center"/>
      <protection locked="0"/>
    </xf>
    <xf numFmtId="175" fontId="13" fillId="0" borderId="0" xfId="66" applyAlignment="1">
      <alignment horizontal="center"/>
    </xf>
    <xf numFmtId="164" fontId="13" fillId="0" borderId="14" xfId="66" applyNumberFormat="1" applyBorder="1" applyAlignment="1" applyProtection="1">
      <alignment horizontal="center"/>
      <protection locked="0"/>
    </xf>
    <xf numFmtId="2" fontId="13" fillId="0" borderId="24" xfId="0" applyNumberFormat="1" applyFont="1" applyBorder="1"/>
    <xf numFmtId="2" fontId="13" fillId="0" borderId="25" xfId="0" applyNumberFormat="1" applyFont="1" applyBorder="1" applyAlignment="1">
      <alignment horizontal="right"/>
    </xf>
    <xf numFmtId="2" fontId="13" fillId="0" borderId="32" xfId="0" applyNumberFormat="1" applyFont="1" applyBorder="1" applyAlignment="1">
      <alignment horizontal="right"/>
    </xf>
    <xf numFmtId="2" fontId="13" fillId="0" borderId="29" xfId="0" applyNumberFormat="1" applyFont="1" applyBorder="1"/>
    <xf numFmtId="175" fontId="14" fillId="47" borderId="0" xfId="66" applyFont="1" applyFill="1" applyAlignment="1" applyProtection="1">
      <alignment horizontal="center"/>
      <protection locked="0"/>
    </xf>
    <xf numFmtId="171" fontId="14" fillId="47" borderId="0" xfId="0" applyNumberFormat="1" applyFont="1" applyFill="1" applyAlignment="1" applyProtection="1">
      <alignment horizontal="center"/>
      <protection locked="0"/>
    </xf>
    <xf numFmtId="175" fontId="68" fillId="0" borderId="0" xfId="0" applyFont="1" applyProtection="1">
      <protection locked="0"/>
    </xf>
    <xf numFmtId="175" fontId="68" fillId="0" borderId="0" xfId="0" applyFont="1"/>
    <xf numFmtId="175" fontId="68" fillId="0" borderId="0" xfId="0" applyFont="1" applyAlignment="1">
      <alignment vertical="top"/>
    </xf>
    <xf numFmtId="175" fontId="70" fillId="0" borderId="0" xfId="0" applyFont="1" applyAlignment="1" applyProtection="1">
      <alignment horizontal="left"/>
      <protection locked="0"/>
    </xf>
    <xf numFmtId="175" fontId="70" fillId="0" borderId="0" xfId="0" applyFont="1" applyAlignment="1">
      <alignment horizontal="left" vertical="top"/>
    </xf>
    <xf numFmtId="4" fontId="13" fillId="0" borderId="0" xfId="66" applyNumberFormat="1" applyProtection="1">
      <protection locked="0"/>
    </xf>
    <xf numFmtId="175" fontId="65" fillId="0" borderId="0" xfId="66" applyFont="1" applyAlignment="1">
      <alignment wrapText="1"/>
    </xf>
    <xf numFmtId="164" fontId="65" fillId="43" borderId="0" xfId="66" applyNumberFormat="1" applyFont="1" applyFill="1"/>
    <xf numFmtId="164" fontId="65" fillId="0" borderId="0" xfId="66" applyNumberFormat="1" applyFont="1" applyAlignment="1">
      <alignment horizontal="right"/>
    </xf>
    <xf numFmtId="165" fontId="13" fillId="0" borderId="24" xfId="0" applyNumberFormat="1" applyFont="1" applyBorder="1" applyAlignment="1">
      <alignment horizontal="right"/>
    </xf>
    <xf numFmtId="165" fontId="13" fillId="0" borderId="30" xfId="0" applyNumberFormat="1" applyFont="1" applyBorder="1" applyAlignment="1">
      <alignment horizontal="right"/>
    </xf>
    <xf numFmtId="39" fontId="14" fillId="0" borderId="11" xfId="0" applyNumberFormat="1" applyFont="1" applyBorder="1" applyAlignment="1">
      <alignment horizontal="center"/>
    </xf>
    <xf numFmtId="6" fontId="13" fillId="0" borderId="0" xfId="66" applyNumberFormat="1" applyAlignment="1" applyProtection="1">
      <alignment horizontal="center"/>
      <protection locked="0"/>
    </xf>
    <xf numFmtId="40" fontId="13" fillId="0" borderId="24" xfId="0" applyNumberFormat="1" applyFont="1" applyBorder="1" applyAlignment="1">
      <alignment horizontal="right"/>
    </xf>
    <xf numFmtId="40" fontId="13" fillId="0" borderId="25" xfId="0" applyNumberFormat="1" applyFont="1" applyBorder="1" applyAlignment="1">
      <alignment horizontal="right"/>
    </xf>
    <xf numFmtId="175" fontId="14" fillId="0" borderId="14" xfId="66" applyFont="1" applyBorder="1" applyAlignment="1" applyProtection="1">
      <alignment horizontal="right"/>
      <protection locked="0"/>
    </xf>
    <xf numFmtId="175" fontId="14" fillId="0" borderId="14" xfId="66" quotePrefix="1" applyFont="1" applyBorder="1" applyAlignment="1" applyProtection="1">
      <alignment horizontal="right"/>
      <protection locked="0"/>
    </xf>
    <xf numFmtId="6" fontId="50" fillId="0" borderId="0" xfId="520" applyNumberFormat="1" applyFont="1"/>
    <xf numFmtId="175" fontId="68" fillId="47" borderId="0" xfId="66" applyFont="1" applyFill="1" applyProtection="1">
      <protection locked="0"/>
    </xf>
    <xf numFmtId="0" fontId="50" fillId="0" borderId="0" xfId="520" applyFont="1"/>
    <xf numFmtId="0" fontId="13" fillId="0" borderId="0" xfId="522"/>
    <xf numFmtId="0" fontId="50" fillId="47" borderId="0" xfId="520" applyFont="1" applyFill="1"/>
    <xf numFmtId="168" fontId="50" fillId="0" borderId="0" xfId="520" applyNumberFormat="1" applyFont="1"/>
    <xf numFmtId="4" fontId="13" fillId="0" borderId="30" xfId="0" applyNumberFormat="1" applyFont="1" applyBorder="1" applyAlignment="1">
      <alignment horizontal="right"/>
    </xf>
    <xf numFmtId="175" fontId="34" fillId="0" borderId="0" xfId="67" applyFont="1"/>
    <xf numFmtId="3" fontId="53" fillId="47" borderId="21" xfId="0" applyNumberFormat="1" applyFont="1" applyFill="1" applyBorder="1" applyAlignment="1">
      <alignment horizontal="center"/>
    </xf>
    <xf numFmtId="175" fontId="13" fillId="47" borderId="17" xfId="0" applyFont="1" applyFill="1" applyBorder="1" applyProtection="1">
      <protection locked="0"/>
    </xf>
    <xf numFmtId="175" fontId="13" fillId="47" borderId="13" xfId="0" applyFont="1" applyFill="1" applyBorder="1" applyProtection="1">
      <protection locked="0"/>
    </xf>
    <xf numFmtId="175" fontId="14" fillId="0" borderId="34" xfId="0" applyFont="1" applyBorder="1" applyAlignment="1">
      <alignment horizontal="center"/>
    </xf>
    <xf numFmtId="3" fontId="13" fillId="0" borderId="11" xfId="0" applyNumberFormat="1" applyFont="1" applyBorder="1" applyAlignment="1">
      <alignment horizontal="left" vertical="center" wrapText="1"/>
    </xf>
    <xf numFmtId="175" fontId="34" fillId="0" borderId="11" xfId="0" applyFont="1" applyBorder="1" applyAlignment="1" applyProtection="1">
      <alignment horizontal="left"/>
      <protection locked="0"/>
    </xf>
    <xf numFmtId="175" fontId="34" fillId="47" borderId="11" xfId="0" applyFont="1" applyFill="1" applyBorder="1" applyAlignment="1" applyProtection="1">
      <alignment horizontal="left"/>
      <protection locked="0"/>
    </xf>
    <xf numFmtId="44" fontId="66" fillId="0" borderId="0" xfId="50" applyFont="1"/>
    <xf numFmtId="0" fontId="73" fillId="0" borderId="0" xfId="520" applyFont="1"/>
    <xf numFmtId="0" fontId="73" fillId="0" borderId="27" xfId="520" applyFont="1" applyBorder="1" applyAlignment="1">
      <alignment horizontal="center" vertical="center"/>
    </xf>
    <xf numFmtId="0" fontId="75" fillId="0" borderId="14" xfId="520" applyFont="1" applyBorder="1" applyAlignment="1">
      <alignment horizontal="center" vertical="center" wrapText="1"/>
    </xf>
    <xf numFmtId="6" fontId="73" fillId="0" borderId="0" xfId="520" applyNumberFormat="1" applyFont="1"/>
    <xf numFmtId="6" fontId="73" fillId="0" borderId="14" xfId="520" applyNumberFormat="1" applyFont="1" applyBorder="1"/>
    <xf numFmtId="0" fontId="73" fillId="46" borderId="0" xfId="520" applyFont="1" applyFill="1"/>
    <xf numFmtId="0" fontId="77" fillId="0" borderId="0" xfId="520" applyFont="1"/>
    <xf numFmtId="6" fontId="75" fillId="0" borderId="0" xfId="520" applyNumberFormat="1" applyFont="1"/>
    <xf numFmtId="165" fontId="15" fillId="47" borderId="0" xfId="0" applyNumberFormat="1" applyFont="1" applyFill="1" applyProtection="1">
      <protection locked="0"/>
    </xf>
    <xf numFmtId="6" fontId="73" fillId="0" borderId="41" xfId="520" applyNumberFormat="1" applyFont="1" applyBorder="1"/>
    <xf numFmtId="6" fontId="73" fillId="0" borderId="16" xfId="520" applyNumberFormat="1" applyFont="1" applyBorder="1"/>
    <xf numFmtId="0" fontId="73" fillId="0" borderId="17" xfId="520" applyFont="1" applyBorder="1"/>
    <xf numFmtId="0" fontId="75" fillId="0" borderId="22" xfId="520" applyFont="1" applyBorder="1"/>
    <xf numFmtId="175" fontId="13" fillId="0" borderId="57" xfId="66" applyBorder="1" applyProtection="1">
      <protection locked="0"/>
    </xf>
    <xf numFmtId="175" fontId="13" fillId="0" borderId="58" xfId="66" applyBorder="1" applyProtection="1">
      <protection locked="0"/>
    </xf>
    <xf numFmtId="175" fontId="14" fillId="0" borderId="44" xfId="66" applyFont="1" applyBorder="1" applyAlignment="1" applyProtection="1">
      <alignment horizontal="center" wrapText="1"/>
      <protection locked="0"/>
    </xf>
    <xf numFmtId="175" fontId="13" fillId="0" borderId="46" xfId="66" applyBorder="1" applyProtection="1">
      <protection locked="0"/>
    </xf>
    <xf numFmtId="167" fontId="13" fillId="0" borderId="46" xfId="66" applyNumberFormat="1" applyBorder="1" applyAlignment="1">
      <alignment horizontal="right"/>
    </xf>
    <xf numFmtId="167" fontId="13" fillId="0" borderId="44" xfId="66" applyNumberFormat="1" applyBorder="1" applyAlignment="1">
      <alignment horizontal="right"/>
    </xf>
    <xf numFmtId="167" fontId="13" fillId="0" borderId="44" xfId="66" applyNumberFormat="1" applyBorder="1"/>
    <xf numFmtId="167" fontId="13" fillId="0" borderId="46" xfId="66" applyNumberFormat="1" applyBorder="1"/>
    <xf numFmtId="167" fontId="13" fillId="0" borderId="59" xfId="66" applyNumberFormat="1" applyBorder="1"/>
    <xf numFmtId="6" fontId="13" fillId="0" borderId="60" xfId="66" applyNumberFormat="1" applyBorder="1" applyProtection="1">
      <protection locked="0"/>
    </xf>
    <xf numFmtId="175" fontId="13" fillId="0" borderId="61" xfId="66" applyBorder="1" applyProtection="1">
      <protection locked="0"/>
    </xf>
    <xf numFmtId="175" fontId="15" fillId="0" borderId="20" xfId="0" applyFont="1" applyBorder="1" applyAlignment="1" applyProtection="1">
      <alignment horizontal="left"/>
      <protection locked="0"/>
    </xf>
    <xf numFmtId="175" fontId="34" fillId="0" borderId="15" xfId="0" applyFont="1" applyBorder="1" applyAlignment="1" applyProtection="1">
      <alignment horizontal="center" wrapText="1"/>
      <protection locked="0"/>
    </xf>
    <xf numFmtId="166" fontId="15" fillId="0" borderId="11" xfId="46" applyNumberFormat="1" applyFont="1" applyBorder="1" applyAlignment="1" applyProtection="1">
      <alignment horizontal="right"/>
      <protection locked="0"/>
    </xf>
    <xf numFmtId="175" fontId="14" fillId="0" borderId="62" xfId="66" applyFont="1" applyBorder="1" applyProtection="1">
      <protection locked="0"/>
    </xf>
    <xf numFmtId="175" fontId="14" fillId="0" borderId="34" xfId="66" applyFont="1" applyBorder="1" applyProtection="1">
      <protection locked="0"/>
    </xf>
    <xf numFmtId="175" fontId="16" fillId="0" borderId="17" xfId="66" applyFont="1" applyBorder="1" applyAlignment="1">
      <alignment wrapText="1"/>
    </xf>
    <xf numFmtId="175" fontId="13" fillId="0" borderId="17" xfId="66" applyBorder="1" applyAlignment="1">
      <alignment horizontal="left" indent="1"/>
    </xf>
    <xf numFmtId="175" fontId="13" fillId="47" borderId="17" xfId="66" applyFill="1" applyBorder="1" applyAlignment="1">
      <alignment horizontal="left" indent="1"/>
    </xf>
    <xf numFmtId="175" fontId="14" fillId="0" borderId="20" xfId="66" applyFont="1" applyBorder="1"/>
    <xf numFmtId="175" fontId="14" fillId="0" borderId="17" xfId="66" applyFont="1" applyBorder="1"/>
    <xf numFmtId="175" fontId="13" fillId="0" borderId="17" xfId="66" quotePrefix="1" applyBorder="1" applyAlignment="1">
      <alignment horizontal="left" indent="1"/>
    </xf>
    <xf numFmtId="175" fontId="14" fillId="0" borderId="20" xfId="66" applyFont="1" applyBorder="1" applyAlignment="1">
      <alignment wrapText="1"/>
    </xf>
    <xf numFmtId="175" fontId="14" fillId="0" borderId="22" xfId="66" applyFont="1" applyBorder="1" applyAlignment="1" applyProtection="1">
      <alignment wrapText="1"/>
      <protection locked="0"/>
    </xf>
    <xf numFmtId="0" fontId="76" fillId="49" borderId="18" xfId="520" applyFont="1" applyFill="1" applyBorder="1"/>
    <xf numFmtId="0" fontId="76" fillId="49" borderId="19" xfId="520" applyFont="1" applyFill="1" applyBorder="1"/>
    <xf numFmtId="164" fontId="66" fillId="0" borderId="17" xfId="66" applyNumberFormat="1" applyFont="1" applyBorder="1"/>
    <xf numFmtId="175" fontId="65" fillId="47" borderId="40" xfId="66" applyFont="1" applyFill="1" applyBorder="1" applyAlignment="1">
      <alignment horizontal="center"/>
    </xf>
    <xf numFmtId="175" fontId="66" fillId="0" borderId="40" xfId="66" applyFont="1" applyBorder="1"/>
    <xf numFmtId="175" fontId="66" fillId="47" borderId="40" xfId="66" applyFont="1" applyFill="1" applyBorder="1"/>
    <xf numFmtId="164" fontId="65" fillId="43" borderId="14" xfId="66" applyNumberFormat="1" applyFont="1" applyFill="1" applyBorder="1"/>
    <xf numFmtId="175" fontId="13" fillId="47" borderId="13" xfId="66" applyFill="1" applyBorder="1" applyProtection="1">
      <protection locked="0"/>
    </xf>
    <xf numFmtId="6" fontId="73" fillId="0" borderId="13" xfId="520" applyNumberFormat="1" applyFont="1" applyBorder="1"/>
    <xf numFmtId="175" fontId="61" fillId="0" borderId="0" xfId="66" applyFont="1" applyProtection="1">
      <protection locked="0"/>
    </xf>
    <xf numFmtId="175" fontId="13" fillId="0" borderId="17" xfId="66" applyBorder="1"/>
    <xf numFmtId="175" fontId="13" fillId="47" borderId="17" xfId="0" applyFont="1" applyFill="1" applyBorder="1" applyAlignment="1">
      <alignment horizontal="left"/>
    </xf>
    <xf numFmtId="175" fontId="65" fillId="0" borderId="54" xfId="66" applyFont="1" applyBorder="1"/>
    <xf numFmtId="175" fontId="14" fillId="0" borderId="56" xfId="66" applyFont="1" applyBorder="1" applyAlignment="1">
      <alignment horizontal="center"/>
    </xf>
    <xf numFmtId="175" fontId="14" fillId="0" borderId="56" xfId="66" applyFont="1" applyBorder="1" applyAlignment="1">
      <alignment horizontal="left"/>
    </xf>
    <xf numFmtId="175" fontId="14" fillId="0" borderId="39" xfId="66" applyFont="1" applyBorder="1"/>
    <xf numFmtId="175" fontId="13" fillId="0" borderId="56" xfId="66" applyBorder="1"/>
    <xf numFmtId="175" fontId="14" fillId="0" borderId="56" xfId="66" applyFont="1" applyBorder="1"/>
    <xf numFmtId="175" fontId="14" fillId="0" borderId="39" xfId="66" applyFont="1" applyBorder="1" applyAlignment="1">
      <alignment horizontal="left" wrapText="1" indent="1"/>
    </xf>
    <xf numFmtId="175" fontId="14" fillId="0" borderId="56" xfId="66" applyFont="1" applyBorder="1" applyAlignment="1">
      <alignment horizontal="left" indent="1"/>
    </xf>
    <xf numFmtId="175" fontId="14" fillId="0" borderId="56" xfId="66" applyFont="1" applyBorder="1" applyAlignment="1">
      <alignment horizontal="center" wrapText="1"/>
    </xf>
    <xf numFmtId="175" fontId="14" fillId="0" borderId="39" xfId="66" applyFont="1" applyBorder="1" applyAlignment="1">
      <alignment horizontal="left" indent="1"/>
    </xf>
    <xf numFmtId="175" fontId="14" fillId="0" borderId="63" xfId="66" applyFont="1" applyBorder="1" applyAlignment="1">
      <alignment horizontal="left" indent="1"/>
    </xf>
    <xf numFmtId="175" fontId="14" fillId="0" borderId="66" xfId="66" applyFont="1" applyBorder="1" applyAlignment="1">
      <alignment wrapText="1"/>
    </xf>
    <xf numFmtId="175" fontId="14" fillId="0" borderId="67" xfId="66" applyFont="1" applyBorder="1" applyAlignment="1">
      <alignment horizontal="center"/>
    </xf>
    <xf numFmtId="175" fontId="62" fillId="0" borderId="0" xfId="66" applyFont="1" applyProtection="1">
      <protection locked="0"/>
    </xf>
    <xf numFmtId="43" fontId="13" fillId="50" borderId="27" xfId="46" quotePrefix="1" applyFill="1" applyBorder="1" applyAlignment="1">
      <alignment horizontal="left"/>
    </xf>
    <xf numFmtId="43" fontId="13" fillId="50" borderId="50" xfId="46" quotePrefix="1" applyFill="1" applyBorder="1" applyAlignment="1">
      <alignment horizontal="left"/>
    </xf>
    <xf numFmtId="43" fontId="13" fillId="50" borderId="0" xfId="46" quotePrefix="1" applyFill="1" applyAlignment="1">
      <alignment horizontal="left"/>
    </xf>
    <xf numFmtId="43" fontId="13" fillId="50" borderId="41" xfId="46" quotePrefix="1" applyFill="1" applyBorder="1" applyAlignment="1">
      <alignment horizontal="left"/>
    </xf>
    <xf numFmtId="43" fontId="13" fillId="50" borderId="14" xfId="46" quotePrefix="1" applyFill="1" applyBorder="1" applyAlignment="1">
      <alignment horizontal="left"/>
    </xf>
    <xf numFmtId="43" fontId="13" fillId="50" borderId="16" xfId="46" quotePrefix="1" applyFill="1" applyBorder="1" applyAlignment="1">
      <alignment horizontal="left"/>
    </xf>
    <xf numFmtId="43" fontId="13" fillId="50" borderId="0" xfId="46" quotePrefix="1" applyFill="1" applyAlignment="1">
      <alignment horizontal="center"/>
    </xf>
    <xf numFmtId="3" fontId="14" fillId="47" borderId="18" xfId="0" applyNumberFormat="1" applyFont="1" applyFill="1" applyBorder="1" applyAlignment="1">
      <alignment horizontal="center" wrapText="1"/>
    </xf>
    <xf numFmtId="175" fontId="14" fillId="47" borderId="26" xfId="0" applyFont="1" applyFill="1" applyBorder="1" applyAlignment="1">
      <alignment horizontal="center"/>
    </xf>
    <xf numFmtId="175" fontId="81" fillId="0" borderId="0" xfId="0" applyFont="1" applyAlignment="1" applyProtection="1">
      <alignment vertical="center"/>
      <protection locked="0"/>
    </xf>
    <xf numFmtId="175" fontId="82" fillId="0" borderId="0" xfId="0" applyFont="1" applyAlignment="1" applyProtection="1">
      <alignment vertical="center"/>
      <protection locked="0"/>
    </xf>
    <xf numFmtId="175" fontId="34" fillId="47" borderId="0" xfId="0" applyFont="1" applyFill="1" applyProtection="1">
      <protection locked="0"/>
    </xf>
    <xf numFmtId="164" fontId="65" fillId="47" borderId="42" xfId="66" applyNumberFormat="1" applyFont="1" applyFill="1" applyBorder="1"/>
    <xf numFmtId="43" fontId="13" fillId="0" borderId="0" xfId="46" applyProtection="1">
      <protection locked="0"/>
    </xf>
    <xf numFmtId="2" fontId="15" fillId="0" borderId="0" xfId="0" applyNumberFormat="1" applyFont="1" applyProtection="1">
      <protection locked="0"/>
    </xf>
    <xf numFmtId="175" fontId="14" fillId="47" borderId="0" xfId="782" applyFont="1" applyFill="1" applyAlignment="1">
      <alignment vertical="center"/>
    </xf>
    <xf numFmtId="0" fontId="15" fillId="0" borderId="11" xfId="67" applyNumberFormat="1" applyBorder="1" applyAlignment="1">
      <alignment horizontal="center" vertical="center" wrapText="1"/>
    </xf>
    <xf numFmtId="6" fontId="15" fillId="0" borderId="11" xfId="67" applyNumberFormat="1" applyBorder="1" applyAlignment="1">
      <alignment horizontal="center" vertical="center" wrapText="1"/>
    </xf>
    <xf numFmtId="175" fontId="15" fillId="0" borderId="11" xfId="67" applyBorder="1" applyAlignment="1">
      <alignment horizontal="left" vertical="center" wrapText="1"/>
    </xf>
    <xf numFmtId="14" fontId="15" fillId="0" borderId="11" xfId="67" applyNumberFormat="1" applyBorder="1" applyAlignment="1">
      <alignment horizontal="center" vertical="center" wrapText="1"/>
    </xf>
    <xf numFmtId="175" fontId="34" fillId="0" borderId="0" xfId="67" applyFont="1" applyAlignment="1">
      <alignment horizontal="center" vertical="center"/>
    </xf>
    <xf numFmtId="0" fontId="15" fillId="0" borderId="11" xfId="67" applyNumberFormat="1" applyBorder="1" applyAlignment="1" applyProtection="1">
      <alignment horizontal="center" vertical="center"/>
      <protection locked="0"/>
    </xf>
    <xf numFmtId="6" fontId="15" fillId="0" borderId="11" xfId="67" applyNumberFormat="1" applyBorder="1" applyAlignment="1" applyProtection="1">
      <alignment horizontal="center" vertical="center"/>
      <protection locked="0"/>
    </xf>
    <xf numFmtId="175" fontId="15" fillId="0" borderId="0" xfId="67" applyAlignment="1" applyProtection="1">
      <alignment vertical="center"/>
      <protection locked="0"/>
    </xf>
    <xf numFmtId="175" fontId="15" fillId="0" borderId="11" xfId="67" applyBorder="1" applyAlignment="1">
      <alignment horizontal="center" vertical="center" wrapText="1"/>
    </xf>
    <xf numFmtId="175" fontId="15" fillId="0" borderId="11" xfId="67" applyBorder="1" applyAlignment="1" applyProtection="1">
      <alignment horizontal="center" vertical="center" wrapText="1"/>
      <protection locked="0"/>
    </xf>
    <xf numFmtId="175" fontId="15" fillId="0" borderId="0" xfId="0" applyFont="1" applyAlignment="1">
      <alignment horizontal="center"/>
    </xf>
    <xf numFmtId="172" fontId="13" fillId="0" borderId="0" xfId="0" applyNumberFormat="1" applyFont="1"/>
    <xf numFmtId="175" fontId="39" fillId="0" borderId="0" xfId="0" applyFont="1"/>
    <xf numFmtId="3" fontId="39" fillId="0" borderId="0" xfId="0" applyNumberFormat="1" applyFont="1"/>
    <xf numFmtId="175" fontId="15" fillId="47" borderId="0" xfId="0" applyFont="1" applyFill="1" applyAlignment="1">
      <alignment horizontal="center"/>
    </xf>
    <xf numFmtId="0" fontId="13" fillId="0" borderId="0" xfId="66" applyNumberFormat="1"/>
    <xf numFmtId="175" fontId="13" fillId="47" borderId="0" xfId="66" applyFont="1" applyFill="1" applyAlignment="1" applyProtection="1">
      <alignment horizontal="center"/>
      <protection locked="0"/>
    </xf>
    <xf numFmtId="175" fontId="13" fillId="47" borderId="0" xfId="66" applyFont="1" applyFill="1" applyProtection="1">
      <protection locked="0"/>
    </xf>
    <xf numFmtId="171" fontId="13" fillId="47" borderId="0" xfId="66" applyNumberFormat="1" applyFont="1" applyFill="1" applyAlignment="1" applyProtection="1">
      <alignment horizontal="center"/>
      <protection locked="0"/>
    </xf>
    <xf numFmtId="175" fontId="13" fillId="0" borderId="0" xfId="66" applyBorder="1"/>
    <xf numFmtId="175" fontId="14" fillId="44" borderId="55" xfId="66" applyFont="1" applyFill="1" applyBorder="1" applyAlignment="1">
      <alignment horizontal="center"/>
    </xf>
    <xf numFmtId="175" fontId="14" fillId="0" borderId="55" xfId="0" applyFont="1" applyBorder="1" applyAlignment="1">
      <alignment wrapText="1"/>
    </xf>
    <xf numFmtId="175" fontId="14" fillId="0" borderId="64" xfId="66" applyFont="1" applyBorder="1" applyAlignment="1">
      <alignment horizontal="left"/>
    </xf>
    <xf numFmtId="175" fontId="14" fillId="0" borderId="20" xfId="66" applyFont="1" applyBorder="1" applyAlignment="1" applyProtection="1">
      <alignment horizontal="center"/>
      <protection locked="0"/>
    </xf>
    <xf numFmtId="6" fontId="73" fillId="0" borderId="0" xfId="520" applyNumberFormat="1" applyFont="1" applyBorder="1"/>
    <xf numFmtId="0" fontId="73" fillId="0" borderId="0" xfId="520" applyFont="1" applyBorder="1"/>
    <xf numFmtId="164" fontId="66" fillId="0" borderId="0" xfId="66" applyNumberFormat="1" applyFont="1" applyBorder="1"/>
    <xf numFmtId="0" fontId="75" fillId="0" borderId="21" xfId="520" applyFont="1" applyBorder="1"/>
    <xf numFmtId="164" fontId="66" fillId="0" borderId="22" xfId="66" applyNumberFormat="1" applyFont="1" applyBorder="1"/>
    <xf numFmtId="164" fontId="66" fillId="0" borderId="27" xfId="66" applyNumberFormat="1" applyFont="1" applyBorder="1"/>
    <xf numFmtId="164" fontId="66" fillId="0" borderId="21" xfId="66" applyNumberFormat="1" applyFont="1" applyBorder="1"/>
    <xf numFmtId="164" fontId="66" fillId="0" borderId="14" xfId="66" applyNumberFormat="1" applyFont="1" applyBorder="1"/>
    <xf numFmtId="175" fontId="79" fillId="0" borderId="0" xfId="0" quotePrefix="1" applyFont="1" applyAlignment="1">
      <alignment vertical="center"/>
    </xf>
    <xf numFmtId="175" fontId="79" fillId="0" borderId="0" xfId="0" quotePrefix="1" applyFont="1" applyProtection="1">
      <protection locked="0"/>
    </xf>
    <xf numFmtId="175" fontId="83" fillId="47" borderId="0" xfId="0" quotePrefix="1" applyFont="1" applyFill="1" applyProtection="1">
      <protection locked="0"/>
    </xf>
    <xf numFmtId="175" fontId="14" fillId="0" borderId="20" xfId="66" applyFont="1" applyBorder="1" applyAlignment="1" applyProtection="1">
      <alignment horizontal="right"/>
      <protection locked="0"/>
    </xf>
    <xf numFmtId="6" fontId="13" fillId="0" borderId="22" xfId="66" applyNumberFormat="1" applyBorder="1" applyAlignment="1">
      <alignment horizontal="right"/>
    </xf>
    <xf numFmtId="0" fontId="14" fillId="0" borderId="0" xfId="522" applyFont="1" applyAlignment="1" applyProtection="1">
      <alignment horizontal="center"/>
      <protection locked="0"/>
    </xf>
    <xf numFmtId="17" fontId="14" fillId="47" borderId="0" xfId="522" quotePrefix="1" applyNumberFormat="1" applyFont="1" applyFill="1" applyAlignment="1" applyProtection="1">
      <alignment horizontal="center"/>
      <protection locked="0"/>
    </xf>
    <xf numFmtId="0" fontId="54" fillId="49" borderId="18" xfId="520" applyFont="1" applyFill="1" applyBorder="1"/>
    <xf numFmtId="0" fontId="14" fillId="0" borderId="18" xfId="520" applyFont="1" applyBorder="1" applyAlignment="1">
      <alignment horizontal="center"/>
    </xf>
    <xf numFmtId="0" fontId="14" fillId="0" borderId="14" xfId="520" applyFont="1" applyBorder="1" applyAlignment="1">
      <alignment horizontal="center"/>
    </xf>
    <xf numFmtId="0" fontId="14" fillId="0" borderId="16" xfId="520" applyFont="1" applyBorder="1" applyAlignment="1">
      <alignment horizontal="center"/>
    </xf>
    <xf numFmtId="0" fontId="14" fillId="0" borderId="21" xfId="520" applyFont="1" applyBorder="1" applyAlignment="1">
      <alignment wrapText="1"/>
    </xf>
    <xf numFmtId="0" fontId="13" fillId="0" borderId="17" xfId="520" applyFont="1" applyBorder="1" applyAlignment="1">
      <alignment horizontal="left" indent="2"/>
    </xf>
    <xf numFmtId="0" fontId="13" fillId="0" borderId="17" xfId="520" applyFont="1" applyBorder="1" applyAlignment="1">
      <alignment horizontal="left" wrapText="1" indent="2"/>
    </xf>
    <xf numFmtId="0" fontId="13" fillId="47" borderId="17" xfId="520" applyFont="1" applyFill="1" applyBorder="1" applyAlignment="1">
      <alignment horizontal="left" wrapText="1" indent="2"/>
    </xf>
    <xf numFmtId="0" fontId="86" fillId="0" borderId="17" xfId="520" applyFont="1" applyBorder="1"/>
    <xf numFmtId="0" fontId="54" fillId="49" borderId="20" xfId="520" applyFont="1" applyFill="1" applyBorder="1"/>
    <xf numFmtId="0" fontId="54" fillId="0" borderId="21" xfId="520" applyFont="1" applyBorder="1"/>
    <xf numFmtId="3" fontId="45" fillId="0" borderId="17" xfId="0" applyNumberFormat="1" applyFont="1" applyFill="1" applyBorder="1" applyAlignment="1" applyProtection="1">
      <alignment horizontal="center"/>
      <protection locked="0"/>
    </xf>
    <xf numFmtId="175" fontId="14" fillId="47" borderId="0" xfId="0" applyFont="1" applyFill="1" applyAlignment="1" applyProtection="1">
      <alignment wrapText="1"/>
      <protection locked="0"/>
    </xf>
    <xf numFmtId="175" fontId="14" fillId="47" borderId="11" xfId="66" applyFont="1" applyFill="1" applyBorder="1" applyAlignment="1" applyProtection="1">
      <alignment horizontal="center"/>
    </xf>
    <xf numFmtId="171" fontId="14" fillId="47" borderId="11" xfId="66" applyNumberFormat="1" applyFont="1" applyFill="1" applyBorder="1" applyAlignment="1" applyProtection="1">
      <alignment horizontal="center"/>
    </xf>
    <xf numFmtId="175" fontId="14" fillId="47" borderId="11" xfId="66" applyFont="1" applyFill="1" applyBorder="1" applyAlignment="1" applyProtection="1">
      <alignment horizontal="center" wrapText="1"/>
    </xf>
    <xf numFmtId="1" fontId="13" fillId="47" borderId="11" xfId="66" quotePrefix="1" applyNumberFormat="1" applyFont="1" applyFill="1" applyBorder="1" applyAlignment="1" applyProtection="1">
      <alignment horizontal="center"/>
      <protection locked="0"/>
    </xf>
    <xf numFmtId="175" fontId="13" fillId="47" borderId="11" xfId="66" applyFont="1" applyFill="1" applyBorder="1" applyAlignment="1" applyProtection="1">
      <alignment horizontal="center"/>
      <protection locked="0"/>
    </xf>
    <xf numFmtId="1" fontId="13" fillId="47" borderId="11" xfId="66" applyNumberFormat="1" applyFont="1" applyFill="1" applyBorder="1" applyAlignment="1" applyProtection="1">
      <alignment horizontal="center"/>
      <protection locked="0"/>
    </xf>
    <xf numFmtId="175" fontId="13" fillId="47" borderId="0" xfId="66" applyFont="1" applyFill="1" applyBorder="1" applyAlignment="1" applyProtection="1">
      <alignment horizontal="left"/>
      <protection locked="0"/>
    </xf>
    <xf numFmtId="175" fontId="14" fillId="47" borderId="0" xfId="66" applyFont="1" applyFill="1" applyBorder="1" applyAlignment="1" applyProtection="1">
      <alignment horizontal="left"/>
      <protection locked="0"/>
    </xf>
    <xf numFmtId="175" fontId="14" fillId="0" borderId="11" xfId="0" applyFont="1" applyBorder="1" applyAlignment="1">
      <alignment horizontal="center"/>
    </xf>
    <xf numFmtId="175" fontId="0" fillId="0" borderId="50" xfId="0" applyBorder="1"/>
    <xf numFmtId="2" fontId="39" fillId="0" borderId="0" xfId="0" applyNumberFormat="1" applyFont="1" applyProtection="1">
      <protection locked="0"/>
    </xf>
    <xf numFmtId="0" fontId="13" fillId="0" borderId="0" xfId="520" applyFont="1" applyFill="1" applyBorder="1" applyAlignment="1" applyProtection="1">
      <alignment horizontal="left"/>
      <protection locked="0"/>
    </xf>
    <xf numFmtId="175" fontId="13" fillId="0" borderId="0" xfId="0" applyFont="1" applyFill="1" applyBorder="1"/>
    <xf numFmtId="175" fontId="13" fillId="0" borderId="0" xfId="0" applyFont="1" applyFill="1" applyBorder="1" applyProtection="1">
      <protection locked="0"/>
    </xf>
    <xf numFmtId="2" fontId="13" fillId="0" borderId="0" xfId="0" applyNumberFormat="1" applyFont="1" applyFill="1" applyBorder="1" applyProtection="1">
      <protection locked="0"/>
    </xf>
    <xf numFmtId="1" fontId="13" fillId="0" borderId="0" xfId="0" applyNumberFormat="1" applyFont="1" applyFill="1" applyBorder="1" applyProtection="1">
      <protection locked="0"/>
    </xf>
    <xf numFmtId="1" fontId="13" fillId="0" borderId="74" xfId="0" applyNumberFormat="1" applyFont="1" applyFill="1" applyBorder="1" applyProtection="1">
      <protection locked="0"/>
    </xf>
    <xf numFmtId="175" fontId="13" fillId="0" borderId="0" xfId="0" applyFont="1" applyAlignment="1" applyProtection="1">
      <alignment vertical="top"/>
      <protection locked="0"/>
    </xf>
    <xf numFmtId="175" fontId="13" fillId="0" borderId="0" xfId="0" applyFont="1" applyFill="1" applyAlignment="1" applyProtection="1">
      <alignment vertical="top"/>
      <protection locked="0"/>
    </xf>
    <xf numFmtId="175" fontId="87" fillId="0" borderId="0" xfId="0" applyFont="1" applyFill="1" applyBorder="1" applyAlignment="1">
      <alignment horizontal="center" vertical="top"/>
    </xf>
    <xf numFmtId="175" fontId="87" fillId="0" borderId="73" xfId="0" applyFont="1" applyFill="1" applyBorder="1" applyAlignment="1">
      <alignment horizontal="center" vertical="top"/>
    </xf>
    <xf numFmtId="43" fontId="87" fillId="0" borderId="18" xfId="0" applyNumberFormat="1" applyFont="1" applyFill="1" applyBorder="1" applyAlignment="1" applyProtection="1">
      <alignment horizontal="center" vertical="top" wrapText="1"/>
      <protection locked="0"/>
    </xf>
    <xf numFmtId="43" fontId="87" fillId="0" borderId="11" xfId="0" applyNumberFormat="1" applyFont="1" applyFill="1" applyBorder="1" applyAlignment="1" applyProtection="1">
      <alignment horizontal="center" vertical="top" wrapText="1"/>
      <protection locked="0"/>
    </xf>
    <xf numFmtId="1" fontId="56" fillId="0" borderId="74" xfId="0" applyNumberFormat="1" applyFont="1" applyFill="1" applyBorder="1"/>
    <xf numFmtId="175" fontId="56" fillId="0" borderId="75" xfId="0" applyFont="1" applyFill="1" applyBorder="1"/>
    <xf numFmtId="175" fontId="56" fillId="0" borderId="75" xfId="0" applyFont="1" applyFill="1" applyBorder="1" applyProtection="1">
      <protection locked="0"/>
    </xf>
    <xf numFmtId="176" fontId="13" fillId="0" borderId="0" xfId="0" applyNumberFormat="1" applyFont="1" applyFill="1" applyBorder="1" applyProtection="1">
      <protection locked="0"/>
    </xf>
    <xf numFmtId="0" fontId="13" fillId="0" borderId="0" xfId="0" applyNumberFormat="1" applyFont="1" applyFill="1" applyAlignment="1" applyProtection="1">
      <alignment vertical="top"/>
      <protection locked="0"/>
    </xf>
    <xf numFmtId="0" fontId="1" fillId="0" borderId="0" xfId="888"/>
    <xf numFmtId="171" fontId="14" fillId="47" borderId="0" xfId="0" quotePrefix="1" applyNumberFormat="1" applyFont="1" applyFill="1" applyAlignment="1" applyProtection="1">
      <alignment horizontal="center"/>
      <protection locked="0"/>
    </xf>
    <xf numFmtId="175" fontId="74" fillId="47" borderId="0" xfId="66" applyFont="1" applyFill="1" applyAlignment="1" applyProtection="1">
      <alignment vertical="center"/>
      <protection locked="0"/>
    </xf>
    <xf numFmtId="0" fontId="14" fillId="0" borderId="14" xfId="520" quotePrefix="1" applyNumberFormat="1" applyFont="1" applyBorder="1" applyAlignment="1">
      <alignment horizontal="center"/>
    </xf>
    <xf numFmtId="0" fontId="61" fillId="0" borderId="0" xfId="66" applyNumberFormat="1" applyFont="1" applyAlignment="1">
      <alignment horizontal="left"/>
    </xf>
    <xf numFmtId="164" fontId="68" fillId="0" borderId="0" xfId="66" applyNumberFormat="1" applyFont="1"/>
    <xf numFmtId="175" fontId="61" fillId="47" borderId="0" xfId="66" applyFont="1" applyFill="1" applyAlignment="1">
      <alignment wrapText="1"/>
    </xf>
    <xf numFmtId="4" fontId="34" fillId="0" borderId="11" xfId="0" applyNumberFormat="1" applyFont="1" applyBorder="1"/>
    <xf numFmtId="167" fontId="13" fillId="47" borderId="46" xfId="66" applyNumberFormat="1" applyFill="1" applyBorder="1" applyAlignment="1">
      <alignment horizontal="right"/>
    </xf>
    <xf numFmtId="1" fontId="13" fillId="0" borderId="0" xfId="0" applyNumberFormat="1" applyFont="1" applyProtection="1">
      <protection locked="0"/>
    </xf>
    <xf numFmtId="175" fontId="66" fillId="47" borderId="40" xfId="0" applyFont="1" applyFill="1" applyBorder="1"/>
    <xf numFmtId="6" fontId="13" fillId="0" borderId="41" xfId="66" applyNumberFormat="1" applyBorder="1" applyAlignment="1">
      <alignment horizontal="right"/>
    </xf>
    <xf numFmtId="6" fontId="13" fillId="0" borderId="50" xfId="66" applyNumberFormat="1" applyBorder="1" applyProtection="1">
      <protection locked="0"/>
    </xf>
    <xf numFmtId="175" fontId="66" fillId="0" borderId="0" xfId="0" applyFont="1" applyFill="1" applyBorder="1" applyAlignment="1">
      <alignment horizontal="left"/>
    </xf>
    <xf numFmtId="164" fontId="65" fillId="43" borderId="21" xfId="66" applyNumberFormat="1" applyFont="1" applyFill="1" applyBorder="1" applyAlignment="1">
      <alignment horizontal="right"/>
    </xf>
    <xf numFmtId="164" fontId="65" fillId="43" borderId="14" xfId="66" applyNumberFormat="1" applyFont="1" applyFill="1" applyBorder="1" applyAlignment="1">
      <alignment horizontal="right"/>
    </xf>
    <xf numFmtId="175" fontId="65" fillId="0" borderId="77" xfId="66" applyFont="1" applyBorder="1" applyAlignment="1">
      <alignment horizontal="left" wrapText="1" indent="1"/>
    </xf>
    <xf numFmtId="175" fontId="14" fillId="0" borderId="77" xfId="66" applyFont="1" applyBorder="1"/>
    <xf numFmtId="8" fontId="66" fillId="0" borderId="17" xfId="66" applyNumberFormat="1" applyFont="1" applyBorder="1"/>
    <xf numFmtId="175" fontId="43" fillId="0" borderId="0" xfId="66" applyFont="1" applyFill="1"/>
    <xf numFmtId="3" fontId="13" fillId="47" borderId="41" xfId="0" applyNumberFormat="1" applyFont="1" applyFill="1" applyBorder="1" applyAlignment="1" applyProtection="1">
      <alignment wrapText="1"/>
      <protection locked="0"/>
    </xf>
    <xf numFmtId="165" fontId="13" fillId="47" borderId="0" xfId="0" applyNumberFormat="1" applyFont="1" applyFill="1" applyProtection="1">
      <protection locked="0"/>
    </xf>
    <xf numFmtId="172" fontId="15" fillId="47" borderId="11" xfId="46" applyNumberFormat="1" applyFont="1" applyFill="1" applyBorder="1" applyAlignment="1">
      <alignment horizontal="right"/>
    </xf>
    <xf numFmtId="164" fontId="13" fillId="0" borderId="0" xfId="66" applyNumberFormat="1" applyBorder="1" applyAlignment="1">
      <alignment horizontal="center"/>
    </xf>
    <xf numFmtId="3" fontId="13" fillId="0" borderId="78" xfId="0" applyNumberFormat="1" applyFont="1" applyBorder="1" applyAlignment="1">
      <alignment horizontal="left" vertical="center" wrapText="1"/>
    </xf>
    <xf numFmtId="3" fontId="13" fillId="0" borderId="15" xfId="0" applyNumberFormat="1" applyFont="1" applyBorder="1" applyAlignment="1">
      <alignment horizontal="left" vertical="center" wrapText="1"/>
    </xf>
    <xf numFmtId="175" fontId="0" fillId="0" borderId="0" xfId="0" applyBorder="1"/>
    <xf numFmtId="175" fontId="68" fillId="0" borderId="0" xfId="66" applyFont="1" applyAlignment="1">
      <alignment wrapText="1"/>
    </xf>
    <xf numFmtId="164" fontId="14" fillId="0" borderId="0" xfId="66" applyNumberFormat="1" applyFont="1" applyBorder="1"/>
    <xf numFmtId="175" fontId="68" fillId="0" borderId="0" xfId="66" applyFont="1" applyBorder="1" applyAlignment="1">
      <alignment wrapText="1"/>
    </xf>
    <xf numFmtId="3" fontId="13" fillId="0" borderId="0" xfId="0" applyNumberFormat="1" applyFont="1" applyBorder="1" applyAlignment="1">
      <alignment horizontal="left" vertical="center" wrapText="1"/>
    </xf>
    <xf numFmtId="175" fontId="34" fillId="0" borderId="13" xfId="0" applyFont="1" applyBorder="1" applyAlignment="1">
      <alignment horizontal="center" wrapText="1"/>
    </xf>
    <xf numFmtId="175" fontId="34" fillId="0" borderId="15" xfId="0" applyFont="1" applyBorder="1" applyAlignment="1">
      <alignment horizontal="center" wrapText="1"/>
    </xf>
    <xf numFmtId="175" fontId="14" fillId="0" borderId="11" xfId="0" quotePrefix="1" applyFont="1" applyBorder="1" applyAlignment="1">
      <alignment horizontal="center"/>
    </xf>
    <xf numFmtId="175" fontId="0" fillId="47" borderId="0" xfId="0" applyFill="1" applyAlignment="1">
      <alignment vertical="top" wrapText="1"/>
    </xf>
    <xf numFmtId="175" fontId="61" fillId="0" borderId="0" xfId="0" quotePrefix="1" applyFont="1" applyBorder="1"/>
    <xf numFmtId="175" fontId="61" fillId="53" borderId="0" xfId="0" quotePrefix="1" applyFont="1" applyFill="1" applyBorder="1"/>
    <xf numFmtId="175" fontId="13" fillId="0" borderId="11" xfId="0" applyFont="1" applyBorder="1" applyAlignment="1">
      <alignment vertical="center"/>
    </xf>
    <xf numFmtId="2" fontId="13" fillId="0" borderId="19" xfId="0" applyNumberFormat="1" applyFont="1" applyBorder="1" applyAlignment="1">
      <alignment vertical="center"/>
    </xf>
    <xf numFmtId="3" fontId="13" fillId="53" borderId="19" xfId="0" applyNumberFormat="1" applyFont="1" applyFill="1" applyBorder="1" applyAlignment="1">
      <alignment horizontal="center" vertical="center"/>
    </xf>
    <xf numFmtId="175" fontId="13" fillId="0" borderId="34" xfId="0" applyFont="1" applyBorder="1" applyAlignment="1">
      <alignment vertical="center"/>
    </xf>
    <xf numFmtId="2" fontId="13" fillId="0" borderId="16" xfId="0" applyNumberFormat="1" applyFont="1" applyBorder="1" applyAlignment="1">
      <alignment vertical="center"/>
    </xf>
    <xf numFmtId="3" fontId="13" fillId="53" borderId="16" xfId="0" applyNumberFormat="1" applyFont="1" applyFill="1" applyBorder="1" applyAlignment="1">
      <alignment horizontal="center" vertical="center"/>
    </xf>
    <xf numFmtId="3" fontId="13" fillId="0" borderId="16" xfId="0" applyNumberFormat="1" applyFont="1" applyBorder="1" applyAlignment="1">
      <alignment horizontal="center" vertical="center"/>
    </xf>
    <xf numFmtId="2" fontId="13" fillId="53" borderId="16" xfId="0" applyNumberFormat="1" applyFont="1" applyFill="1" applyBorder="1" applyAlignment="1">
      <alignment vertical="center"/>
    </xf>
    <xf numFmtId="175" fontId="13" fillId="53" borderId="0" xfId="0" applyFont="1" applyFill="1" applyBorder="1"/>
    <xf numFmtId="3" fontId="13" fillId="0" borderId="19" xfId="0" applyNumberFormat="1" applyFont="1" applyBorder="1" applyAlignment="1">
      <alignment horizontal="center" vertical="center"/>
    </xf>
    <xf numFmtId="2" fontId="13" fillId="0" borderId="41" xfId="0" applyNumberFormat="1" applyFont="1" applyBorder="1" applyAlignment="1">
      <alignment vertical="center"/>
    </xf>
    <xf numFmtId="3" fontId="13" fillId="0" borderId="14" xfId="0" applyNumberFormat="1" applyFont="1" applyBorder="1" applyAlignment="1">
      <alignment horizontal="center" vertical="center"/>
    </xf>
    <xf numFmtId="175" fontId="13" fillId="0" borderId="0" xfId="0" applyFont="1" applyBorder="1" applyAlignment="1"/>
    <xf numFmtId="175" fontId="15" fillId="47" borderId="11" xfId="0" applyFont="1" applyFill="1" applyBorder="1" applyAlignment="1" applyProtection="1">
      <alignment horizontal="left"/>
      <protection locked="0"/>
    </xf>
    <xf numFmtId="175" fontId="65" fillId="43" borderId="0" xfId="66" applyFont="1" applyFill="1" applyBorder="1" applyAlignment="1">
      <alignment horizontal="center"/>
    </xf>
    <xf numFmtId="175" fontId="69" fillId="47" borderId="0" xfId="0" quotePrefix="1" applyFont="1" applyFill="1" applyProtection="1">
      <protection locked="0"/>
    </xf>
    <xf numFmtId="175" fontId="89" fillId="0" borderId="0" xfId="0" quotePrefix="1" applyFont="1" applyAlignment="1">
      <alignment vertical="center"/>
    </xf>
    <xf numFmtId="175" fontId="69" fillId="0" borderId="0" xfId="67" applyFont="1" applyProtection="1">
      <protection locked="0"/>
    </xf>
    <xf numFmtId="175" fontId="69" fillId="0" borderId="0" xfId="67" quotePrefix="1" applyFont="1" applyProtection="1">
      <protection locked="0"/>
    </xf>
    <xf numFmtId="175" fontId="70" fillId="0" borderId="0" xfId="0" applyFont="1" applyAlignment="1">
      <alignment vertical="center"/>
    </xf>
    <xf numFmtId="175" fontId="68" fillId="47" borderId="0" xfId="66" quotePrefix="1" applyFont="1" applyFill="1" applyBorder="1" applyAlignment="1" applyProtection="1">
      <alignment horizontal="left"/>
      <protection locked="0"/>
    </xf>
    <xf numFmtId="175" fontId="68" fillId="47" borderId="0" xfId="782" applyFont="1" applyFill="1" applyAlignment="1">
      <alignment vertical="center"/>
    </xf>
    <xf numFmtId="175" fontId="61" fillId="0" borderId="0" xfId="66" applyFont="1"/>
    <xf numFmtId="175" fontId="61" fillId="0" borderId="0" xfId="0" applyFont="1" applyAlignment="1">
      <alignment vertical="center"/>
    </xf>
    <xf numFmtId="0" fontId="70" fillId="0" borderId="0" xfId="520" applyFont="1"/>
    <xf numFmtId="175" fontId="13" fillId="0" borderId="0" xfId="66" applyBorder="1" applyAlignment="1">
      <alignment horizontal="center"/>
    </xf>
    <xf numFmtId="164" fontId="13" fillId="0" borderId="0" xfId="66" applyNumberFormat="1" applyBorder="1" applyAlignment="1">
      <alignment horizontal="right"/>
    </xf>
    <xf numFmtId="164" fontId="13" fillId="0" borderId="20" xfId="66" applyNumberFormat="1" applyBorder="1" applyAlignment="1">
      <alignment horizontal="right"/>
    </xf>
    <xf numFmtId="164" fontId="13" fillId="0" borderId="18" xfId="66" applyNumberFormat="1" applyBorder="1" applyAlignment="1">
      <alignment horizontal="right"/>
    </xf>
    <xf numFmtId="164" fontId="13" fillId="0" borderId="40" xfId="66" applyNumberFormat="1" applyBorder="1" applyAlignment="1">
      <alignment horizontal="right"/>
    </xf>
    <xf numFmtId="164" fontId="13" fillId="0" borderId="68" xfId="66" applyNumberFormat="1" applyBorder="1" applyAlignment="1">
      <alignment horizontal="right"/>
    </xf>
    <xf numFmtId="164" fontId="13" fillId="0" borderId="65" xfId="66" applyNumberFormat="1" applyBorder="1" applyAlignment="1">
      <alignment horizontal="right"/>
    </xf>
    <xf numFmtId="164" fontId="13" fillId="0" borderId="27" xfId="66" applyNumberFormat="1" applyBorder="1" applyAlignment="1">
      <alignment horizontal="right"/>
    </xf>
    <xf numFmtId="164" fontId="13" fillId="44" borderId="68" xfId="66" applyNumberFormat="1" applyFill="1" applyBorder="1" applyAlignment="1">
      <alignment horizontal="right"/>
    </xf>
    <xf numFmtId="164" fontId="13" fillId="44" borderId="18" xfId="66" applyNumberFormat="1" applyFill="1" applyBorder="1" applyAlignment="1">
      <alignment horizontal="right"/>
    </xf>
    <xf numFmtId="164" fontId="14" fillId="0" borderId="69" xfId="66" applyNumberFormat="1" applyFont="1" applyBorder="1" applyAlignment="1">
      <alignment horizontal="right"/>
    </xf>
    <xf numFmtId="164" fontId="14" fillId="0" borderId="48" xfId="66" applyNumberFormat="1" applyFont="1" applyBorder="1" applyAlignment="1">
      <alignment horizontal="right"/>
    </xf>
    <xf numFmtId="175" fontId="65" fillId="43" borderId="0" xfId="66" applyFont="1" applyFill="1" applyAlignment="1"/>
    <xf numFmtId="164" fontId="66" fillId="0" borderId="27" xfId="66" applyNumberFormat="1" applyFont="1" applyBorder="1" applyAlignment="1"/>
    <xf numFmtId="164" fontId="66" fillId="0" borderId="0" xfId="66" applyNumberFormat="1" applyFont="1" applyBorder="1" applyAlignment="1"/>
    <xf numFmtId="164" fontId="66" fillId="0" borderId="14" xfId="66" applyNumberFormat="1" applyFont="1" applyBorder="1" applyAlignment="1"/>
    <xf numFmtId="164" fontId="65" fillId="43" borderId="14" xfId="66" applyNumberFormat="1" applyFont="1" applyFill="1" applyBorder="1" applyAlignment="1"/>
    <xf numFmtId="164" fontId="66" fillId="0" borderId="0" xfId="66" applyNumberFormat="1" applyFont="1" applyAlignment="1"/>
    <xf numFmtId="164" fontId="65" fillId="43" borderId="42" xfId="66" applyNumberFormat="1" applyFont="1" applyFill="1" applyBorder="1" applyAlignment="1"/>
    <xf numFmtId="175" fontId="65" fillId="43" borderId="18" xfId="66" applyFont="1" applyFill="1" applyBorder="1" applyAlignment="1">
      <alignment horizontal="right"/>
    </xf>
    <xf numFmtId="44" fontId="65" fillId="43" borderId="18" xfId="50" applyFont="1" applyFill="1" applyBorder="1" applyAlignment="1">
      <alignment horizontal="right"/>
    </xf>
    <xf numFmtId="175" fontId="13" fillId="0" borderId="0" xfId="0" applyFont="1" applyBorder="1" applyAlignment="1">
      <alignment vertical="center"/>
    </xf>
    <xf numFmtId="2" fontId="13" fillId="0" borderId="0" xfId="0" applyNumberFormat="1" applyFont="1" applyBorder="1" applyAlignment="1">
      <alignment vertical="center"/>
    </xf>
    <xf numFmtId="3" fontId="13" fillId="0" borderId="0" xfId="0" applyNumberFormat="1" applyFont="1" applyBorder="1" applyAlignment="1">
      <alignment horizontal="center" vertical="center"/>
    </xf>
    <xf numFmtId="3" fontId="13" fillId="53" borderId="0" xfId="0" applyNumberFormat="1" applyFont="1" applyFill="1" applyBorder="1" applyAlignment="1">
      <alignment horizontal="center" vertical="center"/>
    </xf>
    <xf numFmtId="175" fontId="61" fillId="43" borderId="0" xfId="66" applyFont="1" applyFill="1"/>
    <xf numFmtId="44" fontId="61" fillId="43" borderId="0" xfId="50" applyFont="1" applyFill="1"/>
    <xf numFmtId="175" fontId="61" fillId="47" borderId="0" xfId="66" applyFont="1" applyFill="1" applyAlignment="1"/>
    <xf numFmtId="175" fontId="92" fillId="0" borderId="0" xfId="0" quotePrefix="1" applyFont="1" applyAlignment="1">
      <alignment vertical="center"/>
    </xf>
    <xf numFmtId="175" fontId="61" fillId="47" borderId="0" xfId="66" applyFont="1" applyFill="1" applyProtection="1">
      <protection locked="0"/>
    </xf>
    <xf numFmtId="44" fontId="66" fillId="47" borderId="0" xfId="50" applyFont="1" applyFill="1"/>
    <xf numFmtId="175" fontId="13" fillId="0" borderId="0" xfId="66" applyFont="1" applyProtection="1">
      <protection locked="0"/>
    </xf>
    <xf numFmtId="8" fontId="66" fillId="0" borderId="27" xfId="66" applyNumberFormat="1" applyFont="1" applyBorder="1"/>
    <xf numFmtId="175" fontId="13" fillId="0" borderId="11" xfId="0" applyFont="1" applyBorder="1"/>
    <xf numFmtId="14" fontId="13" fillId="0" borderId="11" xfId="0" applyNumberFormat="1" applyFont="1" applyBorder="1"/>
    <xf numFmtId="2" fontId="13" fillId="47" borderId="11" xfId="66" applyNumberFormat="1" applyFont="1" applyFill="1" applyBorder="1" applyAlignment="1" applyProtection="1">
      <protection locked="0"/>
    </xf>
    <xf numFmtId="16" fontId="13" fillId="0" borderId="11" xfId="0" applyNumberFormat="1" applyFont="1" applyBorder="1" applyAlignment="1">
      <alignment horizontal="right"/>
    </xf>
    <xf numFmtId="175" fontId="56" fillId="0" borderId="11" xfId="0" applyFont="1" applyBorder="1" applyAlignment="1">
      <alignment horizontal="right"/>
    </xf>
    <xf numFmtId="2" fontId="13" fillId="0" borderId="11" xfId="782" applyNumberFormat="1" applyFont="1" applyBorder="1" applyAlignment="1"/>
    <xf numFmtId="175" fontId="13" fillId="0" borderId="11" xfId="0" applyFont="1" applyFill="1" applyBorder="1"/>
    <xf numFmtId="14" fontId="56" fillId="0" borderId="11" xfId="0" applyNumberFormat="1" applyFont="1" applyBorder="1" applyAlignment="1">
      <alignment horizontal="right"/>
    </xf>
    <xf numFmtId="164" fontId="13" fillId="0" borderId="0" xfId="66" applyNumberFormat="1" applyBorder="1" applyAlignment="1" applyProtection="1">
      <alignment horizontal="center"/>
      <protection locked="0"/>
    </xf>
    <xf numFmtId="175" fontId="14" fillId="0" borderId="79" xfId="66" applyFont="1" applyBorder="1" applyAlignment="1">
      <alignment horizontal="center" wrapText="1"/>
    </xf>
    <xf numFmtId="175" fontId="13" fillId="0" borderId="63" xfId="66" applyBorder="1"/>
    <xf numFmtId="164" fontId="13" fillId="0" borderId="56" xfId="66" applyNumberFormat="1" applyBorder="1"/>
    <xf numFmtId="164" fontId="13" fillId="0" borderId="39" xfId="66" applyNumberFormat="1" applyBorder="1"/>
    <xf numFmtId="164" fontId="13" fillId="0" borderId="63" xfId="66" applyNumberFormat="1" applyBorder="1"/>
    <xf numFmtId="164" fontId="13" fillId="44" borderId="39" xfId="66" applyNumberFormat="1" applyFill="1" applyBorder="1" applyAlignment="1">
      <alignment horizontal="right"/>
    </xf>
    <xf numFmtId="164" fontId="14" fillId="0" borderId="66" xfId="66" applyNumberFormat="1" applyFont="1" applyBorder="1"/>
    <xf numFmtId="175" fontId="66" fillId="43" borderId="55" xfId="66" applyFont="1" applyFill="1" applyBorder="1"/>
    <xf numFmtId="175" fontId="65" fillId="43" borderId="39" xfId="66" applyFont="1" applyFill="1" applyBorder="1" applyAlignment="1">
      <alignment horizontal="center" wrapText="1"/>
    </xf>
    <xf numFmtId="175" fontId="65" fillId="43" borderId="56" xfId="66" applyFont="1" applyFill="1" applyBorder="1" applyAlignment="1">
      <alignment horizontal="center" wrapText="1"/>
    </xf>
    <xf numFmtId="175" fontId="65" fillId="0" borderId="56" xfId="66" applyFont="1" applyBorder="1" applyAlignment="1">
      <alignment horizontal="center" wrapText="1"/>
    </xf>
    <xf numFmtId="164" fontId="66" fillId="0" borderId="56" xfId="66" applyNumberFormat="1" applyFont="1" applyBorder="1"/>
    <xf numFmtId="164" fontId="66" fillId="47" borderId="56" xfId="66" applyNumberFormat="1" applyFont="1" applyFill="1" applyBorder="1"/>
    <xf numFmtId="164" fontId="65" fillId="0" borderId="39" xfId="66" applyNumberFormat="1" applyFont="1" applyBorder="1" applyAlignment="1">
      <alignment horizontal="right"/>
    </xf>
    <xf numFmtId="164" fontId="66" fillId="0" borderId="64" xfId="66" applyNumberFormat="1" applyFont="1" applyBorder="1"/>
    <xf numFmtId="164" fontId="65" fillId="43" borderId="64" xfId="66" applyNumberFormat="1" applyFont="1" applyFill="1" applyBorder="1"/>
    <xf numFmtId="164" fontId="65" fillId="0" borderId="80" xfId="66" applyNumberFormat="1" applyFont="1" applyBorder="1" applyAlignment="1">
      <alignment horizontal="right"/>
    </xf>
    <xf numFmtId="44" fontId="65" fillId="43" borderId="14" xfId="50" applyFont="1" applyFill="1" applyBorder="1"/>
    <xf numFmtId="164" fontId="65" fillId="0" borderId="20" xfId="66" applyNumberFormat="1" applyFont="1" applyBorder="1"/>
    <xf numFmtId="164" fontId="65" fillId="0" borderId="18" xfId="66" applyNumberFormat="1" applyFont="1" applyBorder="1"/>
    <xf numFmtId="164" fontId="65" fillId="0" borderId="18" xfId="66" applyNumberFormat="1" applyFont="1" applyBorder="1" applyAlignment="1"/>
    <xf numFmtId="164" fontId="65" fillId="0" borderId="39" xfId="66" applyNumberFormat="1" applyFont="1" applyBorder="1"/>
    <xf numFmtId="164" fontId="65" fillId="43" borderId="81" xfId="66" applyNumberFormat="1" applyFont="1" applyFill="1" applyBorder="1"/>
    <xf numFmtId="164" fontId="65" fillId="43" borderId="48" xfId="66" applyNumberFormat="1" applyFont="1" applyFill="1" applyBorder="1"/>
    <xf numFmtId="164" fontId="65" fillId="43" borderId="48" xfId="66" applyNumberFormat="1" applyFont="1" applyFill="1" applyBorder="1" applyAlignment="1"/>
    <xf numFmtId="164" fontId="65" fillId="43" borderId="66" xfId="66" applyNumberFormat="1" applyFont="1" applyFill="1" applyBorder="1"/>
    <xf numFmtId="175" fontId="13" fillId="0" borderId="0" xfId="0" applyFont="1" applyBorder="1"/>
    <xf numFmtId="1" fontId="13" fillId="47" borderId="0" xfId="66" quotePrefix="1" applyNumberFormat="1" applyFont="1" applyFill="1" applyBorder="1" applyAlignment="1" applyProtection="1">
      <alignment horizontal="center"/>
      <protection locked="0"/>
    </xf>
    <xf numFmtId="14" fontId="56" fillId="0" borderId="0" xfId="0" applyNumberFormat="1" applyFont="1" applyBorder="1" applyAlignment="1">
      <alignment horizontal="right"/>
    </xf>
    <xf numFmtId="175" fontId="13" fillId="47" borderId="0" xfId="66" applyFont="1" applyFill="1" applyBorder="1" applyAlignment="1" applyProtection="1">
      <alignment horizontal="center"/>
      <protection locked="0"/>
    </xf>
    <xf numFmtId="2" fontId="13" fillId="47" borderId="0" xfId="66" applyNumberFormat="1" applyFont="1" applyFill="1" applyBorder="1" applyAlignment="1" applyProtection="1">
      <protection locked="0"/>
    </xf>
    <xf numFmtId="175" fontId="56" fillId="0" borderId="0" xfId="0" applyFont="1" applyBorder="1" applyAlignment="1">
      <alignment horizontal="right"/>
    </xf>
    <xf numFmtId="1" fontId="13" fillId="47" borderId="0" xfId="66" applyNumberFormat="1" applyFont="1" applyFill="1" applyBorder="1" applyAlignment="1" applyProtection="1">
      <alignment horizontal="center"/>
      <protection locked="0"/>
    </xf>
    <xf numFmtId="175" fontId="61" fillId="0" borderId="0" xfId="0" quotePrefix="1" applyFont="1" applyBorder="1" applyAlignment="1"/>
    <xf numFmtId="175" fontId="34" fillId="0" borderId="11" xfId="0" applyFont="1" applyBorder="1" applyAlignment="1" applyProtection="1">
      <alignment horizontal="center"/>
      <protection locked="0"/>
    </xf>
    <xf numFmtId="175" fontId="34" fillId="0" borderId="11" xfId="0" applyFont="1" applyBorder="1" applyAlignment="1">
      <alignment horizontal="center"/>
    </xf>
    <xf numFmtId="175" fontId="61" fillId="0" borderId="0" xfId="66" applyFont="1" applyAlignment="1">
      <alignment wrapText="1"/>
    </xf>
    <xf numFmtId="6" fontId="13" fillId="0" borderId="0" xfId="46" applyNumberFormat="1" applyProtection="1">
      <protection locked="0"/>
    </xf>
    <xf numFmtId="42" fontId="13" fillId="0" borderId="0" xfId="520" applyNumberFormat="1" applyFont="1" applyBorder="1"/>
    <xf numFmtId="42" fontId="13" fillId="0" borderId="13" xfId="520" applyNumberFormat="1" applyFont="1" applyBorder="1"/>
    <xf numFmtId="42" fontId="13" fillId="0" borderId="41" xfId="520" applyNumberFormat="1" applyBorder="1"/>
    <xf numFmtId="42" fontId="13" fillId="51" borderId="0" xfId="520" applyNumberFormat="1" applyFont="1" applyFill="1"/>
    <xf numFmtId="42" fontId="13" fillId="47" borderId="41" xfId="520" applyNumberFormat="1" applyFont="1" applyFill="1" applyBorder="1"/>
    <xf numFmtId="42" fontId="13" fillId="0" borderId="0" xfId="520" applyNumberFormat="1" applyFont="1"/>
    <xf numFmtId="42" fontId="13" fillId="0" borderId="41" xfId="520" applyNumberFormat="1" applyFont="1" applyBorder="1"/>
    <xf numFmtId="42" fontId="13" fillId="0" borderId="34" xfId="520" applyNumberFormat="1" applyFont="1" applyBorder="1"/>
    <xf numFmtId="42" fontId="13" fillId="0" borderId="15" xfId="520" applyNumberFormat="1" applyFont="1" applyBorder="1"/>
    <xf numFmtId="42" fontId="13" fillId="47" borderId="50" xfId="520" applyNumberFormat="1" applyFill="1" applyBorder="1"/>
    <xf numFmtId="42" fontId="73" fillId="47" borderId="0" xfId="520" applyNumberFormat="1" applyFont="1" applyFill="1"/>
    <xf numFmtId="42" fontId="13" fillId="49" borderId="18" xfId="520" applyNumberFormat="1" applyFont="1" applyFill="1" applyBorder="1"/>
    <xf numFmtId="42" fontId="13" fillId="49" borderId="16" xfId="520" applyNumberFormat="1" applyFont="1" applyFill="1" applyBorder="1"/>
    <xf numFmtId="42" fontId="13" fillId="49" borderId="19" xfId="520" applyNumberFormat="1" applyFont="1" applyFill="1" applyBorder="1"/>
    <xf numFmtId="42" fontId="73" fillId="49" borderId="18" xfId="520" applyNumberFormat="1" applyFont="1" applyFill="1" applyBorder="1"/>
    <xf numFmtId="42" fontId="73" fillId="0" borderId="17" xfId="520" applyNumberFormat="1" applyFont="1" applyBorder="1"/>
    <xf numFmtId="42" fontId="73" fillId="0" borderId="0" xfId="520" applyNumberFormat="1" applyFont="1"/>
    <xf numFmtId="42" fontId="73" fillId="0" borderId="41" xfId="520" applyNumberFormat="1" applyFont="1" applyBorder="1"/>
    <xf numFmtId="42" fontId="73" fillId="0" borderId="0" xfId="520" applyNumberFormat="1" applyFont="1" applyBorder="1"/>
    <xf numFmtId="42" fontId="73" fillId="0" borderId="14" xfId="520" applyNumberFormat="1" applyFont="1" applyBorder="1"/>
    <xf numFmtId="42" fontId="73" fillId="0" borderId="16" xfId="520" applyNumberFormat="1" applyFont="1" applyBorder="1"/>
    <xf numFmtId="42" fontId="13" fillId="0" borderId="22" xfId="520" applyNumberFormat="1" applyFont="1" applyBorder="1"/>
    <xf numFmtId="42" fontId="13" fillId="0" borderId="27" xfId="520" applyNumberFormat="1" applyFont="1" applyBorder="1"/>
    <xf numFmtId="42" fontId="13" fillId="0" borderId="50" xfId="520" applyNumberFormat="1" applyFont="1" applyBorder="1"/>
    <xf numFmtId="42" fontId="13" fillId="0" borderId="50" xfId="520" applyNumberFormat="1" applyBorder="1"/>
    <xf numFmtId="42" fontId="13" fillId="0" borderId="17" xfId="520" applyNumberFormat="1" applyFont="1" applyBorder="1"/>
    <xf numFmtId="42" fontId="13" fillId="0" borderId="21" xfId="520" applyNumberFormat="1" applyFont="1" applyBorder="1"/>
    <xf numFmtId="42" fontId="13" fillId="0" borderId="14" xfId="520" applyNumberFormat="1" applyFont="1" applyBorder="1"/>
    <xf numFmtId="42" fontId="13" fillId="0" borderId="16" xfId="520" applyNumberFormat="1" applyFont="1" applyBorder="1"/>
    <xf numFmtId="42" fontId="13" fillId="0" borderId="16" xfId="520" applyNumberFormat="1" applyBorder="1"/>
    <xf numFmtId="42" fontId="13" fillId="49" borderId="21" xfId="520" applyNumberFormat="1" applyFont="1" applyFill="1" applyBorder="1"/>
    <xf numFmtId="42" fontId="13" fillId="49" borderId="14" xfId="520" applyNumberFormat="1" applyFont="1" applyFill="1" applyBorder="1"/>
    <xf numFmtId="42" fontId="73" fillId="49" borderId="19" xfId="520" applyNumberFormat="1" applyFont="1" applyFill="1" applyBorder="1"/>
    <xf numFmtId="42" fontId="73" fillId="0" borderId="22" xfId="520" applyNumberFormat="1" applyFont="1" applyBorder="1"/>
    <xf numFmtId="42" fontId="73" fillId="0" borderId="27" xfId="520" applyNumberFormat="1" applyFont="1" applyBorder="1"/>
    <xf numFmtId="42" fontId="73" fillId="45" borderId="0" xfId="520" applyNumberFormat="1" applyFont="1" applyFill="1"/>
    <xf numFmtId="42" fontId="73" fillId="0" borderId="50" xfId="520" applyNumberFormat="1" applyFont="1" applyBorder="1"/>
    <xf numFmtId="42" fontId="13" fillId="0" borderId="15" xfId="520" applyNumberFormat="1" applyBorder="1"/>
    <xf numFmtId="42" fontId="13" fillId="0" borderId="13" xfId="520" applyNumberFormat="1" applyBorder="1"/>
    <xf numFmtId="42" fontId="13" fillId="0" borderId="34" xfId="520" applyNumberFormat="1" applyBorder="1"/>
    <xf numFmtId="42" fontId="13" fillId="0" borderId="17" xfId="66" applyNumberFormat="1" applyBorder="1" applyAlignment="1">
      <alignment horizontal="right"/>
    </xf>
    <xf numFmtId="42" fontId="13" fillId="0" borderId="0" xfId="66" applyNumberFormat="1" applyBorder="1" applyAlignment="1">
      <alignment horizontal="right"/>
    </xf>
    <xf numFmtId="42" fontId="13" fillId="0" borderId="41" xfId="66" applyNumberFormat="1" applyBorder="1" applyAlignment="1">
      <alignment horizontal="right"/>
    </xf>
    <xf numFmtId="42" fontId="13" fillId="0" borderId="0" xfId="66" applyNumberFormat="1"/>
    <xf numFmtId="42" fontId="13" fillId="47" borderId="13" xfId="66" applyNumberFormat="1" applyFill="1" applyBorder="1" applyAlignment="1">
      <alignment horizontal="right"/>
    </xf>
    <xf numFmtId="42" fontId="13" fillId="0" borderId="13" xfId="66" applyNumberFormat="1" applyBorder="1" applyAlignment="1">
      <alignment horizontal="right"/>
    </xf>
    <xf numFmtId="42" fontId="13" fillId="0" borderId="21" xfId="66" applyNumberFormat="1" applyBorder="1" applyAlignment="1">
      <alignment horizontal="right"/>
    </xf>
    <xf numFmtId="42" fontId="13" fillId="0" borderId="14" xfId="66" applyNumberFormat="1" applyBorder="1" applyAlignment="1">
      <alignment horizontal="right"/>
    </xf>
    <xf numFmtId="42" fontId="13" fillId="0" borderId="16" xfId="66" applyNumberFormat="1" applyBorder="1" applyAlignment="1">
      <alignment horizontal="right"/>
    </xf>
    <xf numFmtId="42" fontId="13" fillId="0" borderId="21" xfId="66" applyNumberFormat="1" applyBorder="1"/>
    <xf numFmtId="42" fontId="13" fillId="0" borderId="14" xfId="66" applyNumberFormat="1" applyBorder="1"/>
    <xf numFmtId="42" fontId="13" fillId="0" borderId="18" xfId="66" applyNumberFormat="1" applyBorder="1"/>
    <xf numFmtId="42" fontId="13" fillId="47" borderId="11" xfId="66" applyNumberFormat="1" applyFill="1" applyBorder="1"/>
    <xf numFmtId="42" fontId="13" fillId="0" borderId="11" xfId="66" applyNumberFormat="1" applyBorder="1"/>
    <xf numFmtId="42" fontId="13" fillId="0" borderId="0" xfId="66" applyNumberFormat="1" applyProtection="1">
      <protection locked="0"/>
    </xf>
    <xf numFmtId="42" fontId="13" fillId="0" borderId="0" xfId="66" applyNumberFormat="1" applyAlignment="1">
      <alignment horizontal="right"/>
    </xf>
    <xf numFmtId="42" fontId="13" fillId="0" borderId="13" xfId="66" applyNumberFormat="1" applyBorder="1"/>
    <xf numFmtId="42" fontId="13" fillId="47" borderId="13" xfId="66" applyNumberFormat="1" applyFill="1" applyBorder="1"/>
    <xf numFmtId="42" fontId="13" fillId="0" borderId="20" xfId="66" applyNumberFormat="1" applyBorder="1" applyAlignment="1">
      <alignment horizontal="right"/>
    </xf>
    <xf numFmtId="42" fontId="13" fillId="0" borderId="18" xfId="66" applyNumberFormat="1" applyBorder="1" applyAlignment="1">
      <alignment horizontal="right"/>
    </xf>
    <xf numFmtId="42" fontId="13" fillId="0" borderId="41" xfId="66" applyNumberFormat="1" applyBorder="1"/>
    <xf numFmtId="42" fontId="13" fillId="0" borderId="22" xfId="66" applyNumberFormat="1" applyBorder="1" applyAlignment="1">
      <alignment horizontal="right"/>
    </xf>
    <xf numFmtId="42" fontId="13" fillId="0" borderId="27" xfId="66" applyNumberFormat="1" applyBorder="1" applyAlignment="1">
      <alignment horizontal="right"/>
    </xf>
    <xf numFmtId="42" fontId="13" fillId="0" borderId="50" xfId="66" applyNumberFormat="1" applyBorder="1" applyAlignment="1">
      <alignment horizontal="right"/>
    </xf>
    <xf numFmtId="42" fontId="13" fillId="0" borderId="14" xfId="66" applyNumberFormat="1" applyBorder="1" applyProtection="1">
      <protection locked="0"/>
    </xf>
    <xf numFmtId="42" fontId="13" fillId="0" borderId="16" xfId="66" applyNumberFormat="1" applyBorder="1"/>
    <xf numFmtId="42" fontId="13" fillId="0" borderId="19" xfId="66" applyNumberFormat="1" applyBorder="1"/>
    <xf numFmtId="42" fontId="13" fillId="0" borderId="20" xfId="66" applyNumberFormat="1" applyFill="1" applyBorder="1" applyAlignment="1">
      <alignment horizontal="right"/>
    </xf>
    <xf numFmtId="42" fontId="13" fillId="0" borderId="18" xfId="66" applyNumberFormat="1" applyFill="1" applyBorder="1" applyAlignment="1">
      <alignment horizontal="right"/>
    </xf>
    <xf numFmtId="42" fontId="13" fillId="0" borderId="19" xfId="66" applyNumberFormat="1" applyFill="1" applyBorder="1" applyAlignment="1">
      <alignment horizontal="right"/>
    </xf>
    <xf numFmtId="42" fontId="13" fillId="0" borderId="17" xfId="66" applyNumberFormat="1" applyBorder="1"/>
    <xf numFmtId="42" fontId="13" fillId="47" borderId="15" xfId="66" applyNumberFormat="1" applyFill="1" applyBorder="1"/>
    <xf numFmtId="42" fontId="13" fillId="47" borderId="13" xfId="66" applyNumberFormat="1" applyFill="1" applyBorder="1" applyProtection="1">
      <protection locked="0"/>
    </xf>
    <xf numFmtId="42" fontId="13" fillId="47" borderId="0" xfId="66" applyNumberFormat="1" applyFill="1"/>
    <xf numFmtId="42" fontId="13" fillId="0" borderId="13" xfId="66" applyNumberFormat="1" applyBorder="1" applyProtection="1">
      <protection locked="0"/>
    </xf>
    <xf numFmtId="42" fontId="13" fillId="0" borderId="34" xfId="66" applyNumberFormat="1" applyBorder="1" applyProtection="1">
      <protection locked="0"/>
    </xf>
    <xf numFmtId="42" fontId="13" fillId="0" borderId="23" xfId="66" applyNumberFormat="1" applyBorder="1" applyAlignment="1">
      <alignment horizontal="right"/>
    </xf>
    <xf numFmtId="42" fontId="13" fillId="47" borderId="33" xfId="66" applyNumberFormat="1" applyFill="1" applyBorder="1" applyAlignment="1">
      <alignment horizontal="right"/>
    </xf>
    <xf numFmtId="42" fontId="13" fillId="0" borderId="17" xfId="66" applyNumberFormat="1" applyBorder="1" applyAlignment="1" applyProtection="1">
      <alignment horizontal="center"/>
      <protection locked="0"/>
    </xf>
    <xf numFmtId="42" fontId="13" fillId="0" borderId="0" xfId="66" applyNumberFormat="1" applyAlignment="1" applyProtection="1">
      <alignment horizontal="right"/>
      <protection locked="0"/>
    </xf>
    <xf numFmtId="175" fontId="93" fillId="0" borderId="0" xfId="0" applyFont="1"/>
    <xf numFmtId="175" fontId="61" fillId="47" borderId="0" xfId="0" quotePrefix="1" applyFont="1" applyFill="1" applyAlignment="1">
      <alignment horizontal="left" vertical="top" wrapText="1"/>
    </xf>
    <xf numFmtId="175" fontId="14" fillId="0" borderId="70" xfId="0" applyFont="1" applyBorder="1" applyAlignment="1">
      <alignment horizontal="center"/>
    </xf>
    <xf numFmtId="175" fontId="14" fillId="0" borderId="71" xfId="0" applyFont="1" applyBorder="1" applyAlignment="1">
      <alignment horizontal="center"/>
    </xf>
    <xf numFmtId="175" fontId="14" fillId="0" borderId="72" xfId="0" applyFont="1" applyBorder="1" applyAlignment="1">
      <alignment horizontal="center"/>
    </xf>
    <xf numFmtId="175" fontId="61" fillId="0" borderId="0" xfId="0" quotePrefix="1" applyFont="1" applyBorder="1" applyAlignment="1"/>
    <xf numFmtId="175" fontId="61" fillId="0" borderId="0" xfId="0" applyFont="1" applyBorder="1" applyAlignment="1"/>
    <xf numFmtId="175" fontId="61" fillId="53" borderId="0" xfId="0" quotePrefix="1" applyFont="1" applyFill="1" applyBorder="1" applyAlignment="1"/>
    <xf numFmtId="175" fontId="61" fillId="53" borderId="0" xfId="0" applyFont="1" applyFill="1" applyBorder="1" applyAlignment="1"/>
    <xf numFmtId="175" fontId="14" fillId="0" borderId="17" xfId="0" applyFont="1" applyBorder="1" applyAlignment="1">
      <alignment horizontal="center"/>
    </xf>
    <xf numFmtId="175" fontId="14" fillId="0" borderId="0" xfId="0" applyFont="1" applyBorder="1" applyAlignment="1">
      <alignment horizontal="center"/>
    </xf>
    <xf numFmtId="175" fontId="14" fillId="0" borderId="41" xfId="0" applyFont="1" applyBorder="1" applyAlignment="1">
      <alignment horizontal="center"/>
    </xf>
    <xf numFmtId="175" fontId="68" fillId="0" borderId="0" xfId="0" applyFont="1" applyAlignment="1">
      <alignment vertical="top" wrapText="1"/>
    </xf>
    <xf numFmtId="175" fontId="34" fillId="0" borderId="11" xfId="0" applyFont="1" applyBorder="1" applyAlignment="1" applyProtection="1">
      <alignment horizontal="center"/>
      <protection locked="0"/>
    </xf>
    <xf numFmtId="175" fontId="34" fillId="0" borderId="11" xfId="0" applyFont="1" applyBorder="1" applyAlignment="1">
      <alignment horizontal="center"/>
    </xf>
    <xf numFmtId="175" fontId="81" fillId="0" borderId="0" xfId="0" applyFont="1" applyAlignment="1" applyProtection="1">
      <alignment horizontal="center"/>
      <protection locked="0"/>
    </xf>
    <xf numFmtId="17" fontId="81" fillId="47" borderId="0" xfId="0" quotePrefix="1" applyNumberFormat="1" applyFont="1" applyFill="1" applyAlignment="1" applyProtection="1">
      <alignment horizontal="left"/>
      <protection locked="0"/>
    </xf>
    <xf numFmtId="0" fontId="75" fillId="0" borderId="22" xfId="520" applyFont="1" applyBorder="1" applyAlignment="1">
      <alignment horizontal="center" vertical="center" wrapText="1"/>
    </xf>
    <xf numFmtId="0" fontId="75" fillId="0" borderId="21" xfId="520" applyFont="1" applyBorder="1" applyAlignment="1">
      <alignment horizontal="center" vertical="center" wrapText="1"/>
    </xf>
    <xf numFmtId="0" fontId="75" fillId="0" borderId="15" xfId="520" applyFont="1" applyBorder="1" applyAlignment="1">
      <alignment horizontal="center" vertical="center" wrapText="1"/>
    </xf>
    <xf numFmtId="0" fontId="75" fillId="0" borderId="34" xfId="520" applyFont="1" applyBorder="1" applyAlignment="1">
      <alignment horizontal="center" vertical="center" wrapText="1"/>
    </xf>
    <xf numFmtId="175" fontId="54" fillId="47" borderId="20" xfId="66" applyFont="1" applyFill="1" applyBorder="1" applyAlignment="1" applyProtection="1">
      <alignment horizontal="center" wrapText="1"/>
    </xf>
    <xf numFmtId="175" fontId="54" fillId="47" borderId="18" xfId="66" applyFont="1" applyFill="1" applyBorder="1" applyAlignment="1" applyProtection="1">
      <alignment horizontal="center" wrapText="1"/>
    </xf>
    <xf numFmtId="175" fontId="54" fillId="47" borderId="19" xfId="66" applyFont="1" applyFill="1" applyBorder="1" applyAlignment="1" applyProtection="1">
      <alignment horizontal="center" wrapText="1"/>
    </xf>
    <xf numFmtId="175" fontId="13" fillId="0" borderId="0" xfId="66" applyAlignment="1">
      <alignment wrapText="1"/>
    </xf>
    <xf numFmtId="175" fontId="61" fillId="0" borderId="0" xfId="66" applyFont="1" applyAlignment="1">
      <alignment wrapText="1"/>
    </xf>
  </cellXfs>
  <cellStyles count="892">
    <cellStyle name="20% - Accent1" xfId="1" builtinId="30" customBuiltin="1"/>
    <cellStyle name="20% - Accent1 2" xfId="115" xr:uid="{00000000-0005-0000-0000-000001000000}"/>
    <cellStyle name="20% - Accent1 3" xfId="149" xr:uid="{00000000-0005-0000-0000-000002000000}"/>
    <cellStyle name="20% - Accent1 4" xfId="195" xr:uid="{00000000-0005-0000-0000-000003000000}"/>
    <cellStyle name="20% - Accent1 5" xfId="241" xr:uid="{00000000-0005-0000-0000-000004000000}"/>
    <cellStyle name="20% - Accent1 6" xfId="290" xr:uid="{00000000-0005-0000-0000-000005000000}"/>
    <cellStyle name="20% - Accent1 7" xfId="354" xr:uid="{00000000-0005-0000-0000-000006000000}"/>
    <cellStyle name="20% - Accent1 8" xfId="425" xr:uid="{00000000-0005-0000-0000-000007000000}"/>
    <cellStyle name="20% - Accent1 9" xfId="529" xr:uid="{00000000-0005-0000-0000-000008000000}"/>
    <cellStyle name="20% - Accent2" xfId="2" builtinId="34" customBuiltin="1"/>
    <cellStyle name="20% - Accent2 2" xfId="116" xr:uid="{00000000-0005-0000-0000-00000A000000}"/>
    <cellStyle name="20% - Accent2 3" xfId="150" xr:uid="{00000000-0005-0000-0000-00000B000000}"/>
    <cellStyle name="20% - Accent2 4" xfId="196" xr:uid="{00000000-0005-0000-0000-00000C000000}"/>
    <cellStyle name="20% - Accent2 5" xfId="242" xr:uid="{00000000-0005-0000-0000-00000D000000}"/>
    <cellStyle name="20% - Accent2 6" xfId="291" xr:uid="{00000000-0005-0000-0000-00000E000000}"/>
    <cellStyle name="20% - Accent2 7" xfId="355" xr:uid="{00000000-0005-0000-0000-00000F000000}"/>
    <cellStyle name="20% - Accent2 8" xfId="426" xr:uid="{00000000-0005-0000-0000-000010000000}"/>
    <cellStyle name="20% - Accent2 9" xfId="530" xr:uid="{00000000-0005-0000-0000-000011000000}"/>
    <cellStyle name="20% - Accent3" xfId="3" builtinId="38" customBuiltin="1"/>
    <cellStyle name="20% - Accent3 2" xfId="117" xr:uid="{00000000-0005-0000-0000-000013000000}"/>
    <cellStyle name="20% - Accent3 3" xfId="151" xr:uid="{00000000-0005-0000-0000-000014000000}"/>
    <cellStyle name="20% - Accent3 4" xfId="197" xr:uid="{00000000-0005-0000-0000-000015000000}"/>
    <cellStyle name="20% - Accent3 5" xfId="243" xr:uid="{00000000-0005-0000-0000-000016000000}"/>
    <cellStyle name="20% - Accent3 6" xfId="292" xr:uid="{00000000-0005-0000-0000-000017000000}"/>
    <cellStyle name="20% - Accent3 7" xfId="356" xr:uid="{00000000-0005-0000-0000-000018000000}"/>
    <cellStyle name="20% - Accent3 8" xfId="427" xr:uid="{00000000-0005-0000-0000-000019000000}"/>
    <cellStyle name="20% - Accent3 9" xfId="531" xr:uid="{00000000-0005-0000-0000-00001A000000}"/>
    <cellStyle name="20% - Accent4" xfId="4" builtinId="42" customBuiltin="1"/>
    <cellStyle name="20% - Accent4 2" xfId="118" xr:uid="{00000000-0005-0000-0000-00001C000000}"/>
    <cellStyle name="20% - Accent4 3" xfId="152" xr:uid="{00000000-0005-0000-0000-00001D000000}"/>
    <cellStyle name="20% - Accent4 4" xfId="198" xr:uid="{00000000-0005-0000-0000-00001E000000}"/>
    <cellStyle name="20% - Accent4 5" xfId="244" xr:uid="{00000000-0005-0000-0000-00001F000000}"/>
    <cellStyle name="20% - Accent4 6" xfId="293" xr:uid="{00000000-0005-0000-0000-000020000000}"/>
    <cellStyle name="20% - Accent4 7" xfId="357" xr:uid="{00000000-0005-0000-0000-000021000000}"/>
    <cellStyle name="20% - Accent4 8" xfId="428" xr:uid="{00000000-0005-0000-0000-000022000000}"/>
    <cellStyle name="20% - Accent4 9" xfId="532" xr:uid="{00000000-0005-0000-0000-000023000000}"/>
    <cellStyle name="20% - Accent5" xfId="5" builtinId="46" customBuiltin="1"/>
    <cellStyle name="20% - Accent5 2" xfId="119" xr:uid="{00000000-0005-0000-0000-000025000000}"/>
    <cellStyle name="20% - Accent5 3" xfId="153" xr:uid="{00000000-0005-0000-0000-000026000000}"/>
    <cellStyle name="20% - Accent5 4" xfId="199" xr:uid="{00000000-0005-0000-0000-000027000000}"/>
    <cellStyle name="20% - Accent5 5" xfId="245" xr:uid="{00000000-0005-0000-0000-000028000000}"/>
    <cellStyle name="20% - Accent5 6" xfId="294" xr:uid="{00000000-0005-0000-0000-000029000000}"/>
    <cellStyle name="20% - Accent5 7" xfId="358" xr:uid="{00000000-0005-0000-0000-00002A000000}"/>
    <cellStyle name="20% - Accent5 8" xfId="429" xr:uid="{00000000-0005-0000-0000-00002B000000}"/>
    <cellStyle name="20% - Accent5 9" xfId="533" xr:uid="{00000000-0005-0000-0000-00002C000000}"/>
    <cellStyle name="20% - Accent6" xfId="6" builtinId="50" customBuiltin="1"/>
    <cellStyle name="20% - Accent6 2" xfId="120" xr:uid="{00000000-0005-0000-0000-00002E000000}"/>
    <cellStyle name="20% - Accent6 3" xfId="154" xr:uid="{00000000-0005-0000-0000-00002F000000}"/>
    <cellStyle name="20% - Accent6 4" xfId="200" xr:uid="{00000000-0005-0000-0000-000030000000}"/>
    <cellStyle name="20% - Accent6 5" xfId="246" xr:uid="{00000000-0005-0000-0000-000031000000}"/>
    <cellStyle name="20% - Accent6 6" xfId="295" xr:uid="{00000000-0005-0000-0000-000032000000}"/>
    <cellStyle name="20% - Accent6 7" xfId="359" xr:uid="{00000000-0005-0000-0000-000033000000}"/>
    <cellStyle name="20% - Accent6 8" xfId="430" xr:uid="{00000000-0005-0000-0000-000034000000}"/>
    <cellStyle name="20% - Accent6 9" xfId="534" xr:uid="{00000000-0005-0000-0000-000035000000}"/>
    <cellStyle name="40% - Accent1" xfId="7" builtinId="31" customBuiltin="1"/>
    <cellStyle name="40% - Accent1 2" xfId="121" xr:uid="{00000000-0005-0000-0000-000037000000}"/>
    <cellStyle name="40% - Accent1 3" xfId="155" xr:uid="{00000000-0005-0000-0000-000038000000}"/>
    <cellStyle name="40% - Accent1 4" xfId="201" xr:uid="{00000000-0005-0000-0000-000039000000}"/>
    <cellStyle name="40% - Accent1 5" xfId="247" xr:uid="{00000000-0005-0000-0000-00003A000000}"/>
    <cellStyle name="40% - Accent1 6" xfId="296" xr:uid="{00000000-0005-0000-0000-00003B000000}"/>
    <cellStyle name="40% - Accent1 7" xfId="360" xr:uid="{00000000-0005-0000-0000-00003C000000}"/>
    <cellStyle name="40% - Accent1 8" xfId="431" xr:uid="{00000000-0005-0000-0000-00003D000000}"/>
    <cellStyle name="40% - Accent1 9" xfId="535" xr:uid="{00000000-0005-0000-0000-00003E000000}"/>
    <cellStyle name="40% - Accent2" xfId="8" builtinId="35" customBuiltin="1"/>
    <cellStyle name="40% - Accent2 2" xfId="122" xr:uid="{00000000-0005-0000-0000-000040000000}"/>
    <cellStyle name="40% - Accent2 3" xfId="156" xr:uid="{00000000-0005-0000-0000-000041000000}"/>
    <cellStyle name="40% - Accent2 4" xfId="202" xr:uid="{00000000-0005-0000-0000-000042000000}"/>
    <cellStyle name="40% - Accent2 5" xfId="248" xr:uid="{00000000-0005-0000-0000-000043000000}"/>
    <cellStyle name="40% - Accent2 6" xfId="297" xr:uid="{00000000-0005-0000-0000-000044000000}"/>
    <cellStyle name="40% - Accent2 7" xfId="361" xr:uid="{00000000-0005-0000-0000-000045000000}"/>
    <cellStyle name="40% - Accent2 8" xfId="432" xr:uid="{00000000-0005-0000-0000-000046000000}"/>
    <cellStyle name="40% - Accent2 9" xfId="536" xr:uid="{00000000-0005-0000-0000-000047000000}"/>
    <cellStyle name="40% - Accent3" xfId="9" builtinId="39" customBuiltin="1"/>
    <cellStyle name="40% - Accent3 2" xfId="123" xr:uid="{00000000-0005-0000-0000-000049000000}"/>
    <cellStyle name="40% - Accent3 3" xfId="157" xr:uid="{00000000-0005-0000-0000-00004A000000}"/>
    <cellStyle name="40% - Accent3 4" xfId="203" xr:uid="{00000000-0005-0000-0000-00004B000000}"/>
    <cellStyle name="40% - Accent3 5" xfId="249" xr:uid="{00000000-0005-0000-0000-00004C000000}"/>
    <cellStyle name="40% - Accent3 6" xfId="298" xr:uid="{00000000-0005-0000-0000-00004D000000}"/>
    <cellStyle name="40% - Accent3 7" xfId="362" xr:uid="{00000000-0005-0000-0000-00004E000000}"/>
    <cellStyle name="40% - Accent3 8" xfId="433" xr:uid="{00000000-0005-0000-0000-00004F000000}"/>
    <cellStyle name="40% - Accent3 9" xfId="537" xr:uid="{00000000-0005-0000-0000-000050000000}"/>
    <cellStyle name="40% - Accent4" xfId="10" builtinId="43" customBuiltin="1"/>
    <cellStyle name="40% - Accent4 2" xfId="124" xr:uid="{00000000-0005-0000-0000-000052000000}"/>
    <cellStyle name="40% - Accent4 3" xfId="158" xr:uid="{00000000-0005-0000-0000-000053000000}"/>
    <cellStyle name="40% - Accent4 4" xfId="204" xr:uid="{00000000-0005-0000-0000-000054000000}"/>
    <cellStyle name="40% - Accent4 5" xfId="250" xr:uid="{00000000-0005-0000-0000-000055000000}"/>
    <cellStyle name="40% - Accent4 6" xfId="299" xr:uid="{00000000-0005-0000-0000-000056000000}"/>
    <cellStyle name="40% - Accent4 7" xfId="363" xr:uid="{00000000-0005-0000-0000-000057000000}"/>
    <cellStyle name="40% - Accent4 8" xfId="434" xr:uid="{00000000-0005-0000-0000-000058000000}"/>
    <cellStyle name="40% - Accent4 9" xfId="538" xr:uid="{00000000-0005-0000-0000-000059000000}"/>
    <cellStyle name="40% - Accent5" xfId="11" builtinId="47" customBuiltin="1"/>
    <cellStyle name="40% - Accent5 2" xfId="125" xr:uid="{00000000-0005-0000-0000-00005B000000}"/>
    <cellStyle name="40% - Accent5 3" xfId="159" xr:uid="{00000000-0005-0000-0000-00005C000000}"/>
    <cellStyle name="40% - Accent5 4" xfId="205" xr:uid="{00000000-0005-0000-0000-00005D000000}"/>
    <cellStyle name="40% - Accent5 5" xfId="251" xr:uid="{00000000-0005-0000-0000-00005E000000}"/>
    <cellStyle name="40% - Accent5 6" xfId="300" xr:uid="{00000000-0005-0000-0000-00005F000000}"/>
    <cellStyle name="40% - Accent5 7" xfId="364" xr:uid="{00000000-0005-0000-0000-000060000000}"/>
    <cellStyle name="40% - Accent5 8" xfId="435" xr:uid="{00000000-0005-0000-0000-000061000000}"/>
    <cellStyle name="40% - Accent5 9" xfId="539" xr:uid="{00000000-0005-0000-0000-000062000000}"/>
    <cellStyle name="40% - Accent6" xfId="12" builtinId="51" customBuiltin="1"/>
    <cellStyle name="40% - Accent6 2" xfId="126" xr:uid="{00000000-0005-0000-0000-000064000000}"/>
    <cellStyle name="40% - Accent6 3" xfId="160" xr:uid="{00000000-0005-0000-0000-000065000000}"/>
    <cellStyle name="40% - Accent6 4" xfId="206" xr:uid="{00000000-0005-0000-0000-000066000000}"/>
    <cellStyle name="40% - Accent6 5" xfId="252" xr:uid="{00000000-0005-0000-0000-000067000000}"/>
    <cellStyle name="40% - Accent6 6" xfId="301" xr:uid="{00000000-0005-0000-0000-000068000000}"/>
    <cellStyle name="40% - Accent6 7" xfId="365" xr:uid="{00000000-0005-0000-0000-000069000000}"/>
    <cellStyle name="40% - Accent6 8" xfId="436" xr:uid="{00000000-0005-0000-0000-00006A000000}"/>
    <cellStyle name="40% - Accent6 9" xfId="540" xr:uid="{00000000-0005-0000-0000-00006B000000}"/>
    <cellStyle name="60% - Accent1" xfId="13" builtinId="32" customBuiltin="1"/>
    <cellStyle name="60% - Accent1 2" xfId="161" xr:uid="{00000000-0005-0000-0000-00006D000000}"/>
    <cellStyle name="60% - Accent1 3" xfId="207" xr:uid="{00000000-0005-0000-0000-00006E000000}"/>
    <cellStyle name="60% - Accent1 4" xfId="253" xr:uid="{00000000-0005-0000-0000-00006F000000}"/>
    <cellStyle name="60% - Accent1 5" xfId="302" xr:uid="{00000000-0005-0000-0000-000070000000}"/>
    <cellStyle name="60% - Accent1 6" xfId="366" xr:uid="{00000000-0005-0000-0000-000071000000}"/>
    <cellStyle name="60% - Accent1 7" xfId="437" xr:uid="{00000000-0005-0000-0000-000072000000}"/>
    <cellStyle name="60% - Accent1 8" xfId="541" xr:uid="{00000000-0005-0000-0000-000073000000}"/>
    <cellStyle name="60% - Accent2" xfId="14" builtinId="36" customBuiltin="1"/>
    <cellStyle name="60% - Accent2 2" xfId="162" xr:uid="{00000000-0005-0000-0000-000075000000}"/>
    <cellStyle name="60% - Accent2 3" xfId="208" xr:uid="{00000000-0005-0000-0000-000076000000}"/>
    <cellStyle name="60% - Accent2 4" xfId="254" xr:uid="{00000000-0005-0000-0000-000077000000}"/>
    <cellStyle name="60% - Accent2 5" xfId="303" xr:uid="{00000000-0005-0000-0000-000078000000}"/>
    <cellStyle name="60% - Accent2 6" xfId="367" xr:uid="{00000000-0005-0000-0000-000079000000}"/>
    <cellStyle name="60% - Accent2 7" xfId="438" xr:uid="{00000000-0005-0000-0000-00007A000000}"/>
    <cellStyle name="60% - Accent2 8" xfId="542" xr:uid="{00000000-0005-0000-0000-00007B000000}"/>
    <cellStyle name="60% - Accent3" xfId="15" builtinId="40" customBuiltin="1"/>
    <cellStyle name="60% - Accent3 2" xfId="163" xr:uid="{00000000-0005-0000-0000-00007D000000}"/>
    <cellStyle name="60% - Accent3 3" xfId="209" xr:uid="{00000000-0005-0000-0000-00007E000000}"/>
    <cellStyle name="60% - Accent3 4" xfId="255" xr:uid="{00000000-0005-0000-0000-00007F000000}"/>
    <cellStyle name="60% - Accent3 5" xfId="304" xr:uid="{00000000-0005-0000-0000-000080000000}"/>
    <cellStyle name="60% - Accent3 6" xfId="368" xr:uid="{00000000-0005-0000-0000-000081000000}"/>
    <cellStyle name="60% - Accent3 7" xfId="439" xr:uid="{00000000-0005-0000-0000-000082000000}"/>
    <cellStyle name="60% - Accent3 8" xfId="543" xr:uid="{00000000-0005-0000-0000-000083000000}"/>
    <cellStyle name="60% - Accent4" xfId="16" builtinId="44" customBuiltin="1"/>
    <cellStyle name="60% - Accent4 2" xfId="164" xr:uid="{00000000-0005-0000-0000-000085000000}"/>
    <cellStyle name="60% - Accent4 3" xfId="210" xr:uid="{00000000-0005-0000-0000-000086000000}"/>
    <cellStyle name="60% - Accent4 4" xfId="256" xr:uid="{00000000-0005-0000-0000-000087000000}"/>
    <cellStyle name="60% - Accent4 5" xfId="305" xr:uid="{00000000-0005-0000-0000-000088000000}"/>
    <cellStyle name="60% - Accent4 6" xfId="369" xr:uid="{00000000-0005-0000-0000-000089000000}"/>
    <cellStyle name="60% - Accent4 7" xfId="440" xr:uid="{00000000-0005-0000-0000-00008A000000}"/>
    <cellStyle name="60% - Accent4 8" xfId="544" xr:uid="{00000000-0005-0000-0000-00008B000000}"/>
    <cellStyle name="60% - Accent5" xfId="17" builtinId="48" customBuiltin="1"/>
    <cellStyle name="60% - Accent5 2" xfId="165" xr:uid="{00000000-0005-0000-0000-00008D000000}"/>
    <cellStyle name="60% - Accent5 3" xfId="211" xr:uid="{00000000-0005-0000-0000-00008E000000}"/>
    <cellStyle name="60% - Accent5 4" xfId="257" xr:uid="{00000000-0005-0000-0000-00008F000000}"/>
    <cellStyle name="60% - Accent5 5" xfId="306" xr:uid="{00000000-0005-0000-0000-000090000000}"/>
    <cellStyle name="60% - Accent5 6" xfId="370" xr:uid="{00000000-0005-0000-0000-000091000000}"/>
    <cellStyle name="60% - Accent5 7" xfId="441" xr:uid="{00000000-0005-0000-0000-000092000000}"/>
    <cellStyle name="60% - Accent5 8" xfId="545" xr:uid="{00000000-0005-0000-0000-000093000000}"/>
    <cellStyle name="60% - Accent6" xfId="18" builtinId="52" customBuiltin="1"/>
    <cellStyle name="60% - Accent6 2" xfId="166" xr:uid="{00000000-0005-0000-0000-000095000000}"/>
    <cellStyle name="60% - Accent6 3" xfId="212" xr:uid="{00000000-0005-0000-0000-000096000000}"/>
    <cellStyle name="60% - Accent6 4" xfId="258" xr:uid="{00000000-0005-0000-0000-000097000000}"/>
    <cellStyle name="60% - Accent6 5" xfId="307" xr:uid="{00000000-0005-0000-0000-000098000000}"/>
    <cellStyle name="60% - Accent6 6" xfId="371" xr:uid="{00000000-0005-0000-0000-000099000000}"/>
    <cellStyle name="60% - Accent6 7" xfId="442" xr:uid="{00000000-0005-0000-0000-00009A000000}"/>
    <cellStyle name="60% - Accent6 8" xfId="546" xr:uid="{00000000-0005-0000-0000-00009B000000}"/>
    <cellStyle name="Accent1" xfId="19" builtinId="29" customBuiltin="1"/>
    <cellStyle name="Accent1 - 20%" xfId="20" xr:uid="{00000000-0005-0000-0000-00009D000000}"/>
    <cellStyle name="Accent1 - 40%" xfId="21" xr:uid="{00000000-0005-0000-0000-00009E000000}"/>
    <cellStyle name="Accent1 - 60%" xfId="22" xr:uid="{00000000-0005-0000-0000-00009F000000}"/>
    <cellStyle name="Accent1 2" xfId="167" xr:uid="{00000000-0005-0000-0000-0000A0000000}"/>
    <cellStyle name="Accent1 3" xfId="213" xr:uid="{00000000-0005-0000-0000-0000A1000000}"/>
    <cellStyle name="Accent1 4" xfId="259" xr:uid="{00000000-0005-0000-0000-0000A2000000}"/>
    <cellStyle name="Accent1 5" xfId="308" xr:uid="{00000000-0005-0000-0000-0000A3000000}"/>
    <cellStyle name="Accent1 6" xfId="372" xr:uid="{00000000-0005-0000-0000-0000A4000000}"/>
    <cellStyle name="Accent1 7" xfId="443" xr:uid="{00000000-0005-0000-0000-0000A5000000}"/>
    <cellStyle name="Accent1 8" xfId="547" xr:uid="{00000000-0005-0000-0000-0000A6000000}"/>
    <cellStyle name="Accent2" xfId="23" builtinId="33" customBuiltin="1"/>
    <cellStyle name="Accent2 - 20%" xfId="24" xr:uid="{00000000-0005-0000-0000-0000A8000000}"/>
    <cellStyle name="Accent2 - 40%" xfId="25" xr:uid="{00000000-0005-0000-0000-0000A9000000}"/>
    <cellStyle name="Accent2 - 60%" xfId="26" xr:uid="{00000000-0005-0000-0000-0000AA000000}"/>
    <cellStyle name="Accent2 2" xfId="168" xr:uid="{00000000-0005-0000-0000-0000AB000000}"/>
    <cellStyle name="Accent2 3" xfId="214" xr:uid="{00000000-0005-0000-0000-0000AC000000}"/>
    <cellStyle name="Accent2 4" xfId="260" xr:uid="{00000000-0005-0000-0000-0000AD000000}"/>
    <cellStyle name="Accent2 5" xfId="309" xr:uid="{00000000-0005-0000-0000-0000AE000000}"/>
    <cellStyle name="Accent2 6" xfId="373" xr:uid="{00000000-0005-0000-0000-0000AF000000}"/>
    <cellStyle name="Accent2 7" xfId="444" xr:uid="{00000000-0005-0000-0000-0000B0000000}"/>
    <cellStyle name="Accent2 8" xfId="548" xr:uid="{00000000-0005-0000-0000-0000B1000000}"/>
    <cellStyle name="Accent3" xfId="27" builtinId="37" customBuiltin="1"/>
    <cellStyle name="Accent3 - 20%" xfId="28" xr:uid="{00000000-0005-0000-0000-0000B3000000}"/>
    <cellStyle name="Accent3 - 40%" xfId="29" xr:uid="{00000000-0005-0000-0000-0000B4000000}"/>
    <cellStyle name="Accent3 - 60%" xfId="30" xr:uid="{00000000-0005-0000-0000-0000B5000000}"/>
    <cellStyle name="Accent3 2" xfId="169" xr:uid="{00000000-0005-0000-0000-0000B6000000}"/>
    <cellStyle name="Accent3 3" xfId="215" xr:uid="{00000000-0005-0000-0000-0000B7000000}"/>
    <cellStyle name="Accent3 4" xfId="261" xr:uid="{00000000-0005-0000-0000-0000B8000000}"/>
    <cellStyle name="Accent3 5" xfId="310" xr:uid="{00000000-0005-0000-0000-0000B9000000}"/>
    <cellStyle name="Accent3 6" xfId="374" xr:uid="{00000000-0005-0000-0000-0000BA000000}"/>
    <cellStyle name="Accent3 7" xfId="445" xr:uid="{00000000-0005-0000-0000-0000BB000000}"/>
    <cellStyle name="Accent3 8" xfId="549" xr:uid="{00000000-0005-0000-0000-0000BC000000}"/>
    <cellStyle name="Accent4" xfId="31" builtinId="41" customBuiltin="1"/>
    <cellStyle name="Accent4 - 20%" xfId="32" xr:uid="{00000000-0005-0000-0000-0000BE000000}"/>
    <cellStyle name="Accent4 - 40%" xfId="33" xr:uid="{00000000-0005-0000-0000-0000BF000000}"/>
    <cellStyle name="Accent4 - 60%" xfId="34" xr:uid="{00000000-0005-0000-0000-0000C0000000}"/>
    <cellStyle name="Accent4 2" xfId="170" xr:uid="{00000000-0005-0000-0000-0000C1000000}"/>
    <cellStyle name="Accent4 3" xfId="216" xr:uid="{00000000-0005-0000-0000-0000C2000000}"/>
    <cellStyle name="Accent4 4" xfId="262" xr:uid="{00000000-0005-0000-0000-0000C3000000}"/>
    <cellStyle name="Accent4 5" xfId="311" xr:uid="{00000000-0005-0000-0000-0000C4000000}"/>
    <cellStyle name="Accent4 6" xfId="375" xr:uid="{00000000-0005-0000-0000-0000C5000000}"/>
    <cellStyle name="Accent4 7" xfId="446" xr:uid="{00000000-0005-0000-0000-0000C6000000}"/>
    <cellStyle name="Accent4 8" xfId="550" xr:uid="{00000000-0005-0000-0000-0000C7000000}"/>
    <cellStyle name="Accent5" xfId="35" builtinId="45" customBuiltin="1"/>
    <cellStyle name="Accent5 - 20%" xfId="36" xr:uid="{00000000-0005-0000-0000-0000C9000000}"/>
    <cellStyle name="Accent5 - 40%" xfId="37" xr:uid="{00000000-0005-0000-0000-0000CA000000}"/>
    <cellStyle name="Accent5 - 60%" xfId="38" xr:uid="{00000000-0005-0000-0000-0000CB000000}"/>
    <cellStyle name="Accent5 2" xfId="171" xr:uid="{00000000-0005-0000-0000-0000CC000000}"/>
    <cellStyle name="Accent5 3" xfId="217" xr:uid="{00000000-0005-0000-0000-0000CD000000}"/>
    <cellStyle name="Accent5 4" xfId="263" xr:uid="{00000000-0005-0000-0000-0000CE000000}"/>
    <cellStyle name="Accent5 5" xfId="312" xr:uid="{00000000-0005-0000-0000-0000CF000000}"/>
    <cellStyle name="Accent5 6" xfId="376" xr:uid="{00000000-0005-0000-0000-0000D0000000}"/>
    <cellStyle name="Accent5 7" xfId="447" xr:uid="{00000000-0005-0000-0000-0000D1000000}"/>
    <cellStyle name="Accent5 8" xfId="551" xr:uid="{00000000-0005-0000-0000-0000D2000000}"/>
    <cellStyle name="Accent6" xfId="39" builtinId="49" customBuiltin="1"/>
    <cellStyle name="Accent6 - 20%" xfId="40" xr:uid="{00000000-0005-0000-0000-0000D4000000}"/>
    <cellStyle name="Accent6 - 40%" xfId="41" xr:uid="{00000000-0005-0000-0000-0000D5000000}"/>
    <cellStyle name="Accent6 - 60%" xfId="42" xr:uid="{00000000-0005-0000-0000-0000D6000000}"/>
    <cellStyle name="Accent6 2" xfId="172" xr:uid="{00000000-0005-0000-0000-0000D7000000}"/>
    <cellStyle name="Accent6 3" xfId="218" xr:uid="{00000000-0005-0000-0000-0000D8000000}"/>
    <cellStyle name="Accent6 4" xfId="264" xr:uid="{00000000-0005-0000-0000-0000D9000000}"/>
    <cellStyle name="Accent6 5" xfId="313" xr:uid="{00000000-0005-0000-0000-0000DA000000}"/>
    <cellStyle name="Accent6 6" xfId="377" xr:uid="{00000000-0005-0000-0000-0000DB000000}"/>
    <cellStyle name="Accent6 7" xfId="448" xr:uid="{00000000-0005-0000-0000-0000DC000000}"/>
    <cellStyle name="Accent6 8" xfId="552" xr:uid="{00000000-0005-0000-0000-0000DD000000}"/>
    <cellStyle name="Bad" xfId="43" builtinId="27" customBuiltin="1"/>
    <cellStyle name="Bad 2" xfId="173" xr:uid="{00000000-0005-0000-0000-0000DF000000}"/>
    <cellStyle name="Bad 3" xfId="219" xr:uid="{00000000-0005-0000-0000-0000E0000000}"/>
    <cellStyle name="Bad 4" xfId="265" xr:uid="{00000000-0005-0000-0000-0000E1000000}"/>
    <cellStyle name="Bad 5" xfId="314" xr:uid="{00000000-0005-0000-0000-0000E2000000}"/>
    <cellStyle name="Bad 6" xfId="378" xr:uid="{00000000-0005-0000-0000-0000E3000000}"/>
    <cellStyle name="Bad 7" xfId="449" xr:uid="{00000000-0005-0000-0000-0000E4000000}"/>
    <cellStyle name="Bad 8" xfId="553" xr:uid="{00000000-0005-0000-0000-0000E5000000}"/>
    <cellStyle name="Calculation" xfId="44" builtinId="22" customBuiltin="1"/>
    <cellStyle name="Calculation 2" xfId="174" xr:uid="{00000000-0005-0000-0000-0000E7000000}"/>
    <cellStyle name="Calculation 3" xfId="220" xr:uid="{00000000-0005-0000-0000-0000E8000000}"/>
    <cellStyle name="Calculation 4" xfId="266" xr:uid="{00000000-0005-0000-0000-0000E9000000}"/>
    <cellStyle name="Calculation 5" xfId="315" xr:uid="{00000000-0005-0000-0000-0000EA000000}"/>
    <cellStyle name="Calculation 6" xfId="379" xr:uid="{00000000-0005-0000-0000-0000EB000000}"/>
    <cellStyle name="Calculation 7" xfId="450" xr:uid="{00000000-0005-0000-0000-0000EC000000}"/>
    <cellStyle name="Calculation 8" xfId="554" xr:uid="{00000000-0005-0000-0000-0000ED000000}"/>
    <cellStyle name="Check Cell" xfId="45" builtinId="23" customBuiltin="1"/>
    <cellStyle name="Check Cell 2" xfId="175" xr:uid="{00000000-0005-0000-0000-0000EF000000}"/>
    <cellStyle name="Check Cell 3" xfId="221" xr:uid="{00000000-0005-0000-0000-0000F0000000}"/>
    <cellStyle name="Check Cell 4" xfId="267" xr:uid="{00000000-0005-0000-0000-0000F1000000}"/>
    <cellStyle name="Check Cell 5" xfId="316" xr:uid="{00000000-0005-0000-0000-0000F2000000}"/>
    <cellStyle name="Check Cell 6" xfId="380" xr:uid="{00000000-0005-0000-0000-0000F3000000}"/>
    <cellStyle name="Check Cell 7" xfId="451" xr:uid="{00000000-0005-0000-0000-0000F4000000}"/>
    <cellStyle name="Check Cell 8" xfId="555" xr:uid="{00000000-0005-0000-0000-0000F5000000}"/>
    <cellStyle name="Comma" xfId="46" builtinId="3"/>
    <cellStyle name="Comma 10" xfId="891" xr:uid="{AA021DD0-4C03-4450-8885-A7D916097526}"/>
    <cellStyle name="Comma 2" xfId="47" xr:uid="{00000000-0005-0000-0000-0000F7000000}"/>
    <cellStyle name="Comma 2 2" xfId="48" xr:uid="{00000000-0005-0000-0000-0000F8000000}"/>
    <cellStyle name="Comma 3" xfId="176" xr:uid="{00000000-0005-0000-0000-0000F9000000}"/>
    <cellStyle name="Comma 4" xfId="222" xr:uid="{00000000-0005-0000-0000-0000FA000000}"/>
    <cellStyle name="Comma 5" xfId="268" xr:uid="{00000000-0005-0000-0000-0000FB000000}"/>
    <cellStyle name="Comma 6" xfId="317" xr:uid="{00000000-0005-0000-0000-0000FC000000}"/>
    <cellStyle name="Comma 7" xfId="381" xr:uid="{00000000-0005-0000-0000-0000FD000000}"/>
    <cellStyle name="Comma 8" xfId="452" xr:uid="{00000000-0005-0000-0000-0000FE000000}"/>
    <cellStyle name="Comma 9" xfId="556" xr:uid="{00000000-0005-0000-0000-0000FF000000}"/>
    <cellStyle name="Currency 2" xfId="49" xr:uid="{00000000-0005-0000-0000-000000010000}"/>
    <cellStyle name="Currency 2 2" xfId="50" xr:uid="{00000000-0005-0000-0000-000001010000}"/>
    <cellStyle name="Currency 3" xfId="51" xr:uid="{00000000-0005-0000-0000-000002010000}"/>
    <cellStyle name="Currency 3 2" xfId="52" xr:uid="{00000000-0005-0000-0000-000003010000}"/>
    <cellStyle name="Currency 4" xfId="53" xr:uid="{00000000-0005-0000-0000-000004010000}"/>
    <cellStyle name="Currency 4 2" xfId="127" xr:uid="{00000000-0005-0000-0000-000005010000}"/>
    <cellStyle name="Emphasis 1" xfId="54" xr:uid="{00000000-0005-0000-0000-000006010000}"/>
    <cellStyle name="Emphasis 2" xfId="55" xr:uid="{00000000-0005-0000-0000-000007010000}"/>
    <cellStyle name="Emphasis 3" xfId="56" xr:uid="{00000000-0005-0000-0000-000008010000}"/>
    <cellStyle name="Explanatory Text" xfId="57" builtinId="53" customBuiltin="1"/>
    <cellStyle name="Explanatory Text 2" xfId="177" xr:uid="{00000000-0005-0000-0000-00000A010000}"/>
    <cellStyle name="Explanatory Text 3" xfId="223" xr:uid="{00000000-0005-0000-0000-00000B010000}"/>
    <cellStyle name="Explanatory Text 4" xfId="269" xr:uid="{00000000-0005-0000-0000-00000C010000}"/>
    <cellStyle name="Explanatory Text 5" xfId="318" xr:uid="{00000000-0005-0000-0000-00000D010000}"/>
    <cellStyle name="Explanatory Text 6" xfId="382" xr:uid="{00000000-0005-0000-0000-00000E010000}"/>
    <cellStyle name="Explanatory Text 7" xfId="453" xr:uid="{00000000-0005-0000-0000-00000F010000}"/>
    <cellStyle name="Explanatory Text 8" xfId="557" xr:uid="{00000000-0005-0000-0000-000010010000}"/>
    <cellStyle name="Good" xfId="58" builtinId="26" customBuiltin="1"/>
    <cellStyle name="Good 2" xfId="178" xr:uid="{00000000-0005-0000-0000-000012010000}"/>
    <cellStyle name="Good 3" xfId="224" xr:uid="{00000000-0005-0000-0000-000013010000}"/>
    <cellStyle name="Good 4" xfId="270" xr:uid="{00000000-0005-0000-0000-000014010000}"/>
    <cellStyle name="Good 5" xfId="319" xr:uid="{00000000-0005-0000-0000-000015010000}"/>
    <cellStyle name="Good 6" xfId="383" xr:uid="{00000000-0005-0000-0000-000016010000}"/>
    <cellStyle name="Good 7" xfId="454" xr:uid="{00000000-0005-0000-0000-000017010000}"/>
    <cellStyle name="Good 8" xfId="558" xr:uid="{00000000-0005-0000-0000-000018010000}"/>
    <cellStyle name="Heading 1" xfId="59" builtinId="16" customBuiltin="1"/>
    <cellStyle name="Heading 1 2" xfId="179" xr:uid="{00000000-0005-0000-0000-00001A010000}"/>
    <cellStyle name="Heading 1 3" xfId="225" xr:uid="{00000000-0005-0000-0000-00001B010000}"/>
    <cellStyle name="Heading 1 4" xfId="271" xr:uid="{00000000-0005-0000-0000-00001C010000}"/>
    <cellStyle name="Heading 1 5" xfId="320" xr:uid="{00000000-0005-0000-0000-00001D010000}"/>
    <cellStyle name="Heading 1 6" xfId="384" xr:uid="{00000000-0005-0000-0000-00001E010000}"/>
    <cellStyle name="Heading 1 7" xfId="455" xr:uid="{00000000-0005-0000-0000-00001F010000}"/>
    <cellStyle name="Heading 1 8" xfId="559" xr:uid="{00000000-0005-0000-0000-000020010000}"/>
    <cellStyle name="Heading 2" xfId="60" builtinId="17" customBuiltin="1"/>
    <cellStyle name="Heading 2 2" xfId="180" xr:uid="{00000000-0005-0000-0000-000022010000}"/>
    <cellStyle name="Heading 2 3" xfId="226" xr:uid="{00000000-0005-0000-0000-000023010000}"/>
    <cellStyle name="Heading 2 4" xfId="272" xr:uid="{00000000-0005-0000-0000-000024010000}"/>
    <cellStyle name="Heading 2 5" xfId="321" xr:uid="{00000000-0005-0000-0000-000025010000}"/>
    <cellStyle name="Heading 2 6" xfId="385" xr:uid="{00000000-0005-0000-0000-000026010000}"/>
    <cellStyle name="Heading 2 7" xfId="456" xr:uid="{00000000-0005-0000-0000-000027010000}"/>
    <cellStyle name="Heading 2 8" xfId="560" xr:uid="{00000000-0005-0000-0000-000028010000}"/>
    <cellStyle name="Heading 3" xfId="61" builtinId="18" customBuiltin="1"/>
    <cellStyle name="Heading 3 2" xfId="181" xr:uid="{00000000-0005-0000-0000-00002A010000}"/>
    <cellStyle name="Heading 3 3" xfId="227" xr:uid="{00000000-0005-0000-0000-00002B010000}"/>
    <cellStyle name="Heading 3 4" xfId="273" xr:uid="{00000000-0005-0000-0000-00002C010000}"/>
    <cellStyle name="Heading 3 5" xfId="322" xr:uid="{00000000-0005-0000-0000-00002D010000}"/>
    <cellStyle name="Heading 3 6" xfId="386" xr:uid="{00000000-0005-0000-0000-00002E010000}"/>
    <cellStyle name="Heading 3 7" xfId="457" xr:uid="{00000000-0005-0000-0000-00002F010000}"/>
    <cellStyle name="Heading 3 8" xfId="561" xr:uid="{00000000-0005-0000-0000-000030010000}"/>
    <cellStyle name="Heading 4" xfId="62" builtinId="19" customBuiltin="1"/>
    <cellStyle name="Heading 4 2" xfId="182" xr:uid="{00000000-0005-0000-0000-000032010000}"/>
    <cellStyle name="Heading 4 3" xfId="228" xr:uid="{00000000-0005-0000-0000-000033010000}"/>
    <cellStyle name="Heading 4 4" xfId="274" xr:uid="{00000000-0005-0000-0000-000034010000}"/>
    <cellStyle name="Heading 4 5" xfId="323" xr:uid="{00000000-0005-0000-0000-000035010000}"/>
    <cellStyle name="Heading 4 6" xfId="387" xr:uid="{00000000-0005-0000-0000-000036010000}"/>
    <cellStyle name="Heading 4 7" xfId="458" xr:uid="{00000000-0005-0000-0000-000037010000}"/>
    <cellStyle name="Heading 4 8" xfId="562" xr:uid="{00000000-0005-0000-0000-000038010000}"/>
    <cellStyle name="Input" xfId="63" builtinId="20" customBuiltin="1"/>
    <cellStyle name="Input 2" xfId="183" xr:uid="{00000000-0005-0000-0000-00003A010000}"/>
    <cellStyle name="Input 3" xfId="229" xr:uid="{00000000-0005-0000-0000-00003B010000}"/>
    <cellStyle name="Input 4" xfId="275" xr:uid="{00000000-0005-0000-0000-00003C010000}"/>
    <cellStyle name="Input 5" xfId="324" xr:uid="{00000000-0005-0000-0000-00003D010000}"/>
    <cellStyle name="Input 6" xfId="388" xr:uid="{00000000-0005-0000-0000-00003E010000}"/>
    <cellStyle name="Input 7" xfId="459" xr:uid="{00000000-0005-0000-0000-00003F010000}"/>
    <cellStyle name="Input 8" xfId="563" xr:uid="{00000000-0005-0000-0000-000040010000}"/>
    <cellStyle name="Linked Cell" xfId="64" builtinId="24" customBuiltin="1"/>
    <cellStyle name="Linked Cell 2" xfId="184" xr:uid="{00000000-0005-0000-0000-000042010000}"/>
    <cellStyle name="Linked Cell 3" xfId="230" xr:uid="{00000000-0005-0000-0000-000043010000}"/>
    <cellStyle name="Linked Cell 4" xfId="276" xr:uid="{00000000-0005-0000-0000-000044010000}"/>
    <cellStyle name="Linked Cell 5" xfId="325" xr:uid="{00000000-0005-0000-0000-000045010000}"/>
    <cellStyle name="Linked Cell 6" xfId="389" xr:uid="{00000000-0005-0000-0000-000046010000}"/>
    <cellStyle name="Linked Cell 7" xfId="460" xr:uid="{00000000-0005-0000-0000-000047010000}"/>
    <cellStyle name="Linked Cell 8" xfId="564" xr:uid="{00000000-0005-0000-0000-000048010000}"/>
    <cellStyle name="Neutral" xfId="65" builtinId="28" customBuiltin="1"/>
    <cellStyle name="Neutral 2" xfId="185" xr:uid="{00000000-0005-0000-0000-00004A010000}"/>
    <cellStyle name="Neutral 3" xfId="231" xr:uid="{00000000-0005-0000-0000-00004B010000}"/>
    <cellStyle name="Neutral 4" xfId="277" xr:uid="{00000000-0005-0000-0000-00004C010000}"/>
    <cellStyle name="Neutral 5" xfId="326" xr:uid="{00000000-0005-0000-0000-00004D010000}"/>
    <cellStyle name="Neutral 6" xfId="390" xr:uid="{00000000-0005-0000-0000-00004E010000}"/>
    <cellStyle name="Neutral 7" xfId="461" xr:uid="{00000000-0005-0000-0000-00004F010000}"/>
    <cellStyle name="Neutral 8" xfId="565" xr:uid="{00000000-0005-0000-0000-000050010000}"/>
    <cellStyle name="Normal" xfId="0" builtinId="0"/>
    <cellStyle name="Normal 10" xfId="289" xr:uid="{00000000-0005-0000-0000-000052010000}"/>
    <cellStyle name="Normal 10 2" xfId="342" xr:uid="{00000000-0005-0000-0000-000053010000}"/>
    <cellStyle name="Normal 10 2 2" xfId="414" xr:uid="{00000000-0005-0000-0000-000054010000}"/>
    <cellStyle name="Normal 10 2 3" xfId="522" xr:uid="{00000000-0005-0000-0000-000055010000}"/>
    <cellStyle name="Normal 10 3" xfId="521" xr:uid="{00000000-0005-0000-0000-000056010000}"/>
    <cellStyle name="Normal 11" xfId="288" xr:uid="{00000000-0005-0000-0000-000057010000}"/>
    <cellStyle name="Normal 11 2" xfId="404" xr:uid="{00000000-0005-0000-0000-000058010000}"/>
    <cellStyle name="Normal 11 2 2" xfId="501" xr:uid="{00000000-0005-0000-0000-000059010000}"/>
    <cellStyle name="Normal 11 2 2 2" xfId="657" xr:uid="{00000000-0005-0000-0000-00005A010000}"/>
    <cellStyle name="Normal 11 2 2 2 2" xfId="868" xr:uid="{00000000-0005-0000-0000-00005B010000}"/>
    <cellStyle name="Normal 11 2 2 3" xfId="762" xr:uid="{00000000-0005-0000-0000-00005C010000}"/>
    <cellStyle name="Normal 11 2 3" xfId="605" xr:uid="{00000000-0005-0000-0000-00005D010000}"/>
    <cellStyle name="Normal 11 2 3 2" xfId="816" xr:uid="{00000000-0005-0000-0000-00005E010000}"/>
    <cellStyle name="Normal 11 2 4" xfId="710" xr:uid="{00000000-0005-0000-0000-00005F010000}"/>
    <cellStyle name="Normal 11 3" xfId="475" xr:uid="{00000000-0005-0000-0000-000060010000}"/>
    <cellStyle name="Normal 11 3 2" xfId="631" xr:uid="{00000000-0005-0000-0000-000061010000}"/>
    <cellStyle name="Normal 11 3 2 2" xfId="842" xr:uid="{00000000-0005-0000-0000-000062010000}"/>
    <cellStyle name="Normal 11 3 3" xfId="736" xr:uid="{00000000-0005-0000-0000-000063010000}"/>
    <cellStyle name="Normal 11 4" xfId="579" xr:uid="{00000000-0005-0000-0000-000064010000}"/>
    <cellStyle name="Normal 11 4 2" xfId="790" xr:uid="{00000000-0005-0000-0000-000065010000}"/>
    <cellStyle name="Normal 11 5" xfId="684" xr:uid="{00000000-0005-0000-0000-000066010000}"/>
    <cellStyle name="Normal 12" xfId="340" xr:uid="{00000000-0005-0000-0000-000067010000}"/>
    <cellStyle name="Normal 12 2" xfId="412" xr:uid="{00000000-0005-0000-0000-000068010000}"/>
    <cellStyle name="Normal 12 2 2" xfId="509" xr:uid="{00000000-0005-0000-0000-000069010000}"/>
    <cellStyle name="Normal 12 2 2 2" xfId="665" xr:uid="{00000000-0005-0000-0000-00006A010000}"/>
    <cellStyle name="Normal 12 2 2 2 2" xfId="876" xr:uid="{00000000-0005-0000-0000-00006B010000}"/>
    <cellStyle name="Normal 12 2 2 3" xfId="770" xr:uid="{00000000-0005-0000-0000-00006C010000}"/>
    <cellStyle name="Normal 12 2 3" xfId="613" xr:uid="{00000000-0005-0000-0000-00006D010000}"/>
    <cellStyle name="Normal 12 2 3 2" xfId="824" xr:uid="{00000000-0005-0000-0000-00006E010000}"/>
    <cellStyle name="Normal 12 2 4" xfId="718" xr:uid="{00000000-0005-0000-0000-00006F010000}"/>
    <cellStyle name="Normal 12 3" xfId="483" xr:uid="{00000000-0005-0000-0000-000070010000}"/>
    <cellStyle name="Normal 12 3 2" xfId="639" xr:uid="{00000000-0005-0000-0000-000071010000}"/>
    <cellStyle name="Normal 12 3 2 2" xfId="850" xr:uid="{00000000-0005-0000-0000-000072010000}"/>
    <cellStyle name="Normal 12 3 3" xfId="744" xr:uid="{00000000-0005-0000-0000-000073010000}"/>
    <cellStyle name="Normal 12 4" xfId="587" xr:uid="{00000000-0005-0000-0000-000074010000}"/>
    <cellStyle name="Normal 12 4 2" xfId="798" xr:uid="{00000000-0005-0000-0000-000075010000}"/>
    <cellStyle name="Normal 12 5" xfId="692" xr:uid="{00000000-0005-0000-0000-000076010000}"/>
    <cellStyle name="Normal 13" xfId="341" xr:uid="{00000000-0005-0000-0000-000077010000}"/>
    <cellStyle name="Normal 13 2" xfId="413" xr:uid="{00000000-0005-0000-0000-000078010000}"/>
    <cellStyle name="Normal 13 2 2" xfId="510" xr:uid="{00000000-0005-0000-0000-000079010000}"/>
    <cellStyle name="Normal 13 2 2 2" xfId="666" xr:uid="{00000000-0005-0000-0000-00007A010000}"/>
    <cellStyle name="Normal 13 2 2 2 2" xfId="877" xr:uid="{00000000-0005-0000-0000-00007B010000}"/>
    <cellStyle name="Normal 13 2 2 3" xfId="771" xr:uid="{00000000-0005-0000-0000-00007C010000}"/>
    <cellStyle name="Normal 13 2 3" xfId="614" xr:uid="{00000000-0005-0000-0000-00007D010000}"/>
    <cellStyle name="Normal 13 2 3 2" xfId="825" xr:uid="{00000000-0005-0000-0000-00007E010000}"/>
    <cellStyle name="Normal 13 2 4" xfId="719" xr:uid="{00000000-0005-0000-0000-00007F010000}"/>
    <cellStyle name="Normal 13 3" xfId="523" xr:uid="{00000000-0005-0000-0000-000080010000}"/>
    <cellStyle name="Normal 13 3 2" xfId="675" xr:uid="{00000000-0005-0000-0000-000081010000}"/>
    <cellStyle name="Normal 13 3 2 2" xfId="886" xr:uid="{00000000-0005-0000-0000-000082010000}"/>
    <cellStyle name="Normal 13 3 3" xfId="780" xr:uid="{00000000-0005-0000-0000-000083010000}"/>
    <cellStyle name="Normal 13 4" xfId="484" xr:uid="{00000000-0005-0000-0000-000084010000}"/>
    <cellStyle name="Normal 13 4 2" xfId="640" xr:uid="{00000000-0005-0000-0000-000085010000}"/>
    <cellStyle name="Normal 13 4 2 2" xfId="851" xr:uid="{00000000-0005-0000-0000-000086010000}"/>
    <cellStyle name="Normal 13 4 3" xfId="745" xr:uid="{00000000-0005-0000-0000-000087010000}"/>
    <cellStyle name="Normal 13 5" xfId="588" xr:uid="{00000000-0005-0000-0000-000088010000}"/>
    <cellStyle name="Normal 13 5 2" xfId="799" xr:uid="{00000000-0005-0000-0000-000089010000}"/>
    <cellStyle name="Normal 13 6" xfId="693" xr:uid="{00000000-0005-0000-0000-00008A010000}"/>
    <cellStyle name="Normal 14" xfId="350" xr:uid="{00000000-0005-0000-0000-00008B010000}"/>
    <cellStyle name="Normal 14 2" xfId="525" xr:uid="{00000000-0005-0000-0000-00008C010000}"/>
    <cellStyle name="Normal 15" xfId="351" xr:uid="{00000000-0005-0000-0000-00008D010000}"/>
    <cellStyle name="Normal 15 2" xfId="422" xr:uid="{00000000-0005-0000-0000-00008E010000}"/>
    <cellStyle name="Normal 15 2 2" xfId="518" xr:uid="{00000000-0005-0000-0000-00008F010000}"/>
    <cellStyle name="Normal 15 2 2 2" xfId="674" xr:uid="{00000000-0005-0000-0000-000090010000}"/>
    <cellStyle name="Normal 15 2 2 2 2" xfId="885" xr:uid="{00000000-0005-0000-0000-000091010000}"/>
    <cellStyle name="Normal 15 2 2 3" xfId="779" xr:uid="{00000000-0005-0000-0000-000092010000}"/>
    <cellStyle name="Normal 15 2 3" xfId="622" xr:uid="{00000000-0005-0000-0000-000093010000}"/>
    <cellStyle name="Normal 15 2 3 2" xfId="833" xr:uid="{00000000-0005-0000-0000-000094010000}"/>
    <cellStyle name="Normal 15 2 4" xfId="727" xr:uid="{00000000-0005-0000-0000-000095010000}"/>
    <cellStyle name="Normal 15 3" xfId="492" xr:uid="{00000000-0005-0000-0000-000096010000}"/>
    <cellStyle name="Normal 15 3 2" xfId="648" xr:uid="{00000000-0005-0000-0000-000097010000}"/>
    <cellStyle name="Normal 15 3 2 2" xfId="859" xr:uid="{00000000-0005-0000-0000-000098010000}"/>
    <cellStyle name="Normal 15 3 3" xfId="753" xr:uid="{00000000-0005-0000-0000-000099010000}"/>
    <cellStyle name="Normal 15 4" xfId="596" xr:uid="{00000000-0005-0000-0000-00009A010000}"/>
    <cellStyle name="Normal 15 4 2" xfId="807" xr:uid="{00000000-0005-0000-0000-00009B010000}"/>
    <cellStyle name="Normal 15 5" xfId="701" xr:uid="{00000000-0005-0000-0000-00009C010000}"/>
    <cellStyle name="Normal 16" xfId="353" xr:uid="{00000000-0005-0000-0000-00009D010000}"/>
    <cellStyle name="Normal 17" xfId="352" xr:uid="{00000000-0005-0000-0000-00009E010000}"/>
    <cellStyle name="Normal 17 2" xfId="493" xr:uid="{00000000-0005-0000-0000-00009F010000}"/>
    <cellStyle name="Normal 17 2 2" xfId="649" xr:uid="{00000000-0005-0000-0000-0000A0010000}"/>
    <cellStyle name="Normal 17 2 2 2" xfId="860" xr:uid="{00000000-0005-0000-0000-0000A1010000}"/>
    <cellStyle name="Normal 17 2 3" xfId="754" xr:uid="{00000000-0005-0000-0000-0000A2010000}"/>
    <cellStyle name="Normal 17 3" xfId="597" xr:uid="{00000000-0005-0000-0000-0000A3010000}"/>
    <cellStyle name="Normal 17 3 2" xfId="808" xr:uid="{00000000-0005-0000-0000-0000A4010000}"/>
    <cellStyle name="Normal 17 4" xfId="702" xr:uid="{00000000-0005-0000-0000-0000A5010000}"/>
    <cellStyle name="Normal 18" xfId="424" xr:uid="{00000000-0005-0000-0000-0000A6010000}"/>
    <cellStyle name="Normal 19" xfId="519" xr:uid="{00000000-0005-0000-0000-0000A7010000}"/>
    <cellStyle name="Normal 2" xfId="66" xr:uid="{00000000-0005-0000-0000-0000A8010000}"/>
    <cellStyle name="Normal 2 2" xfId="520" xr:uid="{00000000-0005-0000-0000-0000A9010000}"/>
    <cellStyle name="Normal 20" xfId="423" xr:uid="{00000000-0005-0000-0000-0000AA010000}"/>
    <cellStyle name="Normal 20 2" xfId="623" xr:uid="{00000000-0005-0000-0000-0000AB010000}"/>
    <cellStyle name="Normal 20 2 2" xfId="834" xr:uid="{00000000-0005-0000-0000-0000AC010000}"/>
    <cellStyle name="Normal 20 3" xfId="728" xr:uid="{00000000-0005-0000-0000-0000AD010000}"/>
    <cellStyle name="Normal 21" xfId="528" xr:uid="{00000000-0005-0000-0000-0000AE010000}"/>
    <cellStyle name="Normal 21 2" xfId="782" xr:uid="{00000000-0005-0000-0000-0000AF010000}"/>
    <cellStyle name="Normal 22" xfId="676" xr:uid="{00000000-0005-0000-0000-0000B0010000}"/>
    <cellStyle name="Normal 22 2" xfId="887" xr:uid="{00000000-0005-0000-0000-0000B1010000}"/>
    <cellStyle name="Normal 23" xfId="527" xr:uid="{00000000-0005-0000-0000-0000B2010000}"/>
    <cellStyle name="Normal 23 2" xfId="781" xr:uid="{00000000-0005-0000-0000-0000B3010000}"/>
    <cellStyle name="Normal 24" xfId="888" xr:uid="{9C89C772-0D88-4EE7-B0FE-2578499CD212}"/>
    <cellStyle name="Normal 3" xfId="146" xr:uid="{00000000-0005-0000-0000-0000B4010000}"/>
    <cellStyle name="Normal 3 2" xfId="192" xr:uid="{00000000-0005-0000-0000-0000B5010000}"/>
    <cellStyle name="Normal 4" xfId="148" xr:uid="{00000000-0005-0000-0000-0000B6010000}"/>
    <cellStyle name="Normal 4 2" xfId="526" xr:uid="{00000000-0005-0000-0000-0000B7010000}"/>
    <cellStyle name="Normal 5" xfId="147" xr:uid="{00000000-0005-0000-0000-0000B8010000}"/>
    <cellStyle name="Normal 5 2" xfId="238" xr:uid="{00000000-0005-0000-0000-0000B9010000}"/>
    <cellStyle name="Normal 5 2 2" xfId="287" xr:uid="{00000000-0005-0000-0000-0000BA010000}"/>
    <cellStyle name="Normal 5 2 2 2" xfId="339" xr:uid="{00000000-0005-0000-0000-0000BB010000}"/>
    <cellStyle name="Normal 5 2 2 2 2" xfId="411" xr:uid="{00000000-0005-0000-0000-0000BC010000}"/>
    <cellStyle name="Normal 5 2 2 2 2 2" xfId="508" xr:uid="{00000000-0005-0000-0000-0000BD010000}"/>
    <cellStyle name="Normal 5 2 2 2 2 2 2" xfId="664" xr:uid="{00000000-0005-0000-0000-0000BE010000}"/>
    <cellStyle name="Normal 5 2 2 2 2 2 2 2" xfId="875" xr:uid="{00000000-0005-0000-0000-0000BF010000}"/>
    <cellStyle name="Normal 5 2 2 2 2 2 3" xfId="769" xr:uid="{00000000-0005-0000-0000-0000C0010000}"/>
    <cellStyle name="Normal 5 2 2 2 2 3" xfId="612" xr:uid="{00000000-0005-0000-0000-0000C1010000}"/>
    <cellStyle name="Normal 5 2 2 2 2 3 2" xfId="823" xr:uid="{00000000-0005-0000-0000-0000C2010000}"/>
    <cellStyle name="Normal 5 2 2 2 2 4" xfId="717" xr:uid="{00000000-0005-0000-0000-0000C3010000}"/>
    <cellStyle name="Normal 5 2 2 2 3" xfId="482" xr:uid="{00000000-0005-0000-0000-0000C4010000}"/>
    <cellStyle name="Normal 5 2 2 2 3 2" xfId="638" xr:uid="{00000000-0005-0000-0000-0000C5010000}"/>
    <cellStyle name="Normal 5 2 2 2 3 2 2" xfId="849" xr:uid="{00000000-0005-0000-0000-0000C6010000}"/>
    <cellStyle name="Normal 5 2 2 2 3 3" xfId="743" xr:uid="{00000000-0005-0000-0000-0000C7010000}"/>
    <cellStyle name="Normal 5 2 2 2 4" xfId="586" xr:uid="{00000000-0005-0000-0000-0000C8010000}"/>
    <cellStyle name="Normal 5 2 2 2 4 2" xfId="797" xr:uid="{00000000-0005-0000-0000-0000C9010000}"/>
    <cellStyle name="Normal 5 2 2 2 5" xfId="691" xr:uid="{00000000-0005-0000-0000-0000CA010000}"/>
    <cellStyle name="Normal 5 2 2 3" xfId="349" xr:uid="{00000000-0005-0000-0000-0000CB010000}"/>
    <cellStyle name="Normal 5 2 2 3 2" xfId="421" xr:uid="{00000000-0005-0000-0000-0000CC010000}"/>
    <cellStyle name="Normal 5 2 2 3 2 2" xfId="517" xr:uid="{00000000-0005-0000-0000-0000CD010000}"/>
    <cellStyle name="Normal 5 2 2 3 2 2 2" xfId="673" xr:uid="{00000000-0005-0000-0000-0000CE010000}"/>
    <cellStyle name="Normal 5 2 2 3 2 2 2 2" xfId="884" xr:uid="{00000000-0005-0000-0000-0000CF010000}"/>
    <cellStyle name="Normal 5 2 2 3 2 2 3" xfId="778" xr:uid="{00000000-0005-0000-0000-0000D0010000}"/>
    <cellStyle name="Normal 5 2 2 3 2 3" xfId="621" xr:uid="{00000000-0005-0000-0000-0000D1010000}"/>
    <cellStyle name="Normal 5 2 2 3 2 3 2" xfId="832" xr:uid="{00000000-0005-0000-0000-0000D2010000}"/>
    <cellStyle name="Normal 5 2 2 3 2 4" xfId="726" xr:uid="{00000000-0005-0000-0000-0000D3010000}"/>
    <cellStyle name="Normal 5 2 2 3 3" xfId="491" xr:uid="{00000000-0005-0000-0000-0000D4010000}"/>
    <cellStyle name="Normal 5 2 2 3 3 2" xfId="647" xr:uid="{00000000-0005-0000-0000-0000D5010000}"/>
    <cellStyle name="Normal 5 2 2 3 3 2 2" xfId="858" xr:uid="{00000000-0005-0000-0000-0000D6010000}"/>
    <cellStyle name="Normal 5 2 2 3 3 3" xfId="752" xr:uid="{00000000-0005-0000-0000-0000D7010000}"/>
    <cellStyle name="Normal 5 2 2 3 4" xfId="595" xr:uid="{00000000-0005-0000-0000-0000D8010000}"/>
    <cellStyle name="Normal 5 2 2 3 4 2" xfId="806" xr:uid="{00000000-0005-0000-0000-0000D9010000}"/>
    <cellStyle name="Normal 5 2 2 3 5" xfId="700" xr:uid="{00000000-0005-0000-0000-0000DA010000}"/>
    <cellStyle name="Normal 5 2 2 4" xfId="403" xr:uid="{00000000-0005-0000-0000-0000DB010000}"/>
    <cellStyle name="Normal 5 2 2 4 2" xfId="500" xr:uid="{00000000-0005-0000-0000-0000DC010000}"/>
    <cellStyle name="Normal 5 2 2 4 2 2" xfId="656" xr:uid="{00000000-0005-0000-0000-0000DD010000}"/>
    <cellStyle name="Normal 5 2 2 4 2 2 2" xfId="867" xr:uid="{00000000-0005-0000-0000-0000DE010000}"/>
    <cellStyle name="Normal 5 2 2 4 2 3" xfId="761" xr:uid="{00000000-0005-0000-0000-0000DF010000}"/>
    <cellStyle name="Normal 5 2 2 4 3" xfId="604" xr:uid="{00000000-0005-0000-0000-0000E0010000}"/>
    <cellStyle name="Normal 5 2 2 4 3 2" xfId="815" xr:uid="{00000000-0005-0000-0000-0000E1010000}"/>
    <cellStyle name="Normal 5 2 2 4 4" xfId="709" xr:uid="{00000000-0005-0000-0000-0000E2010000}"/>
    <cellStyle name="Normal 5 2 2 5" xfId="474" xr:uid="{00000000-0005-0000-0000-0000E3010000}"/>
    <cellStyle name="Normal 5 2 2 5 2" xfId="630" xr:uid="{00000000-0005-0000-0000-0000E4010000}"/>
    <cellStyle name="Normal 5 2 2 5 2 2" xfId="841" xr:uid="{00000000-0005-0000-0000-0000E5010000}"/>
    <cellStyle name="Normal 5 2 2 5 3" xfId="735" xr:uid="{00000000-0005-0000-0000-0000E6010000}"/>
    <cellStyle name="Normal 5 2 2 6" xfId="578" xr:uid="{00000000-0005-0000-0000-0000E7010000}"/>
    <cellStyle name="Normal 5 2 2 6 2" xfId="789" xr:uid="{00000000-0005-0000-0000-0000E8010000}"/>
    <cellStyle name="Normal 5 2 2 7" xfId="683" xr:uid="{00000000-0005-0000-0000-0000E9010000}"/>
    <cellStyle name="Normal 5 2 3" xfId="335" xr:uid="{00000000-0005-0000-0000-0000EA010000}"/>
    <cellStyle name="Normal 5 2 3 2" xfId="407" xr:uid="{00000000-0005-0000-0000-0000EB010000}"/>
    <cellStyle name="Normal 5 2 3 2 2" xfId="504" xr:uid="{00000000-0005-0000-0000-0000EC010000}"/>
    <cellStyle name="Normal 5 2 3 2 2 2" xfId="660" xr:uid="{00000000-0005-0000-0000-0000ED010000}"/>
    <cellStyle name="Normal 5 2 3 2 2 2 2" xfId="871" xr:uid="{00000000-0005-0000-0000-0000EE010000}"/>
    <cellStyle name="Normal 5 2 3 2 2 3" xfId="765" xr:uid="{00000000-0005-0000-0000-0000EF010000}"/>
    <cellStyle name="Normal 5 2 3 2 3" xfId="608" xr:uid="{00000000-0005-0000-0000-0000F0010000}"/>
    <cellStyle name="Normal 5 2 3 2 3 2" xfId="819" xr:uid="{00000000-0005-0000-0000-0000F1010000}"/>
    <cellStyle name="Normal 5 2 3 2 4" xfId="713" xr:uid="{00000000-0005-0000-0000-0000F2010000}"/>
    <cellStyle name="Normal 5 2 3 3" xfId="478" xr:uid="{00000000-0005-0000-0000-0000F3010000}"/>
    <cellStyle name="Normal 5 2 3 3 2" xfId="634" xr:uid="{00000000-0005-0000-0000-0000F4010000}"/>
    <cellStyle name="Normal 5 2 3 3 2 2" xfId="845" xr:uid="{00000000-0005-0000-0000-0000F5010000}"/>
    <cellStyle name="Normal 5 2 3 3 3" xfId="739" xr:uid="{00000000-0005-0000-0000-0000F6010000}"/>
    <cellStyle name="Normal 5 2 3 4" xfId="582" xr:uid="{00000000-0005-0000-0000-0000F7010000}"/>
    <cellStyle name="Normal 5 2 3 4 2" xfId="793" xr:uid="{00000000-0005-0000-0000-0000F8010000}"/>
    <cellStyle name="Normal 5 2 3 5" xfId="687" xr:uid="{00000000-0005-0000-0000-0000F9010000}"/>
    <cellStyle name="Normal 5 2 4" xfId="345" xr:uid="{00000000-0005-0000-0000-0000FA010000}"/>
    <cellStyle name="Normal 5 2 4 2" xfId="417" xr:uid="{00000000-0005-0000-0000-0000FB010000}"/>
    <cellStyle name="Normal 5 2 4 2 2" xfId="513" xr:uid="{00000000-0005-0000-0000-0000FC010000}"/>
    <cellStyle name="Normal 5 2 4 2 2 2" xfId="669" xr:uid="{00000000-0005-0000-0000-0000FD010000}"/>
    <cellStyle name="Normal 5 2 4 2 2 2 2" xfId="880" xr:uid="{00000000-0005-0000-0000-0000FE010000}"/>
    <cellStyle name="Normal 5 2 4 2 2 3" xfId="774" xr:uid="{00000000-0005-0000-0000-0000FF010000}"/>
    <cellStyle name="Normal 5 2 4 2 3" xfId="617" xr:uid="{00000000-0005-0000-0000-000000020000}"/>
    <cellStyle name="Normal 5 2 4 2 3 2" xfId="828" xr:uid="{00000000-0005-0000-0000-000001020000}"/>
    <cellStyle name="Normal 5 2 4 2 4" xfId="722" xr:uid="{00000000-0005-0000-0000-000002020000}"/>
    <cellStyle name="Normal 5 2 4 3" xfId="487" xr:uid="{00000000-0005-0000-0000-000003020000}"/>
    <cellStyle name="Normal 5 2 4 3 2" xfId="643" xr:uid="{00000000-0005-0000-0000-000004020000}"/>
    <cellStyle name="Normal 5 2 4 3 2 2" xfId="854" xr:uid="{00000000-0005-0000-0000-000005020000}"/>
    <cellStyle name="Normal 5 2 4 3 3" xfId="748" xr:uid="{00000000-0005-0000-0000-000006020000}"/>
    <cellStyle name="Normal 5 2 4 4" xfId="591" xr:uid="{00000000-0005-0000-0000-000007020000}"/>
    <cellStyle name="Normal 5 2 4 4 2" xfId="802" xr:uid="{00000000-0005-0000-0000-000008020000}"/>
    <cellStyle name="Normal 5 2 4 5" xfId="696" xr:uid="{00000000-0005-0000-0000-000009020000}"/>
    <cellStyle name="Normal 5 2 5" xfId="399" xr:uid="{00000000-0005-0000-0000-00000A020000}"/>
    <cellStyle name="Normal 5 2 5 2" xfId="496" xr:uid="{00000000-0005-0000-0000-00000B020000}"/>
    <cellStyle name="Normal 5 2 5 2 2" xfId="652" xr:uid="{00000000-0005-0000-0000-00000C020000}"/>
    <cellStyle name="Normal 5 2 5 2 2 2" xfId="863" xr:uid="{00000000-0005-0000-0000-00000D020000}"/>
    <cellStyle name="Normal 5 2 5 2 3" xfId="757" xr:uid="{00000000-0005-0000-0000-00000E020000}"/>
    <cellStyle name="Normal 5 2 5 3" xfId="600" xr:uid="{00000000-0005-0000-0000-00000F020000}"/>
    <cellStyle name="Normal 5 2 5 3 2" xfId="811" xr:uid="{00000000-0005-0000-0000-000010020000}"/>
    <cellStyle name="Normal 5 2 5 4" xfId="705" xr:uid="{00000000-0005-0000-0000-000011020000}"/>
    <cellStyle name="Normal 5 2 6" xfId="470" xr:uid="{00000000-0005-0000-0000-000012020000}"/>
    <cellStyle name="Normal 5 2 6 2" xfId="626" xr:uid="{00000000-0005-0000-0000-000013020000}"/>
    <cellStyle name="Normal 5 2 6 2 2" xfId="837" xr:uid="{00000000-0005-0000-0000-000014020000}"/>
    <cellStyle name="Normal 5 2 6 3" xfId="731" xr:uid="{00000000-0005-0000-0000-000015020000}"/>
    <cellStyle name="Normal 5 2 7" xfId="574" xr:uid="{00000000-0005-0000-0000-000016020000}"/>
    <cellStyle name="Normal 5 2 7 2" xfId="785" xr:uid="{00000000-0005-0000-0000-000017020000}"/>
    <cellStyle name="Normal 5 2 8" xfId="679" xr:uid="{00000000-0005-0000-0000-000018020000}"/>
    <cellStyle name="Normal 5 3" xfId="284" xr:uid="{00000000-0005-0000-0000-000019020000}"/>
    <cellStyle name="Normal 5 3 2" xfId="337" xr:uid="{00000000-0005-0000-0000-00001A020000}"/>
    <cellStyle name="Normal 5 3 2 2" xfId="409" xr:uid="{00000000-0005-0000-0000-00001B020000}"/>
    <cellStyle name="Normal 5 3 2 2 2" xfId="506" xr:uid="{00000000-0005-0000-0000-00001C020000}"/>
    <cellStyle name="Normal 5 3 2 2 2 2" xfId="662" xr:uid="{00000000-0005-0000-0000-00001D020000}"/>
    <cellStyle name="Normal 5 3 2 2 2 2 2" xfId="873" xr:uid="{00000000-0005-0000-0000-00001E020000}"/>
    <cellStyle name="Normal 5 3 2 2 2 3" xfId="767" xr:uid="{00000000-0005-0000-0000-00001F020000}"/>
    <cellStyle name="Normal 5 3 2 2 3" xfId="610" xr:uid="{00000000-0005-0000-0000-000020020000}"/>
    <cellStyle name="Normal 5 3 2 2 3 2" xfId="821" xr:uid="{00000000-0005-0000-0000-000021020000}"/>
    <cellStyle name="Normal 5 3 2 2 4" xfId="715" xr:uid="{00000000-0005-0000-0000-000022020000}"/>
    <cellStyle name="Normal 5 3 2 3" xfId="480" xr:uid="{00000000-0005-0000-0000-000023020000}"/>
    <cellStyle name="Normal 5 3 2 3 2" xfId="636" xr:uid="{00000000-0005-0000-0000-000024020000}"/>
    <cellStyle name="Normal 5 3 2 3 2 2" xfId="847" xr:uid="{00000000-0005-0000-0000-000025020000}"/>
    <cellStyle name="Normal 5 3 2 3 3" xfId="741" xr:uid="{00000000-0005-0000-0000-000026020000}"/>
    <cellStyle name="Normal 5 3 2 4" xfId="584" xr:uid="{00000000-0005-0000-0000-000027020000}"/>
    <cellStyle name="Normal 5 3 2 4 2" xfId="795" xr:uid="{00000000-0005-0000-0000-000028020000}"/>
    <cellStyle name="Normal 5 3 2 5" xfId="689" xr:uid="{00000000-0005-0000-0000-000029020000}"/>
    <cellStyle name="Normal 5 3 3" xfId="347" xr:uid="{00000000-0005-0000-0000-00002A020000}"/>
    <cellStyle name="Normal 5 3 3 2" xfId="419" xr:uid="{00000000-0005-0000-0000-00002B020000}"/>
    <cellStyle name="Normal 5 3 3 2 2" xfId="515" xr:uid="{00000000-0005-0000-0000-00002C020000}"/>
    <cellStyle name="Normal 5 3 3 2 2 2" xfId="671" xr:uid="{00000000-0005-0000-0000-00002D020000}"/>
    <cellStyle name="Normal 5 3 3 2 2 2 2" xfId="882" xr:uid="{00000000-0005-0000-0000-00002E020000}"/>
    <cellStyle name="Normal 5 3 3 2 2 3" xfId="776" xr:uid="{00000000-0005-0000-0000-00002F020000}"/>
    <cellStyle name="Normal 5 3 3 2 3" xfId="619" xr:uid="{00000000-0005-0000-0000-000030020000}"/>
    <cellStyle name="Normal 5 3 3 2 3 2" xfId="830" xr:uid="{00000000-0005-0000-0000-000031020000}"/>
    <cellStyle name="Normal 5 3 3 2 4" xfId="724" xr:uid="{00000000-0005-0000-0000-000032020000}"/>
    <cellStyle name="Normal 5 3 3 3" xfId="489" xr:uid="{00000000-0005-0000-0000-000033020000}"/>
    <cellStyle name="Normal 5 3 3 3 2" xfId="645" xr:uid="{00000000-0005-0000-0000-000034020000}"/>
    <cellStyle name="Normal 5 3 3 3 2 2" xfId="856" xr:uid="{00000000-0005-0000-0000-000035020000}"/>
    <cellStyle name="Normal 5 3 3 3 3" xfId="750" xr:uid="{00000000-0005-0000-0000-000036020000}"/>
    <cellStyle name="Normal 5 3 3 4" xfId="593" xr:uid="{00000000-0005-0000-0000-000037020000}"/>
    <cellStyle name="Normal 5 3 3 4 2" xfId="804" xr:uid="{00000000-0005-0000-0000-000038020000}"/>
    <cellStyle name="Normal 5 3 3 5" xfId="698" xr:uid="{00000000-0005-0000-0000-000039020000}"/>
    <cellStyle name="Normal 5 3 4" xfId="401" xr:uid="{00000000-0005-0000-0000-00003A020000}"/>
    <cellStyle name="Normal 5 3 4 2" xfId="498" xr:uid="{00000000-0005-0000-0000-00003B020000}"/>
    <cellStyle name="Normal 5 3 4 2 2" xfId="654" xr:uid="{00000000-0005-0000-0000-00003C020000}"/>
    <cellStyle name="Normal 5 3 4 2 2 2" xfId="865" xr:uid="{00000000-0005-0000-0000-00003D020000}"/>
    <cellStyle name="Normal 5 3 4 2 3" xfId="759" xr:uid="{00000000-0005-0000-0000-00003E020000}"/>
    <cellStyle name="Normal 5 3 4 3" xfId="602" xr:uid="{00000000-0005-0000-0000-00003F020000}"/>
    <cellStyle name="Normal 5 3 4 3 2" xfId="813" xr:uid="{00000000-0005-0000-0000-000040020000}"/>
    <cellStyle name="Normal 5 3 4 4" xfId="707" xr:uid="{00000000-0005-0000-0000-000041020000}"/>
    <cellStyle name="Normal 5 3 5" xfId="472" xr:uid="{00000000-0005-0000-0000-000042020000}"/>
    <cellStyle name="Normal 5 3 5 2" xfId="628" xr:uid="{00000000-0005-0000-0000-000043020000}"/>
    <cellStyle name="Normal 5 3 5 2 2" xfId="839" xr:uid="{00000000-0005-0000-0000-000044020000}"/>
    <cellStyle name="Normal 5 3 5 3" xfId="733" xr:uid="{00000000-0005-0000-0000-000045020000}"/>
    <cellStyle name="Normal 5 3 6" xfId="576" xr:uid="{00000000-0005-0000-0000-000046020000}"/>
    <cellStyle name="Normal 5 3 6 2" xfId="787" xr:uid="{00000000-0005-0000-0000-000047020000}"/>
    <cellStyle name="Normal 5 3 7" xfId="681" xr:uid="{00000000-0005-0000-0000-000048020000}"/>
    <cellStyle name="Normal 5 4" xfId="333" xr:uid="{00000000-0005-0000-0000-000049020000}"/>
    <cellStyle name="Normal 5 4 2" xfId="405" xr:uid="{00000000-0005-0000-0000-00004A020000}"/>
    <cellStyle name="Normal 5 4 2 2" xfId="502" xr:uid="{00000000-0005-0000-0000-00004B020000}"/>
    <cellStyle name="Normal 5 4 2 2 2" xfId="658" xr:uid="{00000000-0005-0000-0000-00004C020000}"/>
    <cellStyle name="Normal 5 4 2 2 2 2" xfId="869" xr:uid="{00000000-0005-0000-0000-00004D020000}"/>
    <cellStyle name="Normal 5 4 2 2 3" xfId="763" xr:uid="{00000000-0005-0000-0000-00004E020000}"/>
    <cellStyle name="Normal 5 4 2 3" xfId="606" xr:uid="{00000000-0005-0000-0000-00004F020000}"/>
    <cellStyle name="Normal 5 4 2 3 2" xfId="817" xr:uid="{00000000-0005-0000-0000-000050020000}"/>
    <cellStyle name="Normal 5 4 2 4" xfId="711" xr:uid="{00000000-0005-0000-0000-000051020000}"/>
    <cellStyle name="Normal 5 4 3" xfId="476" xr:uid="{00000000-0005-0000-0000-000052020000}"/>
    <cellStyle name="Normal 5 4 3 2" xfId="632" xr:uid="{00000000-0005-0000-0000-000053020000}"/>
    <cellStyle name="Normal 5 4 3 2 2" xfId="843" xr:uid="{00000000-0005-0000-0000-000054020000}"/>
    <cellStyle name="Normal 5 4 3 3" xfId="737" xr:uid="{00000000-0005-0000-0000-000055020000}"/>
    <cellStyle name="Normal 5 4 4" xfId="580" xr:uid="{00000000-0005-0000-0000-000056020000}"/>
    <cellStyle name="Normal 5 4 4 2" xfId="791" xr:uid="{00000000-0005-0000-0000-000057020000}"/>
    <cellStyle name="Normal 5 4 5" xfId="685" xr:uid="{00000000-0005-0000-0000-000058020000}"/>
    <cellStyle name="Normal 5 5" xfId="343" xr:uid="{00000000-0005-0000-0000-000059020000}"/>
    <cellStyle name="Normal 5 5 2" xfId="415" xr:uid="{00000000-0005-0000-0000-00005A020000}"/>
    <cellStyle name="Normal 5 5 2 2" xfId="511" xr:uid="{00000000-0005-0000-0000-00005B020000}"/>
    <cellStyle name="Normal 5 5 2 2 2" xfId="667" xr:uid="{00000000-0005-0000-0000-00005C020000}"/>
    <cellStyle name="Normal 5 5 2 2 2 2" xfId="878" xr:uid="{00000000-0005-0000-0000-00005D020000}"/>
    <cellStyle name="Normal 5 5 2 2 3" xfId="772" xr:uid="{00000000-0005-0000-0000-00005E020000}"/>
    <cellStyle name="Normal 5 5 2 3" xfId="615" xr:uid="{00000000-0005-0000-0000-00005F020000}"/>
    <cellStyle name="Normal 5 5 2 3 2" xfId="826" xr:uid="{00000000-0005-0000-0000-000060020000}"/>
    <cellStyle name="Normal 5 5 2 4" xfId="720" xr:uid="{00000000-0005-0000-0000-000061020000}"/>
    <cellStyle name="Normal 5 5 3" xfId="485" xr:uid="{00000000-0005-0000-0000-000062020000}"/>
    <cellStyle name="Normal 5 5 3 2" xfId="641" xr:uid="{00000000-0005-0000-0000-000063020000}"/>
    <cellStyle name="Normal 5 5 3 2 2" xfId="852" xr:uid="{00000000-0005-0000-0000-000064020000}"/>
    <cellStyle name="Normal 5 5 3 3" xfId="746" xr:uid="{00000000-0005-0000-0000-000065020000}"/>
    <cellStyle name="Normal 5 5 4" xfId="589" xr:uid="{00000000-0005-0000-0000-000066020000}"/>
    <cellStyle name="Normal 5 5 4 2" xfId="800" xr:uid="{00000000-0005-0000-0000-000067020000}"/>
    <cellStyle name="Normal 5 5 5" xfId="694" xr:uid="{00000000-0005-0000-0000-000068020000}"/>
    <cellStyle name="Normal 5 6" xfId="397" xr:uid="{00000000-0005-0000-0000-000069020000}"/>
    <cellStyle name="Normal 5 6 2" xfId="494" xr:uid="{00000000-0005-0000-0000-00006A020000}"/>
    <cellStyle name="Normal 5 6 2 2" xfId="650" xr:uid="{00000000-0005-0000-0000-00006B020000}"/>
    <cellStyle name="Normal 5 6 2 2 2" xfId="861" xr:uid="{00000000-0005-0000-0000-00006C020000}"/>
    <cellStyle name="Normal 5 6 2 3" xfId="755" xr:uid="{00000000-0005-0000-0000-00006D020000}"/>
    <cellStyle name="Normal 5 6 3" xfId="598" xr:uid="{00000000-0005-0000-0000-00006E020000}"/>
    <cellStyle name="Normal 5 6 3 2" xfId="809" xr:uid="{00000000-0005-0000-0000-00006F020000}"/>
    <cellStyle name="Normal 5 6 4" xfId="703" xr:uid="{00000000-0005-0000-0000-000070020000}"/>
    <cellStyle name="Normal 5 7" xfId="468" xr:uid="{00000000-0005-0000-0000-000071020000}"/>
    <cellStyle name="Normal 5 7 2" xfId="624" xr:uid="{00000000-0005-0000-0000-000072020000}"/>
    <cellStyle name="Normal 5 7 2 2" xfId="835" xr:uid="{00000000-0005-0000-0000-000073020000}"/>
    <cellStyle name="Normal 5 7 3" xfId="729" xr:uid="{00000000-0005-0000-0000-000074020000}"/>
    <cellStyle name="Normal 5 8" xfId="572" xr:uid="{00000000-0005-0000-0000-000075020000}"/>
    <cellStyle name="Normal 5 8 2" xfId="783" xr:uid="{00000000-0005-0000-0000-000076020000}"/>
    <cellStyle name="Normal 5 9" xfId="677" xr:uid="{00000000-0005-0000-0000-000077020000}"/>
    <cellStyle name="Normal 6" xfId="194" xr:uid="{00000000-0005-0000-0000-000078020000}"/>
    <cellStyle name="Normal 6 2" xfId="286" xr:uid="{00000000-0005-0000-0000-000079020000}"/>
    <cellStyle name="Normal 7" xfId="193" xr:uid="{00000000-0005-0000-0000-00007A020000}"/>
    <cellStyle name="Normal 7 2" xfId="285" xr:uid="{00000000-0005-0000-0000-00007B020000}"/>
    <cellStyle name="Normal 7 2 2" xfId="338" xr:uid="{00000000-0005-0000-0000-00007C020000}"/>
    <cellStyle name="Normal 7 2 2 2" xfId="410" xr:uid="{00000000-0005-0000-0000-00007D020000}"/>
    <cellStyle name="Normal 7 2 2 2 2" xfId="507" xr:uid="{00000000-0005-0000-0000-00007E020000}"/>
    <cellStyle name="Normal 7 2 2 2 2 2" xfId="663" xr:uid="{00000000-0005-0000-0000-00007F020000}"/>
    <cellStyle name="Normal 7 2 2 2 2 2 2" xfId="874" xr:uid="{00000000-0005-0000-0000-000080020000}"/>
    <cellStyle name="Normal 7 2 2 2 2 3" xfId="768" xr:uid="{00000000-0005-0000-0000-000081020000}"/>
    <cellStyle name="Normal 7 2 2 2 3" xfId="611" xr:uid="{00000000-0005-0000-0000-000082020000}"/>
    <cellStyle name="Normal 7 2 2 2 3 2" xfId="822" xr:uid="{00000000-0005-0000-0000-000083020000}"/>
    <cellStyle name="Normal 7 2 2 2 4" xfId="716" xr:uid="{00000000-0005-0000-0000-000084020000}"/>
    <cellStyle name="Normal 7 2 2 3" xfId="481" xr:uid="{00000000-0005-0000-0000-000085020000}"/>
    <cellStyle name="Normal 7 2 2 3 2" xfId="637" xr:uid="{00000000-0005-0000-0000-000086020000}"/>
    <cellStyle name="Normal 7 2 2 3 2 2" xfId="848" xr:uid="{00000000-0005-0000-0000-000087020000}"/>
    <cellStyle name="Normal 7 2 2 3 3" xfId="742" xr:uid="{00000000-0005-0000-0000-000088020000}"/>
    <cellStyle name="Normal 7 2 2 4" xfId="585" xr:uid="{00000000-0005-0000-0000-000089020000}"/>
    <cellStyle name="Normal 7 2 2 4 2" xfId="796" xr:uid="{00000000-0005-0000-0000-00008A020000}"/>
    <cellStyle name="Normal 7 2 2 5" xfId="690" xr:uid="{00000000-0005-0000-0000-00008B020000}"/>
    <cellStyle name="Normal 7 2 3" xfId="348" xr:uid="{00000000-0005-0000-0000-00008C020000}"/>
    <cellStyle name="Normal 7 2 3 2" xfId="420" xr:uid="{00000000-0005-0000-0000-00008D020000}"/>
    <cellStyle name="Normal 7 2 3 2 2" xfId="516" xr:uid="{00000000-0005-0000-0000-00008E020000}"/>
    <cellStyle name="Normal 7 2 3 2 2 2" xfId="672" xr:uid="{00000000-0005-0000-0000-00008F020000}"/>
    <cellStyle name="Normal 7 2 3 2 2 2 2" xfId="883" xr:uid="{00000000-0005-0000-0000-000090020000}"/>
    <cellStyle name="Normal 7 2 3 2 2 3" xfId="777" xr:uid="{00000000-0005-0000-0000-000091020000}"/>
    <cellStyle name="Normal 7 2 3 2 3" xfId="620" xr:uid="{00000000-0005-0000-0000-000092020000}"/>
    <cellStyle name="Normal 7 2 3 2 3 2" xfId="831" xr:uid="{00000000-0005-0000-0000-000093020000}"/>
    <cellStyle name="Normal 7 2 3 2 4" xfId="725" xr:uid="{00000000-0005-0000-0000-000094020000}"/>
    <cellStyle name="Normal 7 2 3 3" xfId="490" xr:uid="{00000000-0005-0000-0000-000095020000}"/>
    <cellStyle name="Normal 7 2 3 3 2" xfId="646" xr:uid="{00000000-0005-0000-0000-000096020000}"/>
    <cellStyle name="Normal 7 2 3 3 2 2" xfId="857" xr:uid="{00000000-0005-0000-0000-000097020000}"/>
    <cellStyle name="Normal 7 2 3 3 3" xfId="751" xr:uid="{00000000-0005-0000-0000-000098020000}"/>
    <cellStyle name="Normal 7 2 3 4" xfId="594" xr:uid="{00000000-0005-0000-0000-000099020000}"/>
    <cellStyle name="Normal 7 2 3 4 2" xfId="805" xr:uid="{00000000-0005-0000-0000-00009A020000}"/>
    <cellStyle name="Normal 7 2 3 5" xfId="699" xr:uid="{00000000-0005-0000-0000-00009B020000}"/>
    <cellStyle name="Normal 7 2 4" xfId="402" xr:uid="{00000000-0005-0000-0000-00009C020000}"/>
    <cellStyle name="Normal 7 2 4 2" xfId="499" xr:uid="{00000000-0005-0000-0000-00009D020000}"/>
    <cellStyle name="Normal 7 2 4 2 2" xfId="655" xr:uid="{00000000-0005-0000-0000-00009E020000}"/>
    <cellStyle name="Normal 7 2 4 2 2 2" xfId="866" xr:uid="{00000000-0005-0000-0000-00009F020000}"/>
    <cellStyle name="Normal 7 2 4 2 3" xfId="760" xr:uid="{00000000-0005-0000-0000-0000A0020000}"/>
    <cellStyle name="Normal 7 2 4 3" xfId="603" xr:uid="{00000000-0005-0000-0000-0000A1020000}"/>
    <cellStyle name="Normal 7 2 4 3 2" xfId="814" xr:uid="{00000000-0005-0000-0000-0000A2020000}"/>
    <cellStyle name="Normal 7 2 4 4" xfId="708" xr:uid="{00000000-0005-0000-0000-0000A3020000}"/>
    <cellStyle name="Normal 7 2 5" xfId="473" xr:uid="{00000000-0005-0000-0000-0000A4020000}"/>
    <cellStyle name="Normal 7 2 5 2" xfId="629" xr:uid="{00000000-0005-0000-0000-0000A5020000}"/>
    <cellStyle name="Normal 7 2 5 2 2" xfId="840" xr:uid="{00000000-0005-0000-0000-0000A6020000}"/>
    <cellStyle name="Normal 7 2 5 3" xfId="734" xr:uid="{00000000-0005-0000-0000-0000A7020000}"/>
    <cellStyle name="Normal 7 2 6" xfId="577" xr:uid="{00000000-0005-0000-0000-0000A8020000}"/>
    <cellStyle name="Normal 7 2 6 2" xfId="788" xr:uid="{00000000-0005-0000-0000-0000A9020000}"/>
    <cellStyle name="Normal 7 2 7" xfId="682" xr:uid="{00000000-0005-0000-0000-0000AA020000}"/>
    <cellStyle name="Normal 7 3" xfId="334" xr:uid="{00000000-0005-0000-0000-0000AB020000}"/>
    <cellStyle name="Normal 7 3 2" xfId="406" xr:uid="{00000000-0005-0000-0000-0000AC020000}"/>
    <cellStyle name="Normal 7 3 2 2" xfId="503" xr:uid="{00000000-0005-0000-0000-0000AD020000}"/>
    <cellStyle name="Normal 7 3 2 2 2" xfId="659" xr:uid="{00000000-0005-0000-0000-0000AE020000}"/>
    <cellStyle name="Normal 7 3 2 2 2 2" xfId="870" xr:uid="{00000000-0005-0000-0000-0000AF020000}"/>
    <cellStyle name="Normal 7 3 2 2 3" xfId="764" xr:uid="{00000000-0005-0000-0000-0000B0020000}"/>
    <cellStyle name="Normal 7 3 2 3" xfId="607" xr:uid="{00000000-0005-0000-0000-0000B1020000}"/>
    <cellStyle name="Normal 7 3 2 3 2" xfId="818" xr:uid="{00000000-0005-0000-0000-0000B2020000}"/>
    <cellStyle name="Normal 7 3 2 4" xfId="712" xr:uid="{00000000-0005-0000-0000-0000B3020000}"/>
    <cellStyle name="Normal 7 3 3" xfId="477" xr:uid="{00000000-0005-0000-0000-0000B4020000}"/>
    <cellStyle name="Normal 7 3 3 2" xfId="633" xr:uid="{00000000-0005-0000-0000-0000B5020000}"/>
    <cellStyle name="Normal 7 3 3 2 2" xfId="844" xr:uid="{00000000-0005-0000-0000-0000B6020000}"/>
    <cellStyle name="Normal 7 3 3 3" xfId="738" xr:uid="{00000000-0005-0000-0000-0000B7020000}"/>
    <cellStyle name="Normal 7 3 4" xfId="581" xr:uid="{00000000-0005-0000-0000-0000B8020000}"/>
    <cellStyle name="Normal 7 3 4 2" xfId="792" xr:uid="{00000000-0005-0000-0000-0000B9020000}"/>
    <cellStyle name="Normal 7 3 5" xfId="686" xr:uid="{00000000-0005-0000-0000-0000BA020000}"/>
    <cellStyle name="Normal 7 4" xfId="344" xr:uid="{00000000-0005-0000-0000-0000BB020000}"/>
    <cellStyle name="Normal 7 4 2" xfId="416" xr:uid="{00000000-0005-0000-0000-0000BC020000}"/>
    <cellStyle name="Normal 7 4 2 2" xfId="512" xr:uid="{00000000-0005-0000-0000-0000BD020000}"/>
    <cellStyle name="Normal 7 4 2 2 2" xfId="668" xr:uid="{00000000-0005-0000-0000-0000BE020000}"/>
    <cellStyle name="Normal 7 4 2 2 2 2" xfId="879" xr:uid="{00000000-0005-0000-0000-0000BF020000}"/>
    <cellStyle name="Normal 7 4 2 2 3" xfId="773" xr:uid="{00000000-0005-0000-0000-0000C0020000}"/>
    <cellStyle name="Normal 7 4 2 3" xfId="616" xr:uid="{00000000-0005-0000-0000-0000C1020000}"/>
    <cellStyle name="Normal 7 4 2 3 2" xfId="827" xr:uid="{00000000-0005-0000-0000-0000C2020000}"/>
    <cellStyle name="Normal 7 4 2 4" xfId="721" xr:uid="{00000000-0005-0000-0000-0000C3020000}"/>
    <cellStyle name="Normal 7 4 3" xfId="486" xr:uid="{00000000-0005-0000-0000-0000C4020000}"/>
    <cellStyle name="Normal 7 4 3 2" xfId="642" xr:uid="{00000000-0005-0000-0000-0000C5020000}"/>
    <cellStyle name="Normal 7 4 3 2 2" xfId="853" xr:uid="{00000000-0005-0000-0000-0000C6020000}"/>
    <cellStyle name="Normal 7 4 3 3" xfId="747" xr:uid="{00000000-0005-0000-0000-0000C7020000}"/>
    <cellStyle name="Normal 7 4 4" xfId="590" xr:uid="{00000000-0005-0000-0000-0000C8020000}"/>
    <cellStyle name="Normal 7 4 4 2" xfId="801" xr:uid="{00000000-0005-0000-0000-0000C9020000}"/>
    <cellStyle name="Normal 7 4 5" xfId="695" xr:uid="{00000000-0005-0000-0000-0000CA020000}"/>
    <cellStyle name="Normal 7 5" xfId="398" xr:uid="{00000000-0005-0000-0000-0000CB020000}"/>
    <cellStyle name="Normal 7 5 2" xfId="495" xr:uid="{00000000-0005-0000-0000-0000CC020000}"/>
    <cellStyle name="Normal 7 5 2 2" xfId="651" xr:uid="{00000000-0005-0000-0000-0000CD020000}"/>
    <cellStyle name="Normal 7 5 2 2 2" xfId="862" xr:uid="{00000000-0005-0000-0000-0000CE020000}"/>
    <cellStyle name="Normal 7 5 2 3" xfId="756" xr:uid="{00000000-0005-0000-0000-0000CF020000}"/>
    <cellStyle name="Normal 7 5 3" xfId="599" xr:uid="{00000000-0005-0000-0000-0000D0020000}"/>
    <cellStyle name="Normal 7 5 3 2" xfId="810" xr:uid="{00000000-0005-0000-0000-0000D1020000}"/>
    <cellStyle name="Normal 7 5 4" xfId="704" xr:uid="{00000000-0005-0000-0000-0000D2020000}"/>
    <cellStyle name="Normal 7 6" xfId="469" xr:uid="{00000000-0005-0000-0000-0000D3020000}"/>
    <cellStyle name="Normal 7 6 2" xfId="625" xr:uid="{00000000-0005-0000-0000-0000D4020000}"/>
    <cellStyle name="Normal 7 6 2 2" xfId="836" xr:uid="{00000000-0005-0000-0000-0000D5020000}"/>
    <cellStyle name="Normal 7 6 3" xfId="730" xr:uid="{00000000-0005-0000-0000-0000D6020000}"/>
    <cellStyle name="Normal 7 7" xfId="573" xr:uid="{00000000-0005-0000-0000-0000D7020000}"/>
    <cellStyle name="Normal 7 7 2" xfId="784" xr:uid="{00000000-0005-0000-0000-0000D8020000}"/>
    <cellStyle name="Normal 7 8" xfId="678" xr:uid="{00000000-0005-0000-0000-0000D9020000}"/>
    <cellStyle name="Normal 8" xfId="240" xr:uid="{00000000-0005-0000-0000-0000DA020000}"/>
    <cellStyle name="Normal 8 2" xfId="524" xr:uid="{00000000-0005-0000-0000-0000DB020000}"/>
    <cellStyle name="Normal 9" xfId="239" xr:uid="{00000000-0005-0000-0000-0000DC020000}"/>
    <cellStyle name="Normal 9 2" xfId="336" xr:uid="{00000000-0005-0000-0000-0000DD020000}"/>
    <cellStyle name="Normal 9 2 2" xfId="408" xr:uid="{00000000-0005-0000-0000-0000DE020000}"/>
    <cellStyle name="Normal 9 2 2 2" xfId="505" xr:uid="{00000000-0005-0000-0000-0000DF020000}"/>
    <cellStyle name="Normal 9 2 2 2 2" xfId="661" xr:uid="{00000000-0005-0000-0000-0000E0020000}"/>
    <cellStyle name="Normal 9 2 2 2 2 2" xfId="872" xr:uid="{00000000-0005-0000-0000-0000E1020000}"/>
    <cellStyle name="Normal 9 2 2 2 3" xfId="766" xr:uid="{00000000-0005-0000-0000-0000E2020000}"/>
    <cellStyle name="Normal 9 2 2 3" xfId="609" xr:uid="{00000000-0005-0000-0000-0000E3020000}"/>
    <cellStyle name="Normal 9 2 2 3 2" xfId="820" xr:uid="{00000000-0005-0000-0000-0000E4020000}"/>
    <cellStyle name="Normal 9 2 2 4" xfId="714" xr:uid="{00000000-0005-0000-0000-0000E5020000}"/>
    <cellStyle name="Normal 9 2 3" xfId="479" xr:uid="{00000000-0005-0000-0000-0000E6020000}"/>
    <cellStyle name="Normal 9 2 3 2" xfId="635" xr:uid="{00000000-0005-0000-0000-0000E7020000}"/>
    <cellStyle name="Normal 9 2 3 2 2" xfId="846" xr:uid="{00000000-0005-0000-0000-0000E8020000}"/>
    <cellStyle name="Normal 9 2 3 3" xfId="740" xr:uid="{00000000-0005-0000-0000-0000E9020000}"/>
    <cellStyle name="Normal 9 2 4" xfId="583" xr:uid="{00000000-0005-0000-0000-0000EA020000}"/>
    <cellStyle name="Normal 9 2 4 2" xfId="794" xr:uid="{00000000-0005-0000-0000-0000EB020000}"/>
    <cellStyle name="Normal 9 2 5" xfId="688" xr:uid="{00000000-0005-0000-0000-0000EC020000}"/>
    <cellStyle name="Normal 9 3" xfId="346" xr:uid="{00000000-0005-0000-0000-0000ED020000}"/>
    <cellStyle name="Normal 9 3 2" xfId="418" xr:uid="{00000000-0005-0000-0000-0000EE020000}"/>
    <cellStyle name="Normal 9 3 2 2" xfId="514" xr:uid="{00000000-0005-0000-0000-0000EF020000}"/>
    <cellStyle name="Normal 9 3 2 2 2" xfId="670" xr:uid="{00000000-0005-0000-0000-0000F0020000}"/>
    <cellStyle name="Normal 9 3 2 2 2 2" xfId="881" xr:uid="{00000000-0005-0000-0000-0000F1020000}"/>
    <cellStyle name="Normal 9 3 2 2 3" xfId="775" xr:uid="{00000000-0005-0000-0000-0000F2020000}"/>
    <cellStyle name="Normal 9 3 2 3" xfId="618" xr:uid="{00000000-0005-0000-0000-0000F3020000}"/>
    <cellStyle name="Normal 9 3 2 3 2" xfId="829" xr:uid="{00000000-0005-0000-0000-0000F4020000}"/>
    <cellStyle name="Normal 9 3 2 4" xfId="723" xr:uid="{00000000-0005-0000-0000-0000F5020000}"/>
    <cellStyle name="Normal 9 3 3" xfId="488" xr:uid="{00000000-0005-0000-0000-0000F6020000}"/>
    <cellStyle name="Normal 9 3 3 2" xfId="644" xr:uid="{00000000-0005-0000-0000-0000F7020000}"/>
    <cellStyle name="Normal 9 3 3 2 2" xfId="855" xr:uid="{00000000-0005-0000-0000-0000F8020000}"/>
    <cellStyle name="Normal 9 3 3 3" xfId="749" xr:uid="{00000000-0005-0000-0000-0000F9020000}"/>
    <cellStyle name="Normal 9 3 4" xfId="592" xr:uid="{00000000-0005-0000-0000-0000FA020000}"/>
    <cellStyle name="Normal 9 3 4 2" xfId="803" xr:uid="{00000000-0005-0000-0000-0000FB020000}"/>
    <cellStyle name="Normal 9 3 5" xfId="697" xr:uid="{00000000-0005-0000-0000-0000FC020000}"/>
    <cellStyle name="Normal 9 4" xfId="400" xr:uid="{00000000-0005-0000-0000-0000FD020000}"/>
    <cellStyle name="Normal 9 4 2" xfId="497" xr:uid="{00000000-0005-0000-0000-0000FE020000}"/>
    <cellStyle name="Normal 9 4 2 2" xfId="653" xr:uid="{00000000-0005-0000-0000-0000FF020000}"/>
    <cellStyle name="Normal 9 4 2 2 2" xfId="864" xr:uid="{00000000-0005-0000-0000-000000030000}"/>
    <cellStyle name="Normal 9 4 2 3" xfId="758" xr:uid="{00000000-0005-0000-0000-000001030000}"/>
    <cellStyle name="Normal 9 4 3" xfId="601" xr:uid="{00000000-0005-0000-0000-000002030000}"/>
    <cellStyle name="Normal 9 4 3 2" xfId="812" xr:uid="{00000000-0005-0000-0000-000003030000}"/>
    <cellStyle name="Normal 9 4 4" xfId="706" xr:uid="{00000000-0005-0000-0000-000004030000}"/>
    <cellStyle name="Normal 9 5" xfId="471" xr:uid="{00000000-0005-0000-0000-000005030000}"/>
    <cellStyle name="Normal 9 5 2" xfId="627" xr:uid="{00000000-0005-0000-0000-000006030000}"/>
    <cellStyle name="Normal 9 5 2 2" xfId="838" xr:uid="{00000000-0005-0000-0000-000007030000}"/>
    <cellStyle name="Normal 9 5 3" xfId="732" xr:uid="{00000000-0005-0000-0000-000008030000}"/>
    <cellStyle name="Normal 9 6" xfId="575" xr:uid="{00000000-0005-0000-0000-000009030000}"/>
    <cellStyle name="Normal 9 6 2" xfId="786" xr:uid="{00000000-0005-0000-0000-00000A030000}"/>
    <cellStyle name="Normal 9 7" xfId="680" xr:uid="{00000000-0005-0000-0000-00000B030000}"/>
    <cellStyle name="Normal_Funding Shift Table Sample" xfId="67" xr:uid="{00000000-0005-0000-0000-00000C030000}"/>
    <cellStyle name="Note" xfId="68" builtinId="10" customBuiltin="1"/>
    <cellStyle name="Note 2" xfId="186" xr:uid="{00000000-0005-0000-0000-00000E030000}"/>
    <cellStyle name="Note 3" xfId="232" xr:uid="{00000000-0005-0000-0000-00000F030000}"/>
    <cellStyle name="Note 4" xfId="278" xr:uid="{00000000-0005-0000-0000-000010030000}"/>
    <cellStyle name="Note 5" xfId="327" xr:uid="{00000000-0005-0000-0000-000011030000}"/>
    <cellStyle name="Note 6" xfId="391" xr:uid="{00000000-0005-0000-0000-000012030000}"/>
    <cellStyle name="Note 7" xfId="462" xr:uid="{00000000-0005-0000-0000-000013030000}"/>
    <cellStyle name="Note 8" xfId="566" xr:uid="{00000000-0005-0000-0000-000014030000}"/>
    <cellStyle name="Output" xfId="69" builtinId="21" customBuiltin="1"/>
    <cellStyle name="Output 2" xfId="187" xr:uid="{00000000-0005-0000-0000-000016030000}"/>
    <cellStyle name="Output 3" xfId="233" xr:uid="{00000000-0005-0000-0000-000017030000}"/>
    <cellStyle name="Output 4" xfId="279" xr:uid="{00000000-0005-0000-0000-000018030000}"/>
    <cellStyle name="Output 5" xfId="328" xr:uid="{00000000-0005-0000-0000-000019030000}"/>
    <cellStyle name="Output 6" xfId="392" xr:uid="{00000000-0005-0000-0000-00001A030000}"/>
    <cellStyle name="Output 7" xfId="463" xr:uid="{00000000-0005-0000-0000-00001B030000}"/>
    <cellStyle name="Output 8" xfId="567" xr:uid="{00000000-0005-0000-0000-00001C030000}"/>
    <cellStyle name="Percent" xfId="145" builtinId="5"/>
    <cellStyle name="Percent 2" xfId="70" xr:uid="{00000000-0005-0000-0000-00001E030000}"/>
    <cellStyle name="Percent 2 2" xfId="71" xr:uid="{00000000-0005-0000-0000-00001F030000}"/>
    <cellStyle name="Percent 3" xfId="191" xr:uid="{00000000-0005-0000-0000-000020030000}"/>
    <cellStyle name="Percent 4" xfId="237" xr:uid="{00000000-0005-0000-0000-000021030000}"/>
    <cellStyle name="Percent 5" xfId="283" xr:uid="{00000000-0005-0000-0000-000022030000}"/>
    <cellStyle name="Percent 6" xfId="332" xr:uid="{00000000-0005-0000-0000-000023030000}"/>
    <cellStyle name="Percent 7" xfId="396" xr:uid="{00000000-0005-0000-0000-000024030000}"/>
    <cellStyle name="Percent 8" xfId="467" xr:uid="{00000000-0005-0000-0000-000025030000}"/>
    <cellStyle name="Percent 9" xfId="571" xr:uid="{00000000-0005-0000-0000-000026030000}"/>
    <cellStyle name="SAPBEXaggData" xfId="72" xr:uid="{00000000-0005-0000-0000-000027030000}"/>
    <cellStyle name="SAPBEXaggDataEmph" xfId="73" xr:uid="{00000000-0005-0000-0000-000028030000}"/>
    <cellStyle name="SAPBEXaggItem" xfId="74" xr:uid="{00000000-0005-0000-0000-000029030000}"/>
    <cellStyle name="SAPBEXaggItemX" xfId="75" xr:uid="{00000000-0005-0000-0000-00002A030000}"/>
    <cellStyle name="SAPBEXchaText" xfId="76" xr:uid="{00000000-0005-0000-0000-00002B030000}"/>
    <cellStyle name="SAPBEXexcBad7" xfId="77" xr:uid="{00000000-0005-0000-0000-00002C030000}"/>
    <cellStyle name="SAPBEXexcBad7 2" xfId="128" xr:uid="{00000000-0005-0000-0000-00002D030000}"/>
    <cellStyle name="SAPBEXexcBad8" xfId="78" xr:uid="{00000000-0005-0000-0000-00002E030000}"/>
    <cellStyle name="SAPBEXexcBad8 2" xfId="129" xr:uid="{00000000-0005-0000-0000-00002F030000}"/>
    <cellStyle name="SAPBEXexcBad9" xfId="79" xr:uid="{00000000-0005-0000-0000-000030030000}"/>
    <cellStyle name="SAPBEXexcBad9 2" xfId="130" xr:uid="{00000000-0005-0000-0000-000031030000}"/>
    <cellStyle name="SAPBEXexcCritical4" xfId="80" xr:uid="{00000000-0005-0000-0000-000032030000}"/>
    <cellStyle name="SAPBEXexcCritical4 2" xfId="131" xr:uid="{00000000-0005-0000-0000-000033030000}"/>
    <cellStyle name="SAPBEXexcCritical5" xfId="81" xr:uid="{00000000-0005-0000-0000-000034030000}"/>
    <cellStyle name="SAPBEXexcCritical5 2" xfId="132" xr:uid="{00000000-0005-0000-0000-000035030000}"/>
    <cellStyle name="SAPBEXexcCritical6" xfId="82" xr:uid="{00000000-0005-0000-0000-000036030000}"/>
    <cellStyle name="SAPBEXexcCritical6 2" xfId="133" xr:uid="{00000000-0005-0000-0000-000037030000}"/>
    <cellStyle name="SAPBEXexcGood1" xfId="83" xr:uid="{00000000-0005-0000-0000-000038030000}"/>
    <cellStyle name="SAPBEXexcGood1 2" xfId="134" xr:uid="{00000000-0005-0000-0000-000039030000}"/>
    <cellStyle name="SAPBEXexcGood2" xfId="84" xr:uid="{00000000-0005-0000-0000-00003A030000}"/>
    <cellStyle name="SAPBEXexcGood2 2" xfId="135" xr:uid="{00000000-0005-0000-0000-00003B030000}"/>
    <cellStyle name="SAPBEXexcGood3" xfId="85" xr:uid="{00000000-0005-0000-0000-00003C030000}"/>
    <cellStyle name="SAPBEXexcGood3 2" xfId="136" xr:uid="{00000000-0005-0000-0000-00003D030000}"/>
    <cellStyle name="SAPBEXfilterDrill" xfId="86" xr:uid="{00000000-0005-0000-0000-00003E030000}"/>
    <cellStyle name="SAPBEXfilterItem" xfId="87" xr:uid="{00000000-0005-0000-0000-00003F030000}"/>
    <cellStyle name="SAPBEXfilterItem 2" xfId="137" xr:uid="{00000000-0005-0000-0000-000040030000}"/>
    <cellStyle name="SAPBEXfilterText" xfId="88" xr:uid="{00000000-0005-0000-0000-000041030000}"/>
    <cellStyle name="SAPBEXformats" xfId="89" xr:uid="{00000000-0005-0000-0000-000042030000}"/>
    <cellStyle name="SAPBEXformats 2" xfId="138" xr:uid="{00000000-0005-0000-0000-000043030000}"/>
    <cellStyle name="SAPBEXheaderItem" xfId="90" xr:uid="{00000000-0005-0000-0000-000044030000}"/>
    <cellStyle name="SAPBEXheaderText" xfId="91" xr:uid="{00000000-0005-0000-0000-000045030000}"/>
    <cellStyle name="SAPBEXHLevel0" xfId="92" xr:uid="{00000000-0005-0000-0000-000046030000}"/>
    <cellStyle name="SAPBEXHLevel0X" xfId="93" xr:uid="{00000000-0005-0000-0000-000047030000}"/>
    <cellStyle name="SAPBEXHLevel1" xfId="94" xr:uid="{00000000-0005-0000-0000-000048030000}"/>
    <cellStyle name="SAPBEXHLevel1X" xfId="95" xr:uid="{00000000-0005-0000-0000-000049030000}"/>
    <cellStyle name="SAPBEXHLevel2" xfId="96" xr:uid="{00000000-0005-0000-0000-00004A030000}"/>
    <cellStyle name="SAPBEXHLevel2X" xfId="97" xr:uid="{00000000-0005-0000-0000-00004B030000}"/>
    <cellStyle name="SAPBEXHLevel3" xfId="98" xr:uid="{00000000-0005-0000-0000-00004C030000}"/>
    <cellStyle name="SAPBEXHLevel3X" xfId="99" xr:uid="{00000000-0005-0000-0000-00004D030000}"/>
    <cellStyle name="SAPBEXinputData" xfId="100" xr:uid="{00000000-0005-0000-0000-00004E030000}"/>
    <cellStyle name="SAPBEXresData" xfId="101" xr:uid="{00000000-0005-0000-0000-00004F030000}"/>
    <cellStyle name="SAPBEXresData 2" xfId="139" xr:uid="{00000000-0005-0000-0000-000050030000}"/>
    <cellStyle name="SAPBEXresDataEmph" xfId="102" xr:uid="{00000000-0005-0000-0000-000051030000}"/>
    <cellStyle name="SAPBEXresItem" xfId="103" xr:uid="{00000000-0005-0000-0000-000052030000}"/>
    <cellStyle name="SAPBEXresItem 2" xfId="140" xr:uid="{00000000-0005-0000-0000-000053030000}"/>
    <cellStyle name="SAPBEXresItemX" xfId="104" xr:uid="{00000000-0005-0000-0000-000054030000}"/>
    <cellStyle name="SAPBEXresItemX 2" xfId="141" xr:uid="{00000000-0005-0000-0000-000055030000}"/>
    <cellStyle name="SAPBEXstdData" xfId="105" xr:uid="{00000000-0005-0000-0000-000056030000}"/>
    <cellStyle name="SAPBEXstdData 2" xfId="142" xr:uid="{00000000-0005-0000-0000-000057030000}"/>
    <cellStyle name="SAPBEXstdData 3" xfId="889" xr:uid="{A87DB1B3-E42C-412B-BA07-8E4275339EE4}"/>
    <cellStyle name="SAPBEXstdDataEmph" xfId="106" xr:uid="{00000000-0005-0000-0000-000058030000}"/>
    <cellStyle name="SAPBEXstdItem" xfId="107" xr:uid="{00000000-0005-0000-0000-000059030000}"/>
    <cellStyle name="SAPBEXstdItem 2" xfId="143" xr:uid="{00000000-0005-0000-0000-00005A030000}"/>
    <cellStyle name="SAPBEXstdItem 3" xfId="890" xr:uid="{045C2561-423E-4B09-9F8E-E7C7DA435F49}"/>
    <cellStyle name="SAPBEXstdItemX" xfId="108" xr:uid="{00000000-0005-0000-0000-00005B030000}"/>
    <cellStyle name="SAPBEXstdItemX 2" xfId="144" xr:uid="{00000000-0005-0000-0000-00005C030000}"/>
    <cellStyle name="SAPBEXtitle" xfId="109" xr:uid="{00000000-0005-0000-0000-00005D030000}"/>
    <cellStyle name="SAPBEXundefined" xfId="110" xr:uid="{00000000-0005-0000-0000-00005E030000}"/>
    <cellStyle name="Sheet Title" xfId="111" xr:uid="{00000000-0005-0000-0000-00005F030000}"/>
    <cellStyle name="Title" xfId="112" builtinId="15" customBuiltin="1"/>
    <cellStyle name="Title 2" xfId="188" xr:uid="{00000000-0005-0000-0000-000061030000}"/>
    <cellStyle name="Title 3" xfId="234" xr:uid="{00000000-0005-0000-0000-000062030000}"/>
    <cellStyle name="Title 4" xfId="280" xr:uid="{00000000-0005-0000-0000-000063030000}"/>
    <cellStyle name="Title 5" xfId="329" xr:uid="{00000000-0005-0000-0000-000064030000}"/>
    <cellStyle name="Title 6" xfId="393" xr:uid="{00000000-0005-0000-0000-000065030000}"/>
    <cellStyle name="Title 7" xfId="464" xr:uid="{00000000-0005-0000-0000-000066030000}"/>
    <cellStyle name="Title 8" xfId="568" xr:uid="{00000000-0005-0000-0000-000067030000}"/>
    <cellStyle name="Total" xfId="113" builtinId="25" customBuiltin="1"/>
    <cellStyle name="Total 2" xfId="189" xr:uid="{00000000-0005-0000-0000-000069030000}"/>
    <cellStyle name="Total 3" xfId="235" xr:uid="{00000000-0005-0000-0000-00006A030000}"/>
    <cellStyle name="Total 4" xfId="281" xr:uid="{00000000-0005-0000-0000-00006B030000}"/>
    <cellStyle name="Total 5" xfId="330" xr:uid="{00000000-0005-0000-0000-00006C030000}"/>
    <cellStyle name="Total 6" xfId="394" xr:uid="{00000000-0005-0000-0000-00006D030000}"/>
    <cellStyle name="Total 7" xfId="465" xr:uid="{00000000-0005-0000-0000-00006E030000}"/>
    <cellStyle name="Total 8" xfId="569" xr:uid="{00000000-0005-0000-0000-00006F030000}"/>
    <cellStyle name="Warning Text" xfId="114" builtinId="11" customBuiltin="1"/>
    <cellStyle name="Warning Text 2" xfId="190" xr:uid="{00000000-0005-0000-0000-000071030000}"/>
    <cellStyle name="Warning Text 3" xfId="236" xr:uid="{00000000-0005-0000-0000-000072030000}"/>
    <cellStyle name="Warning Text 4" xfId="282" xr:uid="{00000000-0005-0000-0000-000073030000}"/>
    <cellStyle name="Warning Text 5" xfId="331" xr:uid="{00000000-0005-0000-0000-000074030000}"/>
    <cellStyle name="Warning Text 6" xfId="395" xr:uid="{00000000-0005-0000-0000-000075030000}"/>
    <cellStyle name="Warning Text 7" xfId="466" xr:uid="{00000000-0005-0000-0000-000076030000}"/>
    <cellStyle name="Warning Text 8" xfId="570" xr:uid="{00000000-0005-0000-0000-000077030000}"/>
  </cellStyles>
  <dxfs count="10">
    <dxf>
      <font>
        <b val="0"/>
        <i val="0"/>
        <strike val="0"/>
        <condense val="0"/>
        <extend val="0"/>
        <outline val="0"/>
        <shadow val="0"/>
        <u val="none"/>
        <vertAlign val="baseline"/>
        <sz val="10"/>
        <color auto="1"/>
        <name val="Arial"/>
        <family val="2"/>
        <scheme val="none"/>
      </font>
      <numFmt numFmtId="176" formatCode="0.0000"/>
      <fill>
        <patternFill patternType="none">
          <fgColor indexed="64"/>
          <bgColor auto="1"/>
        </patternFill>
      </fill>
      <protection locked="0" hidden="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auto="1"/>
        </patternFill>
      </fill>
      <protection locked="0" hidden="0"/>
    </dxf>
    <dxf>
      <font>
        <b val="0"/>
        <i val="0"/>
        <strike val="0"/>
        <condense val="0"/>
        <extend val="0"/>
        <outline val="0"/>
        <shadow val="0"/>
        <u val="none"/>
        <vertAlign val="baseline"/>
        <sz val="10"/>
        <color theme="1"/>
        <name val="Arial"/>
        <family val="2"/>
        <scheme val="none"/>
      </font>
      <fill>
        <patternFill patternType="none">
          <fgColor theme="4" tint="0.59999389629810485"/>
          <bgColor auto="1"/>
        </patternFill>
      </fill>
      <border diagonalUp="0" diagonalDown="0" outline="0">
        <left style="thin">
          <color theme="0"/>
        </left>
        <right/>
        <top style="thick">
          <color theme="0"/>
        </top>
        <bottom/>
      </border>
      <protection locked="0" hidden="0"/>
    </dxf>
    <dxf>
      <font>
        <b val="0"/>
        <i val="0"/>
        <strike val="0"/>
        <condense val="0"/>
        <extend val="0"/>
        <outline val="0"/>
        <shadow val="0"/>
        <u val="none"/>
        <vertAlign val="baseline"/>
        <sz val="10"/>
        <color auto="1"/>
        <name val="Arial"/>
        <family val="2"/>
        <scheme val="none"/>
      </font>
      <fill>
        <patternFill patternType="none">
          <fgColor indexed="64"/>
          <bgColor auto="1"/>
        </patternFill>
      </fill>
      <protection locked="0" hidden="0"/>
    </dxf>
    <dxf>
      <font>
        <b val="0"/>
        <i val="0"/>
        <strike val="0"/>
        <condense val="0"/>
        <extend val="0"/>
        <outline val="0"/>
        <shadow val="0"/>
        <u val="none"/>
        <vertAlign val="baseline"/>
        <sz val="10"/>
        <color auto="1"/>
        <name val="Arial"/>
        <family val="2"/>
        <scheme val="none"/>
      </font>
      <fill>
        <patternFill patternType="none">
          <fgColor indexed="64"/>
          <bgColor auto="1"/>
        </patternFill>
      </fill>
      <protection locked="0" hidden="0"/>
    </dxf>
    <dxf>
      <font>
        <b val="0"/>
        <i val="0"/>
        <strike val="0"/>
        <condense val="0"/>
        <extend val="0"/>
        <outline val="0"/>
        <shadow val="0"/>
        <u val="none"/>
        <vertAlign val="baseline"/>
        <sz val="10"/>
        <color auto="1"/>
        <name val="Arial"/>
        <family val="2"/>
        <scheme val="none"/>
      </font>
      <fill>
        <patternFill patternType="none">
          <fgColor indexed="64"/>
          <bgColor indexed="65"/>
        </patternFill>
      </fill>
      <protection locked="0" hidden="0"/>
    </dxf>
    <dxf>
      <font>
        <b val="0"/>
        <i val="0"/>
        <strike val="0"/>
        <condense val="0"/>
        <extend val="0"/>
        <outline val="0"/>
        <shadow val="0"/>
        <u val="none"/>
        <vertAlign val="baseline"/>
        <sz val="10"/>
        <color auto="1"/>
        <name val="Arial"/>
        <family val="2"/>
        <scheme val="none"/>
      </font>
      <fill>
        <patternFill patternType="none">
          <fgColor indexed="64"/>
          <bgColor auto="1"/>
        </patternFill>
      </fill>
      <protection locked="0" hidden="0"/>
    </dxf>
    <dxf>
      <font>
        <b val="0"/>
        <i val="0"/>
        <strike val="0"/>
        <condense val="0"/>
        <extend val="0"/>
        <outline val="0"/>
        <shadow val="0"/>
        <u val="none"/>
        <vertAlign val="baseline"/>
        <sz val="10"/>
        <color auto="1"/>
        <name val="Arial"/>
        <family val="2"/>
        <scheme val="none"/>
      </font>
      <fill>
        <patternFill patternType="none">
          <fgColor indexed="64"/>
          <bgColor auto="1"/>
        </patternFill>
      </fill>
      <protection locked="0" hidden="0"/>
    </dxf>
    <dxf>
      <font>
        <b val="0"/>
        <i val="0"/>
        <strike val="0"/>
        <condense val="0"/>
        <extend val="0"/>
        <outline val="0"/>
        <shadow val="0"/>
        <u val="none"/>
        <vertAlign val="baseline"/>
        <sz val="10"/>
        <color auto="1"/>
        <name val="Arial"/>
        <family val="2"/>
        <scheme val="none"/>
      </font>
      <fill>
        <patternFill patternType="none">
          <fgColor indexed="64"/>
          <bgColor auto="1"/>
        </patternFill>
      </fill>
      <protection locked="0" hidden="0"/>
    </dxf>
    <dxf>
      <font>
        <b val="0"/>
        <i val="0"/>
        <strike val="0"/>
        <condense val="0"/>
        <extend val="0"/>
        <outline val="0"/>
        <shadow val="0"/>
        <u val="none"/>
        <vertAlign val="baseline"/>
        <sz val="10"/>
        <color auto="1"/>
        <name val="Arial"/>
        <family val="2"/>
        <scheme val="none"/>
      </font>
      <fill>
        <patternFill patternType="none">
          <bgColor auto="1"/>
        </patternFill>
      </fill>
      <alignment vertical="top" textRotation="0" indent="0" justifyLastLine="0" shrinkToFit="0" readingOrder="0"/>
      <protection locked="0" hidden="0"/>
    </dxf>
  </dxfs>
  <tableStyles count="0" defaultTableStyle="TableStyleMedium9" defaultPivotStyle="PivotStyleLight16"/>
  <colors>
    <mruColors>
      <color rgb="FF00CC66"/>
      <color rgb="FFCCFF66"/>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23" Type="http://schemas.openxmlformats.org/officeDocument/2006/relationships/customXml" Target="../customXml/item4.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1</xdr:col>
      <xdr:colOff>866</xdr:colOff>
      <xdr:row>8</xdr:row>
      <xdr:rowOff>9525</xdr:rowOff>
    </xdr:from>
    <xdr:to>
      <xdr:col>12</xdr:col>
      <xdr:colOff>770659</xdr:colOff>
      <xdr:row>8</xdr:row>
      <xdr:rowOff>381000</xdr:rowOff>
    </xdr:to>
    <xdr:sp macro="" textlink="">
      <xdr:nvSpPr>
        <xdr:cNvPr id="2" name="Text Box 1">
          <a:extLst>
            <a:ext uri="{FF2B5EF4-FFF2-40B4-BE49-F238E27FC236}">
              <a16:creationId xmlns:a16="http://schemas.microsoft.com/office/drawing/2014/main" id="{00000000-0008-0000-0500-000002000000}"/>
            </a:ext>
          </a:extLst>
        </xdr:cNvPr>
        <xdr:cNvSpPr txBox="1">
          <a:spLocks noChangeArrowheads="1"/>
        </xdr:cNvSpPr>
      </xdr:nvSpPr>
      <xdr:spPr bwMode="auto">
        <a:xfrm>
          <a:off x="4001366" y="1265093"/>
          <a:ext cx="9697316" cy="371475"/>
        </a:xfrm>
        <a:prstGeom prst="rect">
          <a:avLst/>
        </a:prstGeom>
        <a:solidFill>
          <a:srgbClr val="FFFFFF"/>
        </a:solidFill>
        <a:ln w="9525">
          <a:solidFill>
            <a:srgbClr val="000000"/>
          </a:solidFill>
          <a:miter lim="800000"/>
          <a:headEnd/>
          <a:tailEnd/>
        </a:ln>
      </xdr:spPr>
      <xdr:txBody>
        <a:bodyPr vertOverflow="clip" wrap="square" lIns="27432" tIns="27432" rIns="27432" bIns="0" anchor="t" upright="1"/>
        <a:lstStyle/>
        <a:p>
          <a:pPr algn="ctr" rtl="0">
            <a:defRPr sz="1000"/>
          </a:pPr>
          <a:endParaRPr lang="en-US" sz="1100" b="1" i="0" u="none" strike="noStrike" baseline="0">
            <a:solidFill>
              <a:srgbClr val="000000"/>
            </a:solidFill>
            <a:latin typeface="Arial"/>
            <a:cs typeface="Arial"/>
          </a:endParaRPr>
        </a:p>
        <a:p>
          <a:pPr algn="ctr" rtl="0">
            <a:defRPr sz="1000"/>
          </a:pPr>
          <a:r>
            <a:rPr lang="en-US" sz="1100" b="1" i="0" u="none" strike="noStrike" baseline="0">
              <a:solidFill>
                <a:srgbClr val="000000"/>
              </a:solidFill>
              <a:latin typeface="Arial"/>
              <a:cs typeface="Arial"/>
            </a:rPr>
            <a:t>2020 Expenditures</a:t>
          </a:r>
        </a:p>
        <a:p>
          <a:pPr algn="ctr" rtl="0">
            <a:defRPr sz="1000"/>
          </a:pPr>
          <a:endParaRPr lang="en-US" sz="1100" b="1" i="0" u="none" strike="noStrike" baseline="0">
            <a:solidFill>
              <a:srgbClr val="000000"/>
            </a:solidFill>
            <a:latin typeface="Arial"/>
            <a:cs typeface="Arial"/>
          </a:endParaRPr>
        </a:p>
        <a:p>
          <a:pPr algn="ctr" rtl="0">
            <a:defRPr sz="1000"/>
          </a:pPr>
          <a:endParaRPr lang="en-US" sz="1100" b="1" i="0" u="none" strike="noStrike" baseline="0">
            <a:solidFill>
              <a:srgbClr val="000000"/>
            </a:solidFill>
            <a:latin typeface="Arial"/>
            <a:cs typeface="Aria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ssuo/cee/dr/Shared%20Documents/2007%20Budget/Budget%20Forecast%202006-08/DR_ACTMA%20Docs/DR%20ACTMA%20thru%2009%20Sept%20200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sempra.sharepoint.com/Users/TKinjo/AppData/Local/Microsoft/Windows/Temporary%20Internet%20Files/Content.Outlook/XGUO2WB4/BIP%20Study%20Appendix%20FF%20%20Ex-Ante%20Load%20Impact%20Table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TMA Pivot"/>
      <sheetName val="ACTMA Detail"/>
      <sheetName val="GL 1430010 2002"/>
    </sheetNames>
    <sheetDataSet>
      <sheetData sheetId="0"/>
      <sheetData sheetId="1">
        <row r="2">
          <cell r="N2" t="str">
            <v>ENERTOUCH INC</v>
          </cell>
          <cell r="P2">
            <v>232323.08</v>
          </cell>
        </row>
        <row r="3">
          <cell r="N3" t="str">
            <v>ENERTOUCH INC</v>
          </cell>
          <cell r="P3">
            <v>180623.66</v>
          </cell>
        </row>
        <row r="4">
          <cell r="N4" t="str">
            <v>CANNON TECHNOLOGIES INC</v>
          </cell>
          <cell r="P4">
            <v>0</v>
          </cell>
        </row>
        <row r="5">
          <cell r="N5" t="str">
            <v>CANNON TECHNOLOGIES INC</v>
          </cell>
          <cell r="P5">
            <v>4132.8</v>
          </cell>
        </row>
        <row r="6">
          <cell r="N6" t="str">
            <v>CANNON TECHNOLOGIES INC</v>
          </cell>
          <cell r="P6">
            <v>0</v>
          </cell>
        </row>
        <row r="7">
          <cell r="N7" t="str">
            <v>CANNON TECHNOLOGIES INC</v>
          </cell>
          <cell r="P7">
            <v>96768</v>
          </cell>
        </row>
        <row r="8">
          <cell r="N8" t="str">
            <v>CANNON TECHNOLOGIES INC</v>
          </cell>
          <cell r="P8">
            <v>72375</v>
          </cell>
        </row>
        <row r="9">
          <cell r="N9" t="str">
            <v>CANNON TECHNOLOGIES INC</v>
          </cell>
          <cell r="P9">
            <v>96768</v>
          </cell>
        </row>
        <row r="10">
          <cell r="N10" t="str">
            <v>CANNON TECHNOLOGIES INC</v>
          </cell>
          <cell r="P10">
            <v>96768</v>
          </cell>
        </row>
        <row r="11">
          <cell r="N11" t="str">
            <v>CANNON TECHNOLOGIES INC</v>
          </cell>
          <cell r="P11">
            <v>-423059.4</v>
          </cell>
        </row>
        <row r="12">
          <cell r="N12" t="str">
            <v>CANNON TECHNOLOGIES INC</v>
          </cell>
          <cell r="P12">
            <v>0</v>
          </cell>
        </row>
        <row r="13">
          <cell r="N13" t="str">
            <v>CANNON TECHNOLOGIES INC</v>
          </cell>
          <cell r="P13">
            <v>72375</v>
          </cell>
        </row>
        <row r="14">
          <cell r="N14" t="str">
            <v>CANNON TECHNOLOGIES INC</v>
          </cell>
          <cell r="P14">
            <v>423059.4</v>
          </cell>
        </row>
        <row r="15">
          <cell r="N15" t="str">
            <v>CANNON TECHNOLOGIES INC</v>
          </cell>
          <cell r="P15">
            <v>4132.8</v>
          </cell>
        </row>
        <row r="16">
          <cell r="N16" t="str">
            <v>CANNON TECHNOLOGIES INC</v>
          </cell>
          <cell r="P16">
            <v>4132.8</v>
          </cell>
        </row>
        <row r="17">
          <cell r="N17" t="str">
            <v>CANNON TECHNOLOGIES INC</v>
          </cell>
          <cell r="P17">
            <v>72375</v>
          </cell>
        </row>
        <row r="18">
          <cell r="N18" t="str">
            <v>CANNON TECHNOLOGIES INC</v>
          </cell>
          <cell r="P18">
            <v>96768</v>
          </cell>
        </row>
        <row r="19">
          <cell r="N19" t="str">
            <v>CANNON TECHNOLOGIES INC</v>
          </cell>
          <cell r="P19">
            <v>72375</v>
          </cell>
        </row>
        <row r="20">
          <cell r="N20" t="str">
            <v>CANNON TECHNOLOGIES INC</v>
          </cell>
          <cell r="P20">
            <v>1935.36</v>
          </cell>
        </row>
        <row r="21">
          <cell r="N21" t="str">
            <v>CANNON TECHNOLOGIES INC</v>
          </cell>
          <cell r="P21">
            <v>1935.36</v>
          </cell>
        </row>
        <row r="22">
          <cell r="N22" t="str">
            <v>CANNON TECHNOLOGIES INC</v>
          </cell>
          <cell r="P22">
            <v>82.66</v>
          </cell>
        </row>
        <row r="23">
          <cell r="N23" t="str">
            <v>CANNON TECHNOLOGIES INC</v>
          </cell>
          <cell r="P23">
            <v>1935.36</v>
          </cell>
        </row>
        <row r="24">
          <cell r="N24" t="str">
            <v>CANNON TECHNOLOGIES INC</v>
          </cell>
          <cell r="P24">
            <v>1447.5</v>
          </cell>
        </row>
        <row r="25">
          <cell r="N25" t="str">
            <v>CANNON TECHNOLOGIES INC</v>
          </cell>
          <cell r="P25">
            <v>-82.66</v>
          </cell>
        </row>
        <row r="26">
          <cell r="N26" t="str">
            <v>CANNON TECHNOLOGIES INC</v>
          </cell>
          <cell r="P26">
            <v>1447.5</v>
          </cell>
        </row>
        <row r="27">
          <cell r="N27" t="str">
            <v>CANNON TECHNOLOGIES INC</v>
          </cell>
          <cell r="P27">
            <v>82.66</v>
          </cell>
        </row>
        <row r="28">
          <cell r="N28" t="str">
            <v>CANNON TECHNOLOGIES INC</v>
          </cell>
          <cell r="P28">
            <v>1447.5</v>
          </cell>
        </row>
        <row r="29">
          <cell r="N29" t="str">
            <v>CANNON TECHNOLOGIES INC</v>
          </cell>
          <cell r="P29">
            <v>82.66</v>
          </cell>
        </row>
        <row r="30">
          <cell r="N30" t="str">
            <v>CANNON TECHNOLOGIES INC</v>
          </cell>
          <cell r="P30">
            <v>1935.36</v>
          </cell>
        </row>
        <row r="31">
          <cell r="N31" t="str">
            <v>CANNON TECHNOLOGIES INC</v>
          </cell>
          <cell r="P31">
            <v>82.66</v>
          </cell>
        </row>
        <row r="32">
          <cell r="N32" t="str">
            <v>CANNON TECHNOLOGIES INC</v>
          </cell>
          <cell r="P32">
            <v>1447.5</v>
          </cell>
        </row>
        <row r="33">
          <cell r="N33"/>
          <cell r="P33">
            <v>0</v>
          </cell>
        </row>
        <row r="34">
          <cell r="N34"/>
          <cell r="P34">
            <v>0</v>
          </cell>
        </row>
        <row r="35">
          <cell r="N35"/>
          <cell r="P35">
            <v>0</v>
          </cell>
        </row>
        <row r="36">
          <cell r="N36"/>
          <cell r="P36">
            <v>0</v>
          </cell>
        </row>
        <row r="37">
          <cell r="N37"/>
          <cell r="P37">
            <v>0</v>
          </cell>
        </row>
        <row r="38">
          <cell r="N38"/>
          <cell r="P38">
            <v>0</v>
          </cell>
        </row>
        <row r="39">
          <cell r="N39"/>
          <cell r="P39">
            <v>0</v>
          </cell>
        </row>
        <row r="40">
          <cell r="N40" t="str">
            <v>CORESTAFF SERVICES LP</v>
          </cell>
          <cell r="P40">
            <v>0</v>
          </cell>
        </row>
        <row r="41">
          <cell r="N41" t="str">
            <v>CORESTAFF SERVICES LP</v>
          </cell>
          <cell r="P41">
            <v>0</v>
          </cell>
        </row>
        <row r="42">
          <cell r="N42" t="str">
            <v>CORESTAFF SERVICES LP</v>
          </cell>
          <cell r="P42">
            <v>0</v>
          </cell>
        </row>
        <row r="43">
          <cell r="N43" t="str">
            <v>CORESTAFF SERVICES LP</v>
          </cell>
          <cell r="P43">
            <v>0</v>
          </cell>
        </row>
        <row r="44">
          <cell r="N44" t="str">
            <v>CORESTAFF SERVICES LP</v>
          </cell>
          <cell r="P44">
            <v>0</v>
          </cell>
        </row>
        <row r="45">
          <cell r="N45" t="str">
            <v>CORESTAFF SERVICES LP</v>
          </cell>
          <cell r="P45">
            <v>0</v>
          </cell>
        </row>
        <row r="46">
          <cell r="N46"/>
          <cell r="P46">
            <v>0</v>
          </cell>
        </row>
        <row r="47">
          <cell r="N47"/>
          <cell r="P47">
            <v>4</v>
          </cell>
        </row>
        <row r="48">
          <cell r="N48" t="str">
            <v>CANNON TECHNOLOGIES INC</v>
          </cell>
          <cell r="P48">
            <v>6500</v>
          </cell>
        </row>
        <row r="49">
          <cell r="N49" t="str">
            <v>CANNON TECHNOLOGIES INC</v>
          </cell>
          <cell r="P49">
            <v>1700</v>
          </cell>
        </row>
        <row r="50">
          <cell r="N50" t="str">
            <v>CANNON TECHNOLOGIES INC</v>
          </cell>
          <cell r="P50">
            <v>-1447.5</v>
          </cell>
        </row>
        <row r="51">
          <cell r="N51" t="str">
            <v>ENERTOUCH INC</v>
          </cell>
          <cell r="P51">
            <v>10678</v>
          </cell>
        </row>
        <row r="52">
          <cell r="N52" t="str">
            <v>CANNON TECHNOLOGIES INC</v>
          </cell>
          <cell r="P52">
            <v>1447.5</v>
          </cell>
        </row>
        <row r="53">
          <cell r="N53" t="str">
            <v>ENERTOUCH INC</v>
          </cell>
          <cell r="P53">
            <v>10272</v>
          </cell>
        </row>
        <row r="54">
          <cell r="N54" t="str">
            <v>ENERTOUCH INC</v>
          </cell>
          <cell r="P54">
            <v>27698.54</v>
          </cell>
        </row>
        <row r="55">
          <cell r="N55" t="str">
            <v>ENERTOUCH INC</v>
          </cell>
          <cell r="P55">
            <v>16523.47</v>
          </cell>
        </row>
        <row r="56">
          <cell r="N56" t="str">
            <v>CORESTAFF SERVICES LP</v>
          </cell>
          <cell r="P56">
            <v>0</v>
          </cell>
        </row>
        <row r="57">
          <cell r="N57" t="str">
            <v>CORESTAFF SERVICES LP</v>
          </cell>
          <cell r="P57">
            <v>0</v>
          </cell>
        </row>
        <row r="58">
          <cell r="N58" t="str">
            <v>CORESTAFF SERVICES LP</v>
          </cell>
          <cell r="P58">
            <v>0</v>
          </cell>
        </row>
        <row r="59">
          <cell r="N59" t="str">
            <v>CORESTAFF SERVICES LP</v>
          </cell>
          <cell r="P59">
            <v>0</v>
          </cell>
        </row>
        <row r="60">
          <cell r="N60" t="str">
            <v>CORESTAFF SERVICES LP</v>
          </cell>
          <cell r="P60">
            <v>0</v>
          </cell>
        </row>
        <row r="61">
          <cell r="N61" t="str">
            <v>YATES ADVERTISING</v>
          </cell>
          <cell r="P61">
            <v>25500</v>
          </cell>
        </row>
        <row r="62">
          <cell r="N62" t="str">
            <v>YATES ADVERTISING</v>
          </cell>
          <cell r="P62">
            <v>14250</v>
          </cell>
        </row>
        <row r="63">
          <cell r="N63" t="str">
            <v>YATES ADVERTISING</v>
          </cell>
          <cell r="P63">
            <v>28436.41</v>
          </cell>
        </row>
        <row r="64">
          <cell r="N64" t="str">
            <v>YATES ADVERTISING</v>
          </cell>
          <cell r="P64">
            <v>38400</v>
          </cell>
        </row>
        <row r="65">
          <cell r="N65" t="str">
            <v>YATES ADVERTISING</v>
          </cell>
          <cell r="P65">
            <v>12826.5</v>
          </cell>
        </row>
        <row r="66">
          <cell r="N66" t="str">
            <v>YATES ADVERTISING</v>
          </cell>
          <cell r="P66">
            <v>813.75</v>
          </cell>
        </row>
        <row r="67">
          <cell r="N67" t="str">
            <v>YATES ADVERTISING</v>
          </cell>
          <cell r="P67">
            <v>33766.75</v>
          </cell>
        </row>
        <row r="68">
          <cell r="N68" t="str">
            <v>YATES ADVERTISING</v>
          </cell>
          <cell r="P68">
            <v>61289.79</v>
          </cell>
        </row>
        <row r="69">
          <cell r="N69" t="str">
            <v>YATES ADVERTISING</v>
          </cell>
          <cell r="P69">
            <v>7950</v>
          </cell>
        </row>
        <row r="70">
          <cell r="N70" t="str">
            <v>YATES ADVERTISING</v>
          </cell>
          <cell r="P70">
            <v>10481.25</v>
          </cell>
        </row>
        <row r="71">
          <cell r="N71" t="str">
            <v>HUGHES UTILITIES LTD</v>
          </cell>
          <cell r="P71">
            <v>1000</v>
          </cell>
        </row>
        <row r="72">
          <cell r="N72" t="str">
            <v>TRANSCONTINENTAL DIRECT USA IN</v>
          </cell>
          <cell r="P72">
            <v>169882.63</v>
          </cell>
        </row>
        <row r="73">
          <cell r="N73" t="str">
            <v>CORESTAFF SERVICES LP</v>
          </cell>
          <cell r="P73">
            <v>0</v>
          </cell>
        </row>
        <row r="74">
          <cell r="N74" t="str">
            <v>CORESTAFF SERVICES LP</v>
          </cell>
          <cell r="P74">
            <v>0</v>
          </cell>
        </row>
        <row r="75">
          <cell r="N75" t="str">
            <v>CORESTAFF SERVICES LP</v>
          </cell>
          <cell r="P75">
            <v>0</v>
          </cell>
        </row>
        <row r="76">
          <cell r="N76" t="str">
            <v>CORESTAFF SERVICES LP</v>
          </cell>
          <cell r="P76">
            <v>0</v>
          </cell>
        </row>
        <row r="77">
          <cell r="N77" t="str">
            <v>CORESTAFF SERVICES LP</v>
          </cell>
          <cell r="P77">
            <v>0</v>
          </cell>
        </row>
        <row r="78">
          <cell r="N78" t="str">
            <v>CORESTAFF SERVICES LP</v>
          </cell>
          <cell r="P78">
            <v>0</v>
          </cell>
        </row>
        <row r="79">
          <cell r="N79"/>
          <cell r="P79">
            <v>0</v>
          </cell>
        </row>
        <row r="80">
          <cell r="N80" t="str">
            <v>TRANSCONTINENTAL DIRECT USA IN</v>
          </cell>
          <cell r="P80">
            <v>165430</v>
          </cell>
        </row>
        <row r="81">
          <cell r="N81" t="str">
            <v>US POSTMASTER</v>
          </cell>
          <cell r="P81">
            <v>0</v>
          </cell>
        </row>
        <row r="82">
          <cell r="N82"/>
          <cell r="P82">
            <v>0</v>
          </cell>
        </row>
        <row r="83">
          <cell r="N83"/>
          <cell r="P83">
            <v>0</v>
          </cell>
        </row>
        <row r="84">
          <cell r="N84"/>
          <cell r="P84">
            <v>8</v>
          </cell>
        </row>
        <row r="85">
          <cell r="N85"/>
          <cell r="P85">
            <v>0</v>
          </cell>
        </row>
        <row r="86">
          <cell r="N86"/>
          <cell r="P86">
            <v>0</v>
          </cell>
        </row>
        <row r="87">
          <cell r="N87"/>
          <cell r="P87">
            <v>0</v>
          </cell>
        </row>
        <row r="88">
          <cell r="N88"/>
          <cell r="P88">
            <v>0</v>
          </cell>
        </row>
        <row r="89">
          <cell r="N89"/>
          <cell r="P89">
            <v>1</v>
          </cell>
        </row>
        <row r="90">
          <cell r="N90"/>
          <cell r="P90">
            <v>1</v>
          </cell>
        </row>
        <row r="91">
          <cell r="N91"/>
          <cell r="P91">
            <v>1</v>
          </cell>
        </row>
        <row r="92">
          <cell r="N92"/>
          <cell r="P92">
            <v>1</v>
          </cell>
        </row>
        <row r="93">
          <cell r="N93"/>
          <cell r="P93">
            <v>1</v>
          </cell>
        </row>
        <row r="94">
          <cell r="N94"/>
          <cell r="P94">
            <v>1</v>
          </cell>
        </row>
        <row r="95">
          <cell r="N95"/>
          <cell r="P95">
            <v>1</v>
          </cell>
        </row>
        <row r="96">
          <cell r="N96"/>
          <cell r="P96">
            <v>1</v>
          </cell>
        </row>
        <row r="97">
          <cell r="N97"/>
          <cell r="P97">
            <v>2</v>
          </cell>
        </row>
        <row r="98">
          <cell r="N98"/>
          <cell r="P98">
            <v>1</v>
          </cell>
        </row>
        <row r="99">
          <cell r="N99"/>
          <cell r="P99">
            <v>1</v>
          </cell>
        </row>
        <row r="100">
          <cell r="N100"/>
          <cell r="P100">
            <v>1</v>
          </cell>
        </row>
        <row r="101">
          <cell r="N101"/>
          <cell r="P101">
            <v>1</v>
          </cell>
        </row>
        <row r="102">
          <cell r="N102"/>
          <cell r="P102">
            <v>2442.12</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S-OUTPUTS"/>
      <sheetName val="LOOKUP"/>
      <sheetName val="DATA"/>
      <sheetName val="ENROLLMENT"/>
    </sheetNames>
    <sheetDataSet>
      <sheetData sheetId="0" refreshError="1"/>
      <sheetData sheetId="1">
        <row r="2">
          <cell r="E2" t="str">
            <v>Typical Event Day</v>
          </cell>
        </row>
        <row r="3">
          <cell r="E3" t="str">
            <v>January Monthly Peak</v>
          </cell>
        </row>
        <row r="4">
          <cell r="E4" t="str">
            <v>February Monthly Peak</v>
          </cell>
        </row>
        <row r="5">
          <cell r="E5" t="str">
            <v>March Monthly Peak</v>
          </cell>
        </row>
        <row r="6">
          <cell r="E6" t="str">
            <v>April Monthly Peak</v>
          </cell>
        </row>
        <row r="7">
          <cell r="E7" t="str">
            <v>May Monthly Peak</v>
          </cell>
        </row>
        <row r="8">
          <cell r="E8" t="str">
            <v>June Monthly Peak</v>
          </cell>
        </row>
        <row r="9">
          <cell r="E9" t="str">
            <v>July Monthly Peak</v>
          </cell>
        </row>
        <row r="10">
          <cell r="E10" t="str">
            <v>August Monthly Peak</v>
          </cell>
        </row>
        <row r="11">
          <cell r="E11" t="str">
            <v>September Monthly Peak</v>
          </cell>
        </row>
        <row r="12">
          <cell r="E12" t="str">
            <v>October Monthly Peak</v>
          </cell>
        </row>
        <row r="13">
          <cell r="E13" t="str">
            <v>November Monthly Peak</v>
          </cell>
        </row>
        <row r="14">
          <cell r="E14" t="str">
            <v>December Monthly Peak</v>
          </cell>
        </row>
      </sheetData>
      <sheetData sheetId="2" refreshError="1"/>
      <sheetData sheetId="3"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3CD904F3-3D23-4B24-AC17-2F36151DB1F8}" name="BUReporting" displayName="BUReporting" ref="A1:H157" totalsRowShown="0" headerRowDxfId="9" dataDxfId="8">
  <autoFilter ref="A1:H157" xr:uid="{5F86BACF-8118-4026-BAE1-46A687E09A40}"/>
  <tableColumns count="8">
    <tableColumn id="5" xr3:uid="{F16FC42C-9734-4D04-972A-93B0B214BAA7}" name="Group" dataDxfId="7"/>
    <tableColumn id="1" xr3:uid="{4486039D-7D45-487D-837F-0E9E6909ED6A}" name="Program" dataDxfId="6"/>
    <tableColumn id="8" xr3:uid="{7C1C7853-7F74-459F-8356-17A012314260}" name="Desc" dataDxfId="5"/>
    <tableColumn id="2" xr3:uid="{7B19090B-D59B-4FB3-A33D-B4DD6B52CC54}" name="Type" dataDxfId="4"/>
    <tableColumn id="4" xr3:uid="{DDA25FFE-773D-44E8-8C46-E9297025BF13}" name="Period" dataDxfId="3"/>
    <tableColumn id="3" xr3:uid="{985231E6-3CF0-43D2-B801-753F59C1884A}" name="Month" dataDxfId="2"/>
    <tableColumn id="6" xr3:uid="{A99F8913-FB93-4814-8E01-DE4C2333965A}" name="Service Accounts" dataDxfId="1">
      <calculatedColumnFormula>IF(OR(BUReporting[[#This Row],[Period]]=1,OR(BUReporting[[#This Row],[Period]]=2,OR(BUReporting[[#This Row],[Period]]=2,OR(BUReporting[[#This Row],[Period]]=4,OR(BUReporting[[#This Row],[Period]]=5,BUReporting[[#This Row],[Period]]=6))))),VLOOKUP(BUReporting[[#This Row],[Program]],'Program MW '!$A$12:$S$23,2,FALSE),VLOOKUP(BUReporting[[#This Row],[Program]],'Program MW '!$A$35:$S$46,2,FALSE))</calculatedColumnFormula>
    </tableColumn>
    <tableColumn id="7" xr3:uid="{0E761944-9C96-4797-A35D-95A3A317468D}" name="Ex Ante Estimated MW" dataDxfId="0"/>
  </tableColumns>
  <tableStyleInfo name="TableStyleMedium16"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customProperty" Target="../customProperty1.bin"/></Relationships>
</file>

<file path=xl/worksheets/_rels/sheet10.xml.rels><?xml version="1.0" encoding="UTF-8" standalone="yes"?>
<Relationships xmlns="http://schemas.openxmlformats.org/package/2006/relationships"><Relationship Id="rId2" Type="http://schemas.openxmlformats.org/officeDocument/2006/relationships/customProperty" Target="../customProperty10.bin"/><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customProperty" Target="../customProperty11.bin"/><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customProperty" Target="../customProperty12.bin"/><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customProperty" Target="../customProperty13.bin"/><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customProperty" Target="../customProperty7.bin"/><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8.bin"/><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customProperty" Target="../customProperty9.bin"/><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4B9AC6-32A5-43EC-87A5-082A733C26A0}">
  <dimension ref="A1:H157"/>
  <sheetViews>
    <sheetView zoomScaleNormal="100" workbookViewId="0">
      <selection activeCell="L119" sqref="L119"/>
    </sheetView>
  </sheetViews>
  <sheetFormatPr defaultColWidth="9.26953125" defaultRowHeight="12.5"/>
  <cols>
    <col min="1" max="1" width="9.7265625" style="10" customWidth="1"/>
    <col min="2" max="2" width="28.54296875" style="10" customWidth="1"/>
    <col min="3" max="3" width="16.54296875" style="10" customWidth="1"/>
    <col min="4" max="4" width="17.453125" style="10" customWidth="1"/>
    <col min="5" max="5" width="15" style="10" customWidth="1"/>
    <col min="6" max="6" width="23.26953125" style="10" bestFit="1" customWidth="1"/>
    <col min="7" max="7" width="13.26953125" style="10" bestFit="1" customWidth="1"/>
    <col min="8" max="16384" width="9.26953125" style="10"/>
  </cols>
  <sheetData>
    <row r="1" spans="1:8" s="440" customFormat="1" ht="39.5" thickBot="1">
      <c r="A1" s="441" t="s">
        <v>0</v>
      </c>
      <c r="B1" s="441" t="s">
        <v>1</v>
      </c>
      <c r="C1" s="441" t="s">
        <v>2</v>
      </c>
      <c r="D1" s="441" t="s">
        <v>3</v>
      </c>
      <c r="E1" s="442" t="s">
        <v>4</v>
      </c>
      <c r="F1" s="443" t="s">
        <v>5</v>
      </c>
      <c r="G1" s="444" t="s">
        <v>6</v>
      </c>
      <c r="H1" s="445" t="s">
        <v>7</v>
      </c>
    </row>
    <row r="2" spans="1:8" ht="15.5" thickTop="1" thickBot="1">
      <c r="A2" s="450">
        <v>0</v>
      </c>
      <c r="B2" s="85" t="s">
        <v>8</v>
      </c>
      <c r="C2" s="451"/>
      <c r="D2" s="441" t="s">
        <v>9</v>
      </c>
      <c r="E2" s="446">
        <v>1</v>
      </c>
      <c r="F2" s="447" t="s">
        <v>10</v>
      </c>
      <c r="G2" s="437">
        <f>IF(OR(BUReporting[[#This Row],[Period]]=1,OR(BUReporting[[#This Row],[Period]]=2,OR(BUReporting[[#This Row],[Period]]=2,OR(BUReporting[[#This Row],[Period]]=4,OR(BUReporting[[#This Row],[Period]]=5,BUReporting[[#This Row],[Period]]=6))))),VLOOKUP(BUReporting[[#This Row],[Program]],'Program MW '!$A$9:$S$9,2,FALSE),VLOOKUP(BUReporting[[#This Row],[Program]],'Program MW '!$A$32:$S$32,2,FALSE))</f>
        <v>4</v>
      </c>
      <c r="H2" s="449">
        <f>IF(OR(BUReporting[[#This Row],[Period]]=1,OR(BUReporting[[#This Row],[Period]]=2,OR(BUReporting[[#This Row],[Period]]=3,OR(BUReporting[[#This Row],[Period]]=4,OR(BUReporting[[#This Row],[Period]]=5,BUReporting[[#This Row],[Period]]=6))))),VLOOKUP(BUReporting[[#This Row],[Program]],'Program MW '!$A$9:$S$9,3,FALSE),VLOOKUP(BUReporting[[#This Row],[Program]],'Program MW '!$A$32:$S$32,3,FALSE))</f>
        <v>0.64924000000000004</v>
      </c>
    </row>
    <row r="3" spans="1:8" ht="15.5" thickTop="1" thickBot="1">
      <c r="A3" s="438">
        <v>1</v>
      </c>
      <c r="B3" s="435" t="s">
        <v>11</v>
      </c>
      <c r="C3" s="451"/>
      <c r="D3" s="436" t="s">
        <v>9</v>
      </c>
      <c r="E3" s="446">
        <v>1</v>
      </c>
      <c r="F3" s="447" t="s">
        <v>10</v>
      </c>
      <c r="G3" s="437">
        <f>IF(OR(BUReporting[[#This Row],[Period]]=1,OR(BUReporting[[#This Row],[Period]]=2,OR(BUReporting[[#This Row],[Period]]=2,OR(BUReporting[[#This Row],[Period]]=4,OR(BUReporting[[#This Row],[Period]]=5,BUReporting[[#This Row],[Period]]=6))))),VLOOKUP(BUReporting[[#This Row],[Program]],'Program MW '!$A$12:$S$23,2,FALSE),VLOOKUP(BUReporting[[#This Row],[Program]],'Program MW '!$A$35:$S$46,2,FALSE))</f>
        <v>14325</v>
      </c>
      <c r="H3" s="449">
        <f>IF(OR(BUReporting[[#This Row],[Period]]=1,OR(BUReporting[[#This Row],[Period]]=2,OR(BUReporting[[#This Row],[Period]]=3,OR(BUReporting[[#This Row],[Period]]=4,OR(BUReporting[[#This Row],[Period]]=5,BUReporting[[#This Row],[Period]]=6))))),VLOOKUP(BUReporting[[#This Row],[Program]],'Program MW '!$A$12:$S$23,3,FALSE),VLOOKUP(BUReporting[[#This Row],[Program]],'Program MW '!$A$35:$S$46,3,FALSE))</f>
        <v>0</v>
      </c>
    </row>
    <row r="4" spans="1:8" ht="15.5" thickTop="1" thickBot="1">
      <c r="A4" s="438">
        <v>2</v>
      </c>
      <c r="B4" s="435" t="s">
        <v>12</v>
      </c>
      <c r="C4" s="451" t="s">
        <v>13</v>
      </c>
      <c r="D4" s="436" t="s">
        <v>9</v>
      </c>
      <c r="E4" s="446">
        <v>1</v>
      </c>
      <c r="F4" s="447" t="s">
        <v>10</v>
      </c>
      <c r="G4" s="437" t="e">
        <f>IF(OR(BUReporting[[#This Row],[Period]]=1,OR(BUReporting[[#This Row],[Period]]=2,OR(BUReporting[[#This Row],[Period]]=2,OR(BUReporting[[#This Row],[Period]]=4,OR(BUReporting[[#This Row],[Period]]=5,BUReporting[[#This Row],[Period]]=6))))),VLOOKUP(BUReporting[[#This Row],[Program]],'Program MW '!$A$12:$S$23,2,FALSE),VLOOKUP(BUReporting[[#This Row],[Program]],'Program MW '!$A$35:$S$46,2,FALSE))</f>
        <v>#N/A</v>
      </c>
      <c r="H4" s="449" t="e">
        <f>IF(OR(BUReporting[[#This Row],[Period]]=1,OR(BUReporting[[#This Row],[Period]]=2,OR(BUReporting[[#This Row],[Period]]=3,OR(BUReporting[[#This Row],[Period]]=4,OR(BUReporting[[#This Row],[Period]]=5,BUReporting[[#This Row],[Period]]=6))))),VLOOKUP(BUReporting[[#This Row],[Program]],'Program MW '!$A$12:$S$23,3,FALSE),VLOOKUP(BUReporting[[#This Row],[Program]],'Program MW '!$A$35:$S$46,3,FALSE))</f>
        <v>#N/A</v>
      </c>
    </row>
    <row r="5" spans="1:8" ht="15.5" thickTop="1" thickBot="1">
      <c r="A5" s="438">
        <v>3</v>
      </c>
      <c r="B5" s="435" t="s">
        <v>14</v>
      </c>
      <c r="C5" s="451"/>
      <c r="D5" s="436" t="s">
        <v>9</v>
      </c>
      <c r="E5" s="446">
        <v>1</v>
      </c>
      <c r="F5" s="447" t="s">
        <v>10</v>
      </c>
      <c r="G5" s="437" t="e">
        <f>IF(OR(BUReporting[[#This Row],[Period]]=1,OR(BUReporting[[#This Row],[Period]]=2,OR(BUReporting[[#This Row],[Period]]=2,OR(BUReporting[[#This Row],[Period]]=4,OR(BUReporting[[#This Row],[Period]]=5,BUReporting[[#This Row],[Period]]=6))))),VLOOKUP(BUReporting[[#This Row],[Program]],'Program MW '!$A$12:$S$23,2,FALSE),VLOOKUP(BUReporting[[#This Row],[Program]],'Program MW '!$A$35:$S$46,2,FALSE))</f>
        <v>#N/A</v>
      </c>
      <c r="H5" s="449" t="e">
        <f>IF(OR(BUReporting[[#This Row],[Period]]=1,OR(BUReporting[[#This Row],[Period]]=2,OR(BUReporting[[#This Row],[Period]]=3,OR(BUReporting[[#This Row],[Period]]=4,OR(BUReporting[[#This Row],[Period]]=5,BUReporting[[#This Row],[Period]]=6))))),VLOOKUP(BUReporting[[#This Row],[Program]],'Program MW '!$A$12:$S$23,3,FALSE),VLOOKUP(BUReporting[[#This Row],[Program]],'Program MW '!$A$35:$S$46,3,FALSE))</f>
        <v>#N/A</v>
      </c>
    </row>
    <row r="6" spans="1:8" ht="15.5" thickTop="1" thickBot="1">
      <c r="A6" s="438">
        <v>4</v>
      </c>
      <c r="B6" s="435" t="s">
        <v>15</v>
      </c>
      <c r="C6" s="451" t="s">
        <v>16</v>
      </c>
      <c r="D6" s="436" t="s">
        <v>9</v>
      </c>
      <c r="E6" s="446">
        <v>1</v>
      </c>
      <c r="F6" s="447" t="s">
        <v>10</v>
      </c>
      <c r="G6" s="437" t="e">
        <f>IF(OR(BUReporting[[#This Row],[Period]]=1,OR(BUReporting[[#This Row],[Period]]=2,OR(BUReporting[[#This Row],[Period]]=2,OR(BUReporting[[#This Row],[Period]]=4,OR(BUReporting[[#This Row],[Period]]=5,BUReporting[[#This Row],[Period]]=6))))),VLOOKUP(BUReporting[[#This Row],[Program]],'Program MW '!$A$12:$S$23,2,FALSE),VLOOKUP(BUReporting[[#This Row],[Program]],'Program MW '!$A$35:$S$46,2,FALSE))</f>
        <v>#N/A</v>
      </c>
      <c r="H6" s="449" t="e">
        <f>IF(OR(BUReporting[[#This Row],[Period]]=1,OR(BUReporting[[#This Row],[Period]]=2,OR(BUReporting[[#This Row],[Period]]=3,OR(BUReporting[[#This Row],[Period]]=4,OR(BUReporting[[#This Row],[Period]]=5,BUReporting[[#This Row],[Period]]=6))))),VLOOKUP(BUReporting[[#This Row],[Program]],'Program MW '!$A$12:$S$23,3,FALSE),VLOOKUP(BUReporting[[#This Row],[Program]],'Program MW '!$A$35:$S$46,3,FALSE))</f>
        <v>#N/A</v>
      </c>
    </row>
    <row r="7" spans="1:8" ht="15.5" thickTop="1" thickBot="1">
      <c r="A7" s="438">
        <v>5</v>
      </c>
      <c r="B7" s="436" t="s">
        <v>17</v>
      </c>
      <c r="C7" s="451" t="s">
        <v>18</v>
      </c>
      <c r="D7" s="436" t="s">
        <v>19</v>
      </c>
      <c r="E7" s="446">
        <v>1</v>
      </c>
      <c r="F7" s="447" t="s">
        <v>10</v>
      </c>
      <c r="G7" s="437">
        <f>IF(OR(BUReporting[[#This Row],[Period]]=1,OR(BUReporting[[#This Row],[Period]]=2,OR(BUReporting[[#This Row],[Period]]=2,OR(BUReporting[[#This Row],[Period]]=4,OR(BUReporting[[#This Row],[Period]]=5,BUReporting[[#This Row],[Period]]=6))))),VLOOKUP(BUReporting[[#This Row],[Program]],'Program MW '!$A$12:$S$23,2,FALSE),VLOOKUP(BUReporting[[#This Row],[Program]],'Program MW '!$A$35:$S$46,2,FALSE))</f>
        <v>19267</v>
      </c>
      <c r="H7" s="449">
        <f>IF(OR(BUReporting[[#This Row],[Period]]=1,OR(BUReporting[[#This Row],[Period]]=2,OR(BUReporting[[#This Row],[Period]]=3,OR(BUReporting[[#This Row],[Period]]=4,OR(BUReporting[[#This Row],[Period]]=5,BUReporting[[#This Row],[Period]]=6))))),VLOOKUP(BUReporting[[#This Row],[Program]],'Program MW '!$A$12:$S$23,3,FALSE),VLOOKUP(BUReporting[[#This Row],[Program]],'Program MW '!$A$35:$S$46,3,FALSE))</f>
        <v>0</v>
      </c>
    </row>
    <row r="8" spans="1:8" ht="15.5" thickTop="1" thickBot="1">
      <c r="A8" s="438">
        <v>6</v>
      </c>
      <c r="B8" s="436" t="s">
        <v>20</v>
      </c>
      <c r="C8" s="451" t="s">
        <v>18</v>
      </c>
      <c r="D8" s="436" t="s">
        <v>9</v>
      </c>
      <c r="E8" s="446">
        <v>1</v>
      </c>
      <c r="F8" s="447" t="s">
        <v>10</v>
      </c>
      <c r="G8" s="437">
        <f>IF(OR(BUReporting[[#This Row],[Period]]=1,OR(BUReporting[[#This Row],[Period]]=2,OR(BUReporting[[#This Row],[Period]]=2,OR(BUReporting[[#This Row],[Period]]=4,OR(BUReporting[[#This Row],[Period]]=5,BUReporting[[#This Row],[Period]]=6))))),VLOOKUP(BUReporting[[#This Row],[Program]],'Program MW '!$A$12:$S$23,2,FALSE),VLOOKUP(BUReporting[[#This Row],[Program]],'Program MW '!$A$35:$S$46,2,FALSE))</f>
        <v>1621</v>
      </c>
      <c r="H8" s="449">
        <f>IF(OR(BUReporting[[#This Row],[Period]]=1,OR(BUReporting[[#This Row],[Period]]=2,OR(BUReporting[[#This Row],[Period]]=3,OR(BUReporting[[#This Row],[Period]]=4,OR(BUReporting[[#This Row],[Period]]=5,BUReporting[[#This Row],[Period]]=6))))),VLOOKUP(BUReporting[[#This Row],[Program]],'Program MW '!$A$12:$S$23,3,FALSE),VLOOKUP(BUReporting[[#This Row],[Program]],'Program MW '!$A$35:$S$46,3,FALSE))</f>
        <v>0</v>
      </c>
    </row>
    <row r="9" spans="1:8" ht="15.5" thickTop="1" thickBot="1">
      <c r="A9" s="438">
        <v>7</v>
      </c>
      <c r="B9" s="436" t="s">
        <v>21</v>
      </c>
      <c r="C9" s="451" t="s">
        <v>22</v>
      </c>
      <c r="D9" s="436" t="s">
        <v>19</v>
      </c>
      <c r="E9" s="446">
        <v>1</v>
      </c>
      <c r="F9" s="447" t="s">
        <v>10</v>
      </c>
      <c r="G9" s="437">
        <f>IF(OR(BUReporting[[#This Row],[Period]]=1,OR(BUReporting[[#This Row],[Period]]=2,OR(BUReporting[[#This Row],[Period]]=2,OR(BUReporting[[#This Row],[Period]]=4,OR(BUReporting[[#This Row],[Period]]=5,BUReporting[[#This Row],[Period]]=6))))),VLOOKUP(BUReporting[[#This Row],[Program]],'Program MW '!$A$12:$S$23,2,FALSE),VLOOKUP(BUReporting[[#This Row],[Program]],'Program MW '!$A$35:$S$46,2,FALSE))</f>
        <v>8709</v>
      </c>
      <c r="H9" s="449">
        <f>IF(OR(BUReporting[[#This Row],[Period]]=1,OR(BUReporting[[#This Row],[Period]]=2,OR(BUReporting[[#This Row],[Period]]=3,OR(BUReporting[[#This Row],[Period]]=4,OR(BUReporting[[#This Row],[Period]]=5,BUReporting[[#This Row],[Period]]=6))))),VLOOKUP(BUReporting[[#This Row],[Program]],'Program MW '!$A$12:$S$23,3,FALSE),VLOOKUP(BUReporting[[#This Row],[Program]],'Program MW '!$A$35:$S$46,3,FALSE))</f>
        <v>0</v>
      </c>
    </row>
    <row r="10" spans="1:8" ht="15.5" thickTop="1" thickBot="1">
      <c r="A10" s="438">
        <v>8</v>
      </c>
      <c r="B10" s="436" t="s">
        <v>23</v>
      </c>
      <c r="C10" s="451" t="s">
        <v>22</v>
      </c>
      <c r="D10" s="436" t="s">
        <v>9</v>
      </c>
      <c r="E10" s="446">
        <v>1</v>
      </c>
      <c r="F10" s="447" t="s">
        <v>10</v>
      </c>
      <c r="G10" s="437">
        <f>IF(OR(BUReporting[[#This Row],[Period]]=1,OR(BUReporting[[#This Row],[Period]]=2,OR(BUReporting[[#This Row],[Period]]=2,OR(BUReporting[[#This Row],[Period]]=4,OR(BUReporting[[#This Row],[Period]]=5,BUReporting[[#This Row],[Period]]=6))))),VLOOKUP(BUReporting[[#This Row],[Program]],'Program MW '!$A$12:$S$23,2,FALSE),VLOOKUP(BUReporting[[#This Row],[Program]],'Program MW '!$A$35:$S$46,2,FALSE))</f>
        <v>3148</v>
      </c>
      <c r="H10" s="449">
        <f>IF(OR(BUReporting[[#This Row],[Period]]=1,OR(BUReporting[[#This Row],[Period]]=2,OR(BUReporting[[#This Row],[Period]]=3,OR(BUReporting[[#This Row],[Period]]=4,OR(BUReporting[[#This Row],[Period]]=5,BUReporting[[#This Row],[Period]]=6))))),VLOOKUP(BUReporting[[#This Row],[Program]],'Program MW '!$A$12:$S$23,3,FALSE),VLOOKUP(BUReporting[[#This Row],[Program]],'Program MW '!$A$35:$S$46,3,FALSE))</f>
        <v>0</v>
      </c>
    </row>
    <row r="11" spans="1:8" ht="15.5" thickTop="1" thickBot="1">
      <c r="A11" s="438">
        <v>9</v>
      </c>
      <c r="B11" s="436" t="s">
        <v>24</v>
      </c>
      <c r="C11" s="451"/>
      <c r="D11" s="436" t="s">
        <v>9</v>
      </c>
      <c r="E11" s="446">
        <v>1</v>
      </c>
      <c r="F11" s="447" t="s">
        <v>10</v>
      </c>
      <c r="G11" s="437">
        <f>IF(OR(BUReporting[[#This Row],[Period]]=1,OR(BUReporting[[#This Row],[Period]]=2,OR(BUReporting[[#This Row],[Period]]=2,OR(BUReporting[[#This Row],[Period]]=4,OR(BUReporting[[#This Row],[Period]]=5,BUReporting[[#This Row],[Period]]=6))))),VLOOKUP(BUReporting[[#This Row],[Program]],'Program MW '!$A$12:$S$23,2,FALSE),VLOOKUP(BUReporting[[#This Row],[Program]],'Program MW '!$A$35:$S$46,2,FALSE))</f>
        <v>0</v>
      </c>
      <c r="H11" s="449">
        <f>IF(OR(BUReporting[[#This Row],[Period]]=1,OR(BUReporting[[#This Row],[Period]]=2,OR(BUReporting[[#This Row],[Period]]=3,OR(BUReporting[[#This Row],[Period]]=4,OR(BUReporting[[#This Row],[Period]]=5,BUReporting[[#This Row],[Period]]=6))))),VLOOKUP(BUReporting[[#This Row],[Program]],'Program MW '!$A$12:$S$23,3,FALSE),VLOOKUP(BUReporting[[#This Row],[Program]],'Program MW '!$A$35:$S$46,3,FALSE))</f>
        <v>0</v>
      </c>
    </row>
    <row r="12" spans="1:8" ht="15.5" thickTop="1" thickBot="1">
      <c r="A12" s="438">
        <v>10</v>
      </c>
      <c r="B12" s="436" t="s">
        <v>25</v>
      </c>
      <c r="C12" s="451"/>
      <c r="D12" s="436" t="s">
        <v>9</v>
      </c>
      <c r="E12" s="446">
        <v>1</v>
      </c>
      <c r="F12" s="447" t="s">
        <v>10</v>
      </c>
      <c r="G12" s="437">
        <f>IF(OR(BUReporting[[#This Row],[Period]]=1,OR(BUReporting[[#This Row],[Period]]=2,OR(BUReporting[[#This Row],[Period]]=2,OR(BUReporting[[#This Row],[Period]]=4,OR(BUReporting[[#This Row],[Period]]=5,BUReporting[[#This Row],[Period]]=6))))),VLOOKUP(BUReporting[[#This Row],[Program]],'Program MW '!$A$12:$S$23,2,FALSE),VLOOKUP(BUReporting[[#This Row],[Program]],'Program MW '!$A$35:$S$46,2,FALSE))</f>
        <v>0</v>
      </c>
      <c r="H12" s="449">
        <f>IF(OR(BUReporting[[#This Row],[Period]]=1,OR(BUReporting[[#This Row],[Period]]=2,OR(BUReporting[[#This Row],[Period]]=3,OR(BUReporting[[#This Row],[Period]]=4,OR(BUReporting[[#This Row],[Period]]=5,BUReporting[[#This Row],[Period]]=6))))),VLOOKUP(BUReporting[[#This Row],[Program]],'Program MW '!$A$12:$S$23,3,FALSE),VLOOKUP(BUReporting[[#This Row],[Program]],'Program MW '!$A$35:$S$46,3,FALSE))</f>
        <v>0</v>
      </c>
    </row>
    <row r="13" spans="1:8" ht="18" customHeight="1" thickTop="1" thickBot="1">
      <c r="A13" s="438">
        <v>11</v>
      </c>
      <c r="B13" s="436" t="s">
        <v>26</v>
      </c>
      <c r="C13" s="451"/>
      <c r="D13" s="436" t="s">
        <v>9</v>
      </c>
      <c r="E13" s="446">
        <v>1</v>
      </c>
      <c r="F13" s="447" t="s">
        <v>10</v>
      </c>
      <c r="G13" s="437">
        <f>IF(OR(BUReporting[[#This Row],[Period]]=1,OR(BUReporting[[#This Row],[Period]]=2,OR(BUReporting[[#This Row],[Period]]=2,OR(BUReporting[[#This Row],[Period]]=4,OR(BUReporting[[#This Row],[Period]]=5,BUReporting[[#This Row],[Period]]=6))))),VLOOKUP(BUReporting[[#This Row],[Program]],'Program MW '!$A$12:$S$23,2,FALSE),VLOOKUP(BUReporting[[#This Row],[Program]],'Program MW '!$A$35:$S$46,2,FALSE))</f>
        <v>113358</v>
      </c>
      <c r="H13" s="449">
        <f>IF(OR(BUReporting[[#This Row],[Period]]=1,OR(BUReporting[[#This Row],[Period]]=2,OR(BUReporting[[#This Row],[Period]]=3,OR(BUReporting[[#This Row],[Period]]=4,OR(BUReporting[[#This Row],[Period]]=5,BUReporting[[#This Row],[Period]]=6))))),VLOOKUP(BUReporting[[#This Row],[Program]],'Program MW '!$A$12:$S$23,3,FALSE),VLOOKUP(BUReporting[[#This Row],[Program]],'Program MW '!$A$35:$S$46,3,FALSE))</f>
        <v>1.13358</v>
      </c>
    </row>
    <row r="14" spans="1:8" ht="13.5" thickTop="1" thickBot="1">
      <c r="A14" s="438">
        <v>12</v>
      </c>
      <c r="B14" s="435" t="s">
        <v>27</v>
      </c>
      <c r="C14" s="435"/>
      <c r="D14" s="436" t="s">
        <v>19</v>
      </c>
      <c r="E14" s="446">
        <v>1</v>
      </c>
      <c r="F14" s="447" t="s">
        <v>10</v>
      </c>
      <c r="G14" s="437">
        <f>IF(OR(BUReporting[[#This Row],[Period]]=1,OR(BUReporting[[#This Row],[Period]]=2,OR(BUReporting[[#This Row],[Period]]=2,OR(BUReporting[[#This Row],[Period]]=4,OR(BUReporting[[#This Row],[Period]]=5,BUReporting[[#This Row],[Period]]=6))))),VLOOKUP(BUReporting[[#This Row],[Program]],'Program MW '!$A$12:$S$23,2,FALSE),VLOOKUP(BUReporting[[#This Row],[Program]],'Program MW '!$A$35:$S$46,2,FALSE))</f>
        <v>14845</v>
      </c>
      <c r="H14" s="449">
        <f>IF(OR(BUReporting[[#This Row],[Period]]=1,OR(BUReporting[[#This Row],[Period]]=2,OR(BUReporting[[#This Row],[Period]]=3,OR(BUReporting[[#This Row],[Period]]=4,OR(BUReporting[[#This Row],[Period]]=5,BUReporting[[#This Row],[Period]]=6))))),VLOOKUP(BUReporting[[#This Row],[Program]],'Program MW '!$A$12:$S$23,3,FALSE),VLOOKUP(BUReporting[[#This Row],[Program]],'Program MW '!$A$35:$S$46,3,FALSE))</f>
        <v>0.59379999999999999</v>
      </c>
    </row>
    <row r="15" spans="1:8" ht="15.5" thickTop="1" thickBot="1">
      <c r="A15" s="450">
        <v>0</v>
      </c>
      <c r="B15" s="85" t="s">
        <v>8</v>
      </c>
      <c r="C15" s="451"/>
      <c r="D15" s="441" t="s">
        <v>9</v>
      </c>
      <c r="E15" s="446">
        <v>2</v>
      </c>
      <c r="F15" s="447" t="s">
        <v>28</v>
      </c>
      <c r="G15" s="437">
        <f>IF(OR(BUReporting[[#This Row],[Period]]=1,OR(BUReporting[[#This Row],[Period]]=2,OR(BUReporting[[#This Row],[Period]]=2,OR(BUReporting[[#This Row],[Period]]=4,OR(BUReporting[[#This Row],[Period]]=5,BUReporting[[#This Row],[Period]]=6))))),VLOOKUP(BUReporting[[#This Row],[Program]],'Program MW '!$A$9:$S$9,5,FALSE),VLOOKUP(BUReporting[[#This Row],[Program]],'Program MW '!$A$32:$S$32,5,FALSE))</f>
        <v>4</v>
      </c>
      <c r="H15" s="449">
        <f>IF(OR(BUReporting[[#This Row],[Period]]=1,OR(BUReporting[[#This Row],[Period]]=2,OR(BUReporting[[#This Row],[Period]]=3,OR(BUReporting[[#This Row],[Period]]=4,OR(BUReporting[[#This Row],[Period]]=5,BUReporting[[#This Row],[Period]]=6))))),VLOOKUP(BUReporting[[#This Row],[Program]],'Program MW '!$A$9:$S$9,6,FALSE),VLOOKUP(BUReporting[[#This Row],[Program]],'Program MW '!$A$32:$S$32,6,FALSE))</f>
        <v>0.43383999999999995</v>
      </c>
    </row>
    <row r="16" spans="1:8" ht="15.5" thickTop="1" thickBot="1">
      <c r="A16" s="438">
        <v>1</v>
      </c>
      <c r="B16" s="436" t="s">
        <v>11</v>
      </c>
      <c r="C16" s="451"/>
      <c r="D16" s="436" t="s">
        <v>9</v>
      </c>
      <c r="E16" s="439">
        <v>2</v>
      </c>
      <c r="F16" s="448" t="s">
        <v>28</v>
      </c>
      <c r="G16" s="437">
        <f>IF(OR(BUReporting[[#This Row],[Period]]=1,OR(BUReporting[[#This Row],[Period]]=2,OR(BUReporting[[#This Row],[Period]]=2,OR(BUReporting[[#This Row],[Period]]=4,OR(BUReporting[[#This Row],[Period]]=5,BUReporting[[#This Row],[Period]]=6))))),VLOOKUP(BUReporting[[#This Row],[Program]],'Program MW '!$A$12:$S$23,5,FALSE),VLOOKUP(BUReporting[[#This Row],[Program]],'Program MW '!$A$35:$S$46,5,FALSE))</f>
        <v>14319</v>
      </c>
      <c r="H16" s="449">
        <f>IF(OR(BUReporting[[#This Row],[Period]]=1,OR(BUReporting[[#This Row],[Period]]=2,OR(BUReporting[[#This Row],[Period]]=3,OR(BUReporting[[#This Row],[Period]]=4,OR(BUReporting[[#This Row],[Period]]=5,BUReporting[[#This Row],[Period]]=6))))),VLOOKUP(BUReporting[[#This Row],[Program]],'Program MW '!$A$12:$S$23,6,FALSE),VLOOKUP(BUReporting[[#This Row],[Program]],'Program MW '!$A$35:$S$46,6,FALSE))</f>
        <v>0</v>
      </c>
    </row>
    <row r="17" spans="1:8" ht="15.5" thickTop="1" thickBot="1">
      <c r="A17" s="438">
        <v>2</v>
      </c>
      <c r="B17" s="436" t="s">
        <v>12</v>
      </c>
      <c r="C17" s="451" t="s">
        <v>13</v>
      </c>
      <c r="D17" s="436" t="s">
        <v>9</v>
      </c>
      <c r="E17" s="439">
        <v>2</v>
      </c>
      <c r="F17" s="448" t="s">
        <v>28</v>
      </c>
      <c r="G17" s="437" t="e">
        <f>IF(OR(BUReporting[[#This Row],[Period]]=1,OR(BUReporting[[#This Row],[Period]]=2,OR(BUReporting[[#This Row],[Period]]=2,OR(BUReporting[[#This Row],[Period]]=4,OR(BUReporting[[#This Row],[Period]]=5,BUReporting[[#This Row],[Period]]=6))))),VLOOKUP(BUReporting[[#This Row],[Program]],'Program MW '!$A$12:$S$23,5,FALSE),VLOOKUP(BUReporting[[#This Row],[Program]],'Program MW '!$A$35:$S$46,5,FALSE))</f>
        <v>#N/A</v>
      </c>
      <c r="H17" s="449" t="e">
        <f>IF(OR(BUReporting[[#This Row],[Period]]=1,OR(BUReporting[[#This Row],[Period]]=2,OR(BUReporting[[#This Row],[Period]]=3,OR(BUReporting[[#This Row],[Period]]=4,OR(BUReporting[[#This Row],[Period]]=5,BUReporting[[#This Row],[Period]]=6))))),VLOOKUP(BUReporting[[#This Row],[Program]],'Program MW '!$A$12:$S$23,6,FALSE),VLOOKUP(BUReporting[[#This Row],[Program]],'Program MW '!$A$35:$S$46,6,FALSE))</f>
        <v>#N/A</v>
      </c>
    </row>
    <row r="18" spans="1:8" ht="15.5" thickTop="1" thickBot="1">
      <c r="A18" s="438">
        <v>3</v>
      </c>
      <c r="B18" s="436" t="s">
        <v>14</v>
      </c>
      <c r="C18" s="451"/>
      <c r="D18" s="436" t="s">
        <v>9</v>
      </c>
      <c r="E18" s="439">
        <v>2</v>
      </c>
      <c r="F18" s="448" t="s">
        <v>28</v>
      </c>
      <c r="G18" s="437" t="e">
        <f>IF(OR(BUReporting[[#This Row],[Period]]=1,OR(BUReporting[[#This Row],[Period]]=2,OR(BUReporting[[#This Row],[Period]]=2,OR(BUReporting[[#This Row],[Period]]=4,OR(BUReporting[[#This Row],[Period]]=5,BUReporting[[#This Row],[Period]]=6))))),VLOOKUP(BUReporting[[#This Row],[Program]],'Program MW '!$A$12:$S$23,5,FALSE),VLOOKUP(BUReporting[[#This Row],[Program]],'Program MW '!$A$35:$S$46,5,FALSE))</f>
        <v>#N/A</v>
      </c>
      <c r="H18" s="449" t="e">
        <f>IF(OR(BUReporting[[#This Row],[Period]]=1,OR(BUReporting[[#This Row],[Period]]=2,OR(BUReporting[[#This Row],[Period]]=3,OR(BUReporting[[#This Row],[Period]]=4,OR(BUReporting[[#This Row],[Period]]=5,BUReporting[[#This Row],[Period]]=6))))),VLOOKUP(BUReporting[[#This Row],[Program]],'Program MW '!$A$12:$S$23,6,FALSE),VLOOKUP(BUReporting[[#This Row],[Program]],'Program MW '!$A$35:$S$46,6,FALSE))</f>
        <v>#N/A</v>
      </c>
    </row>
    <row r="19" spans="1:8" ht="15.5" thickTop="1" thickBot="1">
      <c r="A19" s="438">
        <v>4</v>
      </c>
      <c r="B19" s="436" t="s">
        <v>15</v>
      </c>
      <c r="C19" s="451" t="s">
        <v>16</v>
      </c>
      <c r="D19" s="436" t="s">
        <v>9</v>
      </c>
      <c r="E19" s="439">
        <v>2</v>
      </c>
      <c r="F19" s="448" t="s">
        <v>28</v>
      </c>
      <c r="G19" s="437" t="e">
        <f>IF(OR(BUReporting[[#This Row],[Period]]=1,OR(BUReporting[[#This Row],[Period]]=2,OR(BUReporting[[#This Row],[Period]]=2,OR(BUReporting[[#This Row],[Period]]=4,OR(BUReporting[[#This Row],[Period]]=5,BUReporting[[#This Row],[Period]]=6))))),VLOOKUP(BUReporting[[#This Row],[Program]],'Program MW '!$A$12:$S$23,5,FALSE),VLOOKUP(BUReporting[[#This Row],[Program]],'Program MW '!$A$35:$S$46,5,FALSE))</f>
        <v>#N/A</v>
      </c>
      <c r="H19" s="449" t="e">
        <f>IF(OR(BUReporting[[#This Row],[Period]]=1,OR(BUReporting[[#This Row],[Period]]=2,OR(BUReporting[[#This Row],[Period]]=3,OR(BUReporting[[#This Row],[Period]]=4,OR(BUReporting[[#This Row],[Period]]=5,BUReporting[[#This Row],[Period]]=6))))),VLOOKUP(BUReporting[[#This Row],[Program]],'Program MW '!$A$12:$S$23,6,FALSE),VLOOKUP(BUReporting[[#This Row],[Program]],'Program MW '!$A$35:$S$46,6,FALSE))</f>
        <v>#N/A</v>
      </c>
    </row>
    <row r="20" spans="1:8" ht="15.5" thickTop="1" thickBot="1">
      <c r="A20" s="438">
        <v>5</v>
      </c>
      <c r="B20" s="436" t="s">
        <v>17</v>
      </c>
      <c r="C20" s="451" t="s">
        <v>18</v>
      </c>
      <c r="D20" s="436" t="s">
        <v>19</v>
      </c>
      <c r="E20" s="439">
        <v>2</v>
      </c>
      <c r="F20" s="448" t="s">
        <v>28</v>
      </c>
      <c r="G20" s="437">
        <f>IF(OR(BUReporting[[#This Row],[Period]]=1,OR(BUReporting[[#This Row],[Period]]=2,OR(BUReporting[[#This Row],[Period]]=2,OR(BUReporting[[#This Row],[Period]]=4,OR(BUReporting[[#This Row],[Period]]=5,BUReporting[[#This Row],[Period]]=6))))),VLOOKUP(BUReporting[[#This Row],[Program]],'Program MW '!$A$12:$S$23,5,FALSE),VLOOKUP(BUReporting[[#This Row],[Program]],'Program MW '!$A$35:$S$46,5,FALSE))</f>
        <v>19389</v>
      </c>
      <c r="H20" s="449">
        <f>IF(OR(BUReporting[[#This Row],[Period]]=1,OR(BUReporting[[#This Row],[Period]]=2,OR(BUReporting[[#This Row],[Period]]=3,OR(BUReporting[[#This Row],[Period]]=4,OR(BUReporting[[#This Row],[Period]]=5,BUReporting[[#This Row],[Period]]=6))))),VLOOKUP(BUReporting[[#This Row],[Program]],'Program MW '!$A$12:$S$23,6,FALSE),VLOOKUP(BUReporting[[#This Row],[Program]],'Program MW '!$A$35:$S$46,6,FALSE))</f>
        <v>0</v>
      </c>
    </row>
    <row r="21" spans="1:8" ht="15.5" thickTop="1" thickBot="1">
      <c r="A21" s="438">
        <v>6</v>
      </c>
      <c r="B21" s="436" t="s">
        <v>20</v>
      </c>
      <c r="C21" s="451" t="s">
        <v>18</v>
      </c>
      <c r="D21" s="436" t="s">
        <v>9</v>
      </c>
      <c r="E21" s="439">
        <v>2</v>
      </c>
      <c r="F21" s="448" t="s">
        <v>28</v>
      </c>
      <c r="G21" s="437">
        <f>IF(OR(BUReporting[[#This Row],[Period]]=1,OR(BUReporting[[#This Row],[Period]]=2,OR(BUReporting[[#This Row],[Period]]=2,OR(BUReporting[[#This Row],[Period]]=4,OR(BUReporting[[#This Row],[Period]]=5,BUReporting[[#This Row],[Period]]=6))))),VLOOKUP(BUReporting[[#This Row],[Program]],'Program MW '!$A$12:$S$23,5,FALSE),VLOOKUP(BUReporting[[#This Row],[Program]],'Program MW '!$A$35:$S$46,5,FALSE))</f>
        <v>1632</v>
      </c>
      <c r="H21" s="449">
        <f>IF(OR(BUReporting[[#This Row],[Period]]=1,OR(BUReporting[[#This Row],[Period]]=2,OR(BUReporting[[#This Row],[Period]]=3,OR(BUReporting[[#This Row],[Period]]=4,OR(BUReporting[[#This Row],[Period]]=5,BUReporting[[#This Row],[Period]]=6))))),VLOOKUP(BUReporting[[#This Row],[Program]],'Program MW '!$A$12:$S$23,6,FALSE),VLOOKUP(BUReporting[[#This Row],[Program]],'Program MW '!$A$35:$S$46,6,FALSE))</f>
        <v>0</v>
      </c>
    </row>
    <row r="22" spans="1:8" ht="15.5" thickTop="1" thickBot="1">
      <c r="A22" s="438">
        <v>7</v>
      </c>
      <c r="B22" s="436" t="s">
        <v>21</v>
      </c>
      <c r="C22" s="451" t="s">
        <v>22</v>
      </c>
      <c r="D22" s="436" t="s">
        <v>19</v>
      </c>
      <c r="E22" s="439">
        <v>2</v>
      </c>
      <c r="F22" s="448" t="s">
        <v>28</v>
      </c>
      <c r="G22" s="437">
        <f>IF(OR(BUReporting[[#This Row],[Period]]=1,OR(BUReporting[[#This Row],[Period]]=2,OR(BUReporting[[#This Row],[Period]]=2,OR(BUReporting[[#This Row],[Period]]=4,OR(BUReporting[[#This Row],[Period]]=5,BUReporting[[#This Row],[Period]]=6))))),VLOOKUP(BUReporting[[#This Row],[Program]],'Program MW '!$A$12:$S$23,5,FALSE),VLOOKUP(BUReporting[[#This Row],[Program]],'Program MW '!$A$35:$S$46,5,FALSE))</f>
        <v>8522</v>
      </c>
      <c r="H22" s="449">
        <f>IF(OR(BUReporting[[#This Row],[Period]]=1,OR(BUReporting[[#This Row],[Period]]=2,OR(BUReporting[[#This Row],[Period]]=3,OR(BUReporting[[#This Row],[Period]]=4,OR(BUReporting[[#This Row],[Period]]=5,BUReporting[[#This Row],[Period]]=6))))),VLOOKUP(BUReporting[[#This Row],[Program]],'Program MW '!$A$12:$S$23,6,FALSE),VLOOKUP(BUReporting[[#This Row],[Program]],'Program MW '!$A$35:$S$46,6,FALSE))</f>
        <v>0</v>
      </c>
    </row>
    <row r="23" spans="1:8" ht="15.5" thickTop="1" thickBot="1">
      <c r="A23" s="438">
        <v>8</v>
      </c>
      <c r="B23" s="436" t="s">
        <v>23</v>
      </c>
      <c r="C23" s="451" t="s">
        <v>22</v>
      </c>
      <c r="D23" s="436" t="s">
        <v>9</v>
      </c>
      <c r="E23" s="439">
        <v>2</v>
      </c>
      <c r="F23" s="448" t="s">
        <v>28</v>
      </c>
      <c r="G23" s="437">
        <f>IF(OR(BUReporting[[#This Row],[Period]]=1,OR(BUReporting[[#This Row],[Period]]=2,OR(BUReporting[[#This Row],[Period]]=2,OR(BUReporting[[#This Row],[Period]]=4,OR(BUReporting[[#This Row],[Period]]=5,BUReporting[[#This Row],[Period]]=6))))),VLOOKUP(BUReporting[[#This Row],[Program]],'Program MW '!$A$12:$S$23,5,FALSE),VLOOKUP(BUReporting[[#This Row],[Program]],'Program MW '!$A$35:$S$46,5,FALSE))</f>
        <v>3130</v>
      </c>
      <c r="H23" s="449">
        <f>IF(OR(BUReporting[[#This Row],[Period]]=1,OR(BUReporting[[#This Row],[Period]]=2,OR(BUReporting[[#This Row],[Period]]=3,OR(BUReporting[[#This Row],[Period]]=4,OR(BUReporting[[#This Row],[Period]]=5,BUReporting[[#This Row],[Period]]=6))))),VLOOKUP(BUReporting[[#This Row],[Program]],'Program MW '!$A$12:$S$23,6,FALSE),VLOOKUP(BUReporting[[#This Row],[Program]],'Program MW '!$A$35:$S$46,6,FALSE))</f>
        <v>0</v>
      </c>
    </row>
    <row r="24" spans="1:8" ht="15.5" thickTop="1" thickBot="1">
      <c r="A24" s="438">
        <v>9</v>
      </c>
      <c r="B24" s="436" t="s">
        <v>24</v>
      </c>
      <c r="C24" s="451"/>
      <c r="D24" s="436" t="s">
        <v>9</v>
      </c>
      <c r="E24" s="439">
        <v>2</v>
      </c>
      <c r="F24" s="448" t="s">
        <v>28</v>
      </c>
      <c r="G24" s="437">
        <f>IF(OR(BUReporting[[#This Row],[Period]]=1,OR(BUReporting[[#This Row],[Period]]=2,OR(BUReporting[[#This Row],[Period]]=2,OR(BUReporting[[#This Row],[Period]]=4,OR(BUReporting[[#This Row],[Period]]=5,BUReporting[[#This Row],[Period]]=6))))),VLOOKUP(BUReporting[[#This Row],[Program]],'Program MW '!$A$12:$S$23,5,FALSE),VLOOKUP(BUReporting[[#This Row],[Program]],'Program MW '!$A$35:$S$46,5,FALSE))</f>
        <v>0</v>
      </c>
      <c r="H24" s="449">
        <f>IF(OR(BUReporting[[#This Row],[Period]]=1,OR(BUReporting[[#This Row],[Period]]=2,OR(BUReporting[[#This Row],[Period]]=3,OR(BUReporting[[#This Row],[Period]]=4,OR(BUReporting[[#This Row],[Period]]=5,BUReporting[[#This Row],[Period]]=6))))),VLOOKUP(BUReporting[[#This Row],[Program]],'Program MW '!$A$12:$S$23,6,FALSE),VLOOKUP(BUReporting[[#This Row],[Program]],'Program MW '!$A$35:$S$46,6,FALSE))</f>
        <v>0</v>
      </c>
    </row>
    <row r="25" spans="1:8" ht="15.5" thickTop="1" thickBot="1">
      <c r="A25" s="438">
        <v>10</v>
      </c>
      <c r="B25" s="436" t="s">
        <v>25</v>
      </c>
      <c r="C25" s="451"/>
      <c r="D25" s="436" t="s">
        <v>9</v>
      </c>
      <c r="E25" s="439">
        <v>2</v>
      </c>
      <c r="F25" s="448" t="s">
        <v>28</v>
      </c>
      <c r="G25" s="437">
        <f>IF(OR(BUReporting[[#This Row],[Period]]=1,OR(BUReporting[[#This Row],[Period]]=2,OR(BUReporting[[#This Row],[Period]]=2,OR(BUReporting[[#This Row],[Period]]=4,OR(BUReporting[[#This Row],[Period]]=5,BUReporting[[#This Row],[Period]]=6))))),VLOOKUP(BUReporting[[#This Row],[Program]],'Program MW '!$A$12:$S$23,5,FALSE),VLOOKUP(BUReporting[[#This Row],[Program]],'Program MW '!$A$35:$S$46,5,FALSE))</f>
        <v>0</v>
      </c>
      <c r="H25" s="449">
        <f>IF(OR(BUReporting[[#This Row],[Period]]=1,OR(BUReporting[[#This Row],[Period]]=2,OR(BUReporting[[#This Row],[Period]]=3,OR(BUReporting[[#This Row],[Period]]=4,OR(BUReporting[[#This Row],[Period]]=5,BUReporting[[#This Row],[Period]]=6))))),VLOOKUP(BUReporting[[#This Row],[Program]],'Program MW '!$A$12:$S$23,6,FALSE),VLOOKUP(BUReporting[[#This Row],[Program]],'Program MW '!$A$35:$S$46,6,FALSE))</f>
        <v>0</v>
      </c>
    </row>
    <row r="26" spans="1:8" ht="15.5" thickTop="1" thickBot="1">
      <c r="A26" s="438">
        <v>11</v>
      </c>
      <c r="B26" s="436" t="s">
        <v>26</v>
      </c>
      <c r="C26" s="451"/>
      <c r="D26" s="436" t="s">
        <v>9</v>
      </c>
      <c r="E26" s="439">
        <v>2</v>
      </c>
      <c r="F26" s="448" t="s">
        <v>28</v>
      </c>
      <c r="G26" s="437">
        <f>IF(OR(BUReporting[[#This Row],[Period]]=1,OR(BUReporting[[#This Row],[Period]]=2,OR(BUReporting[[#This Row],[Period]]=2,OR(BUReporting[[#This Row],[Period]]=4,OR(BUReporting[[#This Row],[Period]]=5,BUReporting[[#This Row],[Period]]=6))))),VLOOKUP(BUReporting[[#This Row],[Program]],'Program MW '!$A$12:$S$23,5,FALSE),VLOOKUP(BUReporting[[#This Row],[Program]],'Program MW '!$A$35:$S$46,5,FALSE))</f>
        <v>113041</v>
      </c>
      <c r="H26" s="449">
        <f>IF(OR(BUReporting[[#This Row],[Period]]=1,OR(BUReporting[[#This Row],[Period]]=2,OR(BUReporting[[#This Row],[Period]]=3,OR(BUReporting[[#This Row],[Period]]=4,OR(BUReporting[[#This Row],[Period]]=5,BUReporting[[#This Row],[Period]]=6))))),VLOOKUP(BUReporting[[#This Row],[Program]],'Program MW '!$A$12:$S$23,6,FALSE),VLOOKUP(BUReporting[[#This Row],[Program]],'Program MW '!$A$35:$S$46,6,FALSE))</f>
        <v>1.1304100000000001</v>
      </c>
    </row>
    <row r="27" spans="1:8" ht="13.5" thickTop="1" thickBot="1">
      <c r="A27" s="438">
        <v>12</v>
      </c>
      <c r="B27" s="436" t="s">
        <v>27</v>
      </c>
      <c r="C27" s="435"/>
      <c r="D27" s="436" t="s">
        <v>19</v>
      </c>
      <c r="E27" s="439">
        <v>2</v>
      </c>
      <c r="F27" s="448" t="s">
        <v>28</v>
      </c>
      <c r="G27" s="437">
        <f>IF(OR(BUReporting[[#This Row],[Period]]=1,OR(BUReporting[[#This Row],[Period]]=2,OR(BUReporting[[#This Row],[Period]]=2,OR(BUReporting[[#This Row],[Period]]=4,OR(BUReporting[[#This Row],[Period]]=5,BUReporting[[#This Row],[Period]]=6))))),VLOOKUP(BUReporting[[#This Row],[Program]],'Program MW '!$A$12:$S$23,5,FALSE),VLOOKUP(BUReporting[[#This Row],[Program]],'Program MW '!$A$35:$S$46,5,FALSE))</f>
        <v>15413</v>
      </c>
      <c r="H27" s="449">
        <f>IF(OR(BUReporting[[#This Row],[Period]]=1,OR(BUReporting[[#This Row],[Period]]=2,OR(BUReporting[[#This Row],[Period]]=3,OR(BUReporting[[#This Row],[Period]]=4,OR(BUReporting[[#This Row],[Period]]=5,BUReporting[[#This Row],[Period]]=6))))),VLOOKUP(BUReporting[[#This Row],[Program]],'Program MW '!$A$12:$S$23,6,FALSE),VLOOKUP(BUReporting[[#This Row],[Program]],'Program MW '!$A$35:$S$46,6,FALSE))</f>
        <v>0.61652000000000007</v>
      </c>
    </row>
    <row r="28" spans="1:8" ht="15.5" thickTop="1" thickBot="1">
      <c r="A28" s="450">
        <v>0</v>
      </c>
      <c r="B28" s="85" t="s">
        <v>8</v>
      </c>
      <c r="C28" s="451"/>
      <c r="D28" s="441" t="s">
        <v>9</v>
      </c>
      <c r="E28" s="446">
        <v>3</v>
      </c>
      <c r="F28" s="447" t="s">
        <v>29</v>
      </c>
      <c r="G28" s="437">
        <f>IF(OR(BUReporting[[#This Row],[Period]]=1,OR(BUReporting[[#This Row],[Period]]=2,OR(BUReporting[[#This Row],[Period]]=2,OR(BUReporting[[#This Row],[Period]]=4,OR(BUReporting[[#This Row],[Period]]=5,BUReporting[[#This Row],[Period]]=6))))),VLOOKUP(BUReporting[[#This Row],[Program]],'Program MW '!$A$9:$S$9,8,FALSE),VLOOKUP(BUReporting[[#This Row],[Program]],'Program MW '!$A$32:$S$32,8,FALSE))</f>
        <v>4</v>
      </c>
      <c r="H28" s="449">
        <f>IF(OR(BUReporting[[#This Row],[Period]]=1,OR(BUReporting[[#This Row],[Period]]=2,OR(BUReporting[[#This Row],[Period]]=3,OR(BUReporting[[#This Row],[Period]]=4,OR(BUReporting[[#This Row],[Period]]=5,BUReporting[[#This Row],[Period]]=6))))),VLOOKUP(BUReporting[[#This Row],[Program]],'Program MW '!$A$9:$S$9,9,FALSE),VLOOKUP(BUReporting[[#This Row],[Program]],'Program MW '!$A$32:$S$32,9,FALSE))</f>
        <v>0.72393133544921873</v>
      </c>
    </row>
    <row r="29" spans="1:8" ht="15.5" thickTop="1" thickBot="1">
      <c r="A29" s="438">
        <v>1</v>
      </c>
      <c r="B29" s="436" t="s">
        <v>11</v>
      </c>
      <c r="C29" s="451"/>
      <c r="D29" s="436" t="s">
        <v>9</v>
      </c>
      <c r="E29" s="439">
        <v>3</v>
      </c>
      <c r="F29" s="448" t="s">
        <v>29</v>
      </c>
      <c r="G29" s="437">
        <f>IF(OR(BUReporting[[#This Row],[Period]]=1,OR(BUReporting[[#This Row],[Period]]=2,OR(BUReporting[[#This Row],[Period]]=3,OR(BUReporting[[#This Row],[Period]]=4,OR(BUReporting[[#This Row],[Period]]=5,BUReporting[[#This Row],[Period]]=6))))),VLOOKUP(BUReporting[[#This Row],[Program]],'Program MW '!$A$12:$S$23,8,FALSE),VLOOKUP(BUReporting[[#This Row],[Program]],'Program MW '!$A$35:$S$46,8,FALSE))</f>
        <v>14282</v>
      </c>
      <c r="H29" s="449">
        <f>IF(OR(BUReporting[[#This Row],[Period]]=1,OR(BUReporting[[#This Row],[Period]]=2,OR(BUReporting[[#This Row],[Period]]=3,OR(BUReporting[[#This Row],[Period]]=4,OR(BUReporting[[#This Row],[Period]]=5,BUReporting[[#This Row],[Period]]=6))))),VLOOKUP(BUReporting[[#This Row],[Program]],'Program MW '!$A$12:$S$23,9,FALSE),VLOOKUP(BUReporting[[#This Row],[Program]],'Program MW '!$A$35:$S$46,9,FALSE))</f>
        <v>2.0273027641999999</v>
      </c>
    </row>
    <row r="30" spans="1:8" ht="15.5" thickTop="1" thickBot="1">
      <c r="A30" s="438">
        <v>2</v>
      </c>
      <c r="B30" s="436" t="s">
        <v>12</v>
      </c>
      <c r="C30" s="451" t="s">
        <v>13</v>
      </c>
      <c r="D30" s="436" t="s">
        <v>9</v>
      </c>
      <c r="E30" s="439">
        <v>3</v>
      </c>
      <c r="F30" s="448" t="s">
        <v>29</v>
      </c>
      <c r="G30" s="437" t="e">
        <f>IF(OR(BUReporting[[#This Row],[Period]]=1,OR(BUReporting[[#This Row],[Period]]=2,OR(BUReporting[[#This Row],[Period]]=3,OR(BUReporting[[#This Row],[Period]]=4,OR(BUReporting[[#This Row],[Period]]=5,BUReporting[[#This Row],[Period]]=6))))),VLOOKUP(BUReporting[[#This Row],[Program]],'Program MW '!$A$12:$S$23,8,FALSE),VLOOKUP(BUReporting[[#This Row],[Program]],'Program MW '!$A$35:$S$46,8,FALSE))</f>
        <v>#N/A</v>
      </c>
      <c r="H30" s="449" t="e">
        <f>IF(OR(BUReporting[[#This Row],[Period]]=1,OR(BUReporting[[#This Row],[Period]]=2,OR(BUReporting[[#This Row],[Period]]=3,OR(BUReporting[[#This Row],[Period]]=4,OR(BUReporting[[#This Row],[Period]]=5,BUReporting[[#This Row],[Period]]=6))))),VLOOKUP(BUReporting[[#This Row],[Program]],'Program MW '!$A$12:$S$23,9,FALSE),VLOOKUP(BUReporting[[#This Row],[Program]],'Program MW '!$A$35:$S$46,9,FALSE))</f>
        <v>#N/A</v>
      </c>
    </row>
    <row r="31" spans="1:8" ht="15.5" thickTop="1" thickBot="1">
      <c r="A31" s="438">
        <v>3</v>
      </c>
      <c r="B31" s="436" t="s">
        <v>14</v>
      </c>
      <c r="C31" s="451"/>
      <c r="D31" s="436" t="s">
        <v>9</v>
      </c>
      <c r="E31" s="439">
        <v>3</v>
      </c>
      <c r="F31" s="448" t="s">
        <v>29</v>
      </c>
      <c r="G31" s="437" t="e">
        <f>IF(OR(BUReporting[[#This Row],[Period]]=1,OR(BUReporting[[#This Row],[Period]]=2,OR(BUReporting[[#This Row],[Period]]=3,OR(BUReporting[[#This Row],[Period]]=4,OR(BUReporting[[#This Row],[Period]]=5,BUReporting[[#This Row],[Period]]=6))))),VLOOKUP(BUReporting[[#This Row],[Program]],'Program MW '!$A$12:$S$23,8,FALSE),VLOOKUP(BUReporting[[#This Row],[Program]],'Program MW '!$A$35:$S$46,8,FALSE))</f>
        <v>#N/A</v>
      </c>
      <c r="H31" s="449" t="e">
        <f>IF(OR(BUReporting[[#This Row],[Period]]=1,OR(BUReporting[[#This Row],[Period]]=2,OR(BUReporting[[#This Row],[Period]]=3,OR(BUReporting[[#This Row],[Period]]=4,OR(BUReporting[[#This Row],[Period]]=5,BUReporting[[#This Row],[Period]]=6))))),VLOOKUP(BUReporting[[#This Row],[Program]],'Program MW '!$A$12:$S$23,9,FALSE),VLOOKUP(BUReporting[[#This Row],[Program]],'Program MW '!$A$35:$S$46,9,FALSE))</f>
        <v>#N/A</v>
      </c>
    </row>
    <row r="32" spans="1:8" ht="15.5" thickTop="1" thickBot="1">
      <c r="A32" s="438">
        <v>4</v>
      </c>
      <c r="B32" s="436" t="s">
        <v>15</v>
      </c>
      <c r="C32" s="451" t="s">
        <v>16</v>
      </c>
      <c r="D32" s="436" t="s">
        <v>9</v>
      </c>
      <c r="E32" s="439">
        <v>3</v>
      </c>
      <c r="F32" s="448" t="s">
        <v>29</v>
      </c>
      <c r="G32" s="437" t="e">
        <f>IF(OR(BUReporting[[#This Row],[Period]]=1,OR(BUReporting[[#This Row],[Period]]=2,OR(BUReporting[[#This Row],[Period]]=3,OR(BUReporting[[#This Row],[Period]]=4,OR(BUReporting[[#This Row],[Period]]=5,BUReporting[[#This Row],[Period]]=6))))),VLOOKUP(BUReporting[[#This Row],[Program]],'Program MW '!$A$12:$S$23,8,FALSE),VLOOKUP(BUReporting[[#This Row],[Program]],'Program MW '!$A$35:$S$46,8,FALSE))</f>
        <v>#N/A</v>
      </c>
      <c r="H32" s="449" t="e">
        <f>IF(OR(BUReporting[[#This Row],[Period]]=1,OR(BUReporting[[#This Row],[Period]]=2,OR(BUReporting[[#This Row],[Period]]=3,OR(BUReporting[[#This Row],[Period]]=4,OR(BUReporting[[#This Row],[Period]]=5,BUReporting[[#This Row],[Period]]=6))))),VLOOKUP(BUReporting[[#This Row],[Program]],'Program MW '!$A$12:$S$23,9,FALSE),VLOOKUP(BUReporting[[#This Row],[Program]],'Program MW '!$A$35:$S$46,9,FALSE))</f>
        <v>#N/A</v>
      </c>
    </row>
    <row r="33" spans="1:8" ht="15.5" thickTop="1" thickBot="1">
      <c r="A33" s="438">
        <v>5</v>
      </c>
      <c r="B33" s="436" t="s">
        <v>17</v>
      </c>
      <c r="C33" s="451" t="s">
        <v>18</v>
      </c>
      <c r="D33" s="436" t="s">
        <v>19</v>
      </c>
      <c r="E33" s="439">
        <v>3</v>
      </c>
      <c r="F33" s="448" t="s">
        <v>29</v>
      </c>
      <c r="G33" s="437">
        <f>IF(OR(BUReporting[[#This Row],[Period]]=1,OR(BUReporting[[#This Row],[Period]]=2,OR(BUReporting[[#This Row],[Period]]=3,OR(BUReporting[[#This Row],[Period]]=4,OR(BUReporting[[#This Row],[Period]]=5,BUReporting[[#This Row],[Period]]=6))))),VLOOKUP(BUReporting[[#This Row],[Program]],'Program MW '!$A$12:$S$23,8,FALSE),VLOOKUP(BUReporting[[#This Row],[Program]],'Program MW '!$A$35:$S$46,8,FALSE))</f>
        <v>19514</v>
      </c>
      <c r="H33" s="449">
        <f>IF(OR(BUReporting[[#This Row],[Period]]=1,OR(BUReporting[[#This Row],[Period]]=2,OR(BUReporting[[#This Row],[Period]]=3,OR(BUReporting[[#This Row],[Period]]=4,OR(BUReporting[[#This Row],[Period]]=5,BUReporting[[#This Row],[Period]]=6))))),VLOOKUP(BUReporting[[#This Row],[Program]],'Program MW '!$A$12:$S$23,9,FALSE),VLOOKUP(BUReporting[[#This Row],[Program]],'Program MW '!$A$35:$S$46,9,FALSE))</f>
        <v>8.363872844347498E-4</v>
      </c>
    </row>
    <row r="34" spans="1:8" ht="15.5" thickTop="1" thickBot="1">
      <c r="A34" s="438">
        <v>6</v>
      </c>
      <c r="B34" s="436" t="s">
        <v>20</v>
      </c>
      <c r="C34" s="451" t="s">
        <v>18</v>
      </c>
      <c r="D34" s="436" t="s">
        <v>9</v>
      </c>
      <c r="E34" s="439">
        <v>3</v>
      </c>
      <c r="F34" s="448" t="s">
        <v>29</v>
      </c>
      <c r="G34" s="437">
        <f>IF(OR(BUReporting[[#This Row],[Period]]=1,OR(BUReporting[[#This Row],[Period]]=2,OR(BUReporting[[#This Row],[Period]]=3,OR(BUReporting[[#This Row],[Period]]=4,OR(BUReporting[[#This Row],[Period]]=5,BUReporting[[#This Row],[Period]]=6))))),VLOOKUP(BUReporting[[#This Row],[Program]],'Program MW '!$A$12:$S$23,8,FALSE),VLOOKUP(BUReporting[[#This Row],[Program]],'Program MW '!$A$35:$S$46,8,FALSE))</f>
        <v>1633</v>
      </c>
      <c r="H34" s="449">
        <f>IF(OR(BUReporting[[#This Row],[Period]]=1,OR(BUReporting[[#This Row],[Period]]=2,OR(BUReporting[[#This Row],[Period]]=3,OR(BUReporting[[#This Row],[Period]]=4,OR(BUReporting[[#This Row],[Period]]=5,BUReporting[[#This Row],[Period]]=6))))),VLOOKUP(BUReporting[[#This Row],[Program]],'Program MW '!$A$12:$S$23,9,FALSE),VLOOKUP(BUReporting[[#This Row],[Program]],'Program MW '!$A$35:$S$46,9,FALSE))</f>
        <v>2.9353506870102137E-3</v>
      </c>
    </row>
    <row r="35" spans="1:8" ht="15.5" thickTop="1" thickBot="1">
      <c r="A35" s="438">
        <v>7</v>
      </c>
      <c r="B35" s="436" t="s">
        <v>21</v>
      </c>
      <c r="C35" s="451" t="s">
        <v>22</v>
      </c>
      <c r="D35" s="436" t="s">
        <v>19</v>
      </c>
      <c r="E35" s="439">
        <v>3</v>
      </c>
      <c r="F35" s="448" t="s">
        <v>29</v>
      </c>
      <c r="G35" s="437">
        <f>IF(OR(BUReporting[[#This Row],[Period]]=1,OR(BUReporting[[#This Row],[Period]]=2,OR(BUReporting[[#This Row],[Period]]=3,OR(BUReporting[[#This Row],[Period]]=4,OR(BUReporting[[#This Row],[Period]]=5,BUReporting[[#This Row],[Period]]=6))))),VLOOKUP(BUReporting[[#This Row],[Program]],'Program MW '!$A$12:$S$23,8,FALSE),VLOOKUP(BUReporting[[#This Row],[Program]],'Program MW '!$A$35:$S$46,8,FALSE))</f>
        <v>8522</v>
      </c>
      <c r="H35" s="449">
        <f>IF(OR(BUReporting[[#This Row],[Period]]=1,OR(BUReporting[[#This Row],[Period]]=2,OR(BUReporting[[#This Row],[Period]]=3,OR(BUReporting[[#This Row],[Period]]=4,OR(BUReporting[[#This Row],[Period]]=5,BUReporting[[#This Row],[Period]]=6))))),VLOOKUP(BUReporting[[#This Row],[Program]],'Program MW '!$A$12:$S$23,9,FALSE),VLOOKUP(BUReporting[[#This Row],[Program]],'Program MW '!$A$35:$S$46,9,FALSE))</f>
        <v>0</v>
      </c>
    </row>
    <row r="36" spans="1:8" ht="15.5" thickTop="1" thickBot="1">
      <c r="A36" s="438">
        <v>8</v>
      </c>
      <c r="B36" s="436" t="s">
        <v>23</v>
      </c>
      <c r="C36" s="451" t="s">
        <v>22</v>
      </c>
      <c r="D36" s="436" t="s">
        <v>9</v>
      </c>
      <c r="E36" s="439">
        <v>3</v>
      </c>
      <c r="F36" s="448" t="s">
        <v>29</v>
      </c>
      <c r="G36" s="437">
        <f>IF(OR(BUReporting[[#This Row],[Period]]=1,OR(BUReporting[[#This Row],[Period]]=2,OR(BUReporting[[#This Row],[Period]]=3,OR(BUReporting[[#This Row],[Period]]=4,OR(BUReporting[[#This Row],[Period]]=5,BUReporting[[#This Row],[Period]]=6))))),VLOOKUP(BUReporting[[#This Row],[Program]],'Program MW '!$A$12:$S$23,8,FALSE),VLOOKUP(BUReporting[[#This Row],[Program]],'Program MW '!$A$35:$S$46,8,FALSE))</f>
        <v>3184</v>
      </c>
      <c r="H36" s="449">
        <f>IF(OR(BUReporting[[#This Row],[Period]]=1,OR(BUReporting[[#This Row],[Period]]=2,OR(BUReporting[[#This Row],[Period]]=3,OR(BUReporting[[#This Row],[Period]]=4,OR(BUReporting[[#This Row],[Period]]=5,BUReporting[[#This Row],[Period]]=6))))),VLOOKUP(BUReporting[[#This Row],[Program]],'Program MW '!$A$12:$S$23,9,FALSE),VLOOKUP(BUReporting[[#This Row],[Program]],'Program MW '!$A$35:$S$46,9,FALSE))</f>
        <v>0</v>
      </c>
    </row>
    <row r="37" spans="1:8" ht="15.5" thickTop="1" thickBot="1">
      <c r="A37" s="438">
        <v>9</v>
      </c>
      <c r="B37" s="436" t="s">
        <v>24</v>
      </c>
      <c r="C37" s="451"/>
      <c r="D37" s="436" t="s">
        <v>9</v>
      </c>
      <c r="E37" s="439">
        <v>3</v>
      </c>
      <c r="F37" s="448" t="s">
        <v>29</v>
      </c>
      <c r="G37" s="437">
        <f>IF(OR(BUReporting[[#This Row],[Period]]=1,OR(BUReporting[[#This Row],[Period]]=2,OR(BUReporting[[#This Row],[Period]]=3,OR(BUReporting[[#This Row],[Period]]=4,OR(BUReporting[[#This Row],[Period]]=5,BUReporting[[#This Row],[Period]]=6))))),VLOOKUP(BUReporting[[#This Row],[Program]],'Program MW '!$A$12:$S$23,8,FALSE),VLOOKUP(BUReporting[[#This Row],[Program]],'Program MW '!$A$35:$S$46,8,FALSE))</f>
        <v>0</v>
      </c>
      <c r="H37" s="449">
        <f>IF(OR(BUReporting[[#This Row],[Period]]=1,OR(BUReporting[[#This Row],[Period]]=2,OR(BUReporting[[#This Row],[Period]]=3,OR(BUReporting[[#This Row],[Period]]=4,OR(BUReporting[[#This Row],[Period]]=5,BUReporting[[#This Row],[Period]]=6))))),VLOOKUP(BUReporting[[#This Row],[Program]],'Program MW '!$A$12:$S$23,9,FALSE),VLOOKUP(BUReporting[[#This Row],[Program]],'Program MW '!$A$35:$S$46,9,FALSE))</f>
        <v>0</v>
      </c>
    </row>
    <row r="38" spans="1:8" ht="15.5" thickTop="1" thickBot="1">
      <c r="A38" s="438">
        <v>10</v>
      </c>
      <c r="B38" s="436" t="s">
        <v>25</v>
      </c>
      <c r="C38" s="451"/>
      <c r="D38" s="436" t="s">
        <v>9</v>
      </c>
      <c r="E38" s="439">
        <v>3</v>
      </c>
      <c r="F38" s="448" t="s">
        <v>29</v>
      </c>
      <c r="G38" s="437">
        <f>IF(OR(BUReporting[[#This Row],[Period]]=1,OR(BUReporting[[#This Row],[Period]]=2,OR(BUReporting[[#This Row],[Period]]=3,OR(BUReporting[[#This Row],[Period]]=4,OR(BUReporting[[#This Row],[Period]]=5,BUReporting[[#This Row],[Period]]=6))))),VLOOKUP(BUReporting[[#This Row],[Program]],'Program MW '!$A$12:$S$23,8,FALSE),VLOOKUP(BUReporting[[#This Row],[Program]],'Program MW '!$A$35:$S$46,8,FALSE))</f>
        <v>0</v>
      </c>
      <c r="H38" s="449">
        <f>IF(OR(BUReporting[[#This Row],[Period]]=1,OR(BUReporting[[#This Row],[Period]]=2,OR(BUReporting[[#This Row],[Period]]=3,OR(BUReporting[[#This Row],[Period]]=4,OR(BUReporting[[#This Row],[Period]]=5,BUReporting[[#This Row],[Period]]=6))))),VLOOKUP(BUReporting[[#This Row],[Program]],'Program MW '!$A$12:$S$23,9,FALSE),VLOOKUP(BUReporting[[#This Row],[Program]],'Program MW '!$A$35:$S$46,9,FALSE))</f>
        <v>0</v>
      </c>
    </row>
    <row r="39" spans="1:8" ht="15.5" thickTop="1" thickBot="1">
      <c r="A39" s="438">
        <v>11</v>
      </c>
      <c r="B39" s="436" t="s">
        <v>26</v>
      </c>
      <c r="C39" s="451"/>
      <c r="D39" s="436" t="s">
        <v>9</v>
      </c>
      <c r="E39" s="439">
        <v>3</v>
      </c>
      <c r="F39" s="448" t="s">
        <v>29</v>
      </c>
      <c r="G39" s="437">
        <f>IF(OR(BUReporting[[#This Row],[Period]]=1,OR(BUReporting[[#This Row],[Period]]=2,OR(BUReporting[[#This Row],[Period]]=3,OR(BUReporting[[#This Row],[Period]]=4,OR(BUReporting[[#This Row],[Period]]=5,BUReporting[[#This Row],[Period]]=6))))),VLOOKUP(BUReporting[[#This Row],[Program]],'Program MW '!$A$12:$S$23,8,FALSE),VLOOKUP(BUReporting[[#This Row],[Program]],'Program MW '!$A$35:$S$46,8,FALSE))</f>
        <v>113021</v>
      </c>
      <c r="H39" s="449">
        <f>IF(OR(BUReporting[[#This Row],[Period]]=1,OR(BUReporting[[#This Row],[Period]]=2,OR(BUReporting[[#This Row],[Period]]=3,OR(BUReporting[[#This Row],[Period]]=4,OR(BUReporting[[#This Row],[Period]]=5,BUReporting[[#This Row],[Period]]=6))))),VLOOKUP(BUReporting[[#This Row],[Program]],'Program MW '!$A$12:$S$23,9,FALSE),VLOOKUP(BUReporting[[#This Row],[Program]],'Program MW '!$A$35:$S$46,9,FALSE))</f>
        <v>1.2958692341139539</v>
      </c>
    </row>
    <row r="40" spans="1:8" ht="13.5" thickTop="1" thickBot="1">
      <c r="A40" s="438">
        <v>12</v>
      </c>
      <c r="B40" s="436" t="s">
        <v>27</v>
      </c>
      <c r="C40" s="435"/>
      <c r="D40" s="436" t="s">
        <v>19</v>
      </c>
      <c r="E40" s="439">
        <v>3</v>
      </c>
      <c r="F40" s="448" t="s">
        <v>29</v>
      </c>
      <c r="G40" s="437">
        <f>IF(OR(BUReporting[[#This Row],[Period]]=1,OR(BUReporting[[#This Row],[Period]]=2,OR(BUReporting[[#This Row],[Period]]=3,OR(BUReporting[[#This Row],[Period]]=4,OR(BUReporting[[#This Row],[Period]]=5,BUReporting[[#This Row],[Period]]=6))))),VLOOKUP(BUReporting[[#This Row],[Program]],'Program MW '!$A$12:$S$23,8,FALSE),VLOOKUP(BUReporting[[#This Row],[Program]],'Program MW '!$A$35:$S$46,8,FALSE))</f>
        <v>15637</v>
      </c>
      <c r="H40" s="449">
        <f>IF(OR(BUReporting[[#This Row],[Period]]=1,OR(BUReporting[[#This Row],[Period]]=2,OR(BUReporting[[#This Row],[Period]]=3,OR(BUReporting[[#This Row],[Period]]=4,OR(BUReporting[[#This Row],[Period]]=5,BUReporting[[#This Row],[Period]]=6))))),VLOOKUP(BUReporting[[#This Row],[Program]],'Program MW '!$A$12:$S$23,9,FALSE),VLOOKUP(BUReporting[[#This Row],[Program]],'Program MW '!$A$35:$S$46,9,FALSE))</f>
        <v>0.19967582361400127</v>
      </c>
    </row>
    <row r="41" spans="1:8" ht="15.5" thickTop="1" thickBot="1">
      <c r="A41" s="450">
        <v>0</v>
      </c>
      <c r="B41" s="85" t="s">
        <v>8</v>
      </c>
      <c r="C41" s="451"/>
      <c r="D41" s="441" t="s">
        <v>9</v>
      </c>
      <c r="E41" s="446">
        <v>4</v>
      </c>
      <c r="F41" s="447" t="s">
        <v>30</v>
      </c>
      <c r="G41" s="437">
        <f>IF(OR(BUReporting[[#This Row],[Period]]=1,OR(BUReporting[[#This Row],[Period]]=2,OR(BUReporting[[#This Row],[Period]]=2,OR(BUReporting[[#This Row],[Period]]=4,OR(BUReporting[[#This Row],[Period]]=5,BUReporting[[#This Row],[Period]]=6))))),VLOOKUP(BUReporting[[#This Row],[Program]],'Program MW '!$A$9:$S$9,11,FALSE),VLOOKUP(BUReporting[[#This Row],[Program]],'Program MW '!$A$32:$S$32,11,FALSE))</f>
        <v>4</v>
      </c>
      <c r="H41" s="449">
        <f>IF(OR(BUReporting[[#This Row],[Period]]=1,OR(BUReporting[[#This Row],[Period]]=2,OR(BUReporting[[#This Row],[Period]]=3,OR(BUReporting[[#This Row],[Period]]=4,OR(BUReporting[[#This Row],[Period]]=5,BUReporting[[#This Row],[Period]]=6))))),VLOOKUP(BUReporting[[#This Row],[Program]],'Program MW '!$A$9:$S$9,12,FALSE),VLOOKUP(BUReporting[[#This Row],[Program]],'Program MW '!$A$32:$S$32,12,FALSE))</f>
        <v>0.64798333740234371</v>
      </c>
    </row>
    <row r="42" spans="1:8" ht="15.5" thickTop="1" thickBot="1">
      <c r="A42" s="438">
        <v>1</v>
      </c>
      <c r="B42" s="436" t="s">
        <v>11</v>
      </c>
      <c r="C42" s="451"/>
      <c r="D42" s="436" t="s">
        <v>9</v>
      </c>
      <c r="E42" s="439">
        <v>4</v>
      </c>
      <c r="F42" s="448" t="s">
        <v>30</v>
      </c>
      <c r="G42" s="437">
        <f>IF(OR(BUReporting[[#This Row],[Period]]=1,OR(BUReporting[[#This Row],[Period]]=2,OR(BUReporting[[#This Row],[Period]]=3,OR(BUReporting[[#This Row],[Period]]=4,OR(BUReporting[[#This Row],[Period]]=5,BUReporting[[#This Row],[Period]]=6))))),VLOOKUP(BUReporting[[#This Row],[Program]],'Program MW '!$A$12:$S$23,11,FALSE),VLOOKUP(BUReporting[[#This Row],[Program]],'Program MW '!$A$35:$S$46,11,FALSE))</f>
        <v>14248</v>
      </c>
      <c r="H42" s="449">
        <f>IF(OR(BUReporting[[#This Row],[Period]]=1,OR(BUReporting[[#This Row],[Period]]=2,OR(BUReporting[[#This Row],[Period]]=3,OR(BUReporting[[#This Row],[Period]]=4,OR(BUReporting[[#This Row],[Period]]=5,BUReporting[[#This Row],[Period]]=6))))),VLOOKUP(BUReporting[[#This Row],[Program]],'Program MW '!$A$12:$S$23,12,FALSE),VLOOKUP(BUReporting[[#This Row],[Program]],'Program MW '!$A$35:$S$46,12,FALSE))</f>
        <v>1.9754780759999999</v>
      </c>
    </row>
    <row r="43" spans="1:8" ht="15.5" thickTop="1" thickBot="1">
      <c r="A43" s="438">
        <v>2</v>
      </c>
      <c r="B43" s="436" t="s">
        <v>12</v>
      </c>
      <c r="C43" s="451" t="s">
        <v>13</v>
      </c>
      <c r="D43" s="436" t="s">
        <v>9</v>
      </c>
      <c r="E43" s="439">
        <v>4</v>
      </c>
      <c r="F43" s="448" t="s">
        <v>30</v>
      </c>
      <c r="G43" s="437" t="e">
        <f>IF(OR(BUReporting[[#This Row],[Period]]=1,OR(BUReporting[[#This Row],[Period]]=2,OR(BUReporting[[#This Row],[Period]]=3,OR(BUReporting[[#This Row],[Period]]=4,OR(BUReporting[[#This Row],[Period]]=5,BUReporting[[#This Row],[Period]]=6))))),VLOOKUP(BUReporting[[#This Row],[Program]],'Program MW '!$A$12:$S$23,11,FALSE),VLOOKUP(BUReporting[[#This Row],[Program]],'Program MW '!$A$35:$S$46,11,FALSE))</f>
        <v>#N/A</v>
      </c>
      <c r="H43" s="449" t="e">
        <f>IF(OR(BUReporting[[#This Row],[Period]]=1,OR(BUReporting[[#This Row],[Period]]=2,OR(BUReporting[[#This Row],[Period]]=3,OR(BUReporting[[#This Row],[Period]]=4,OR(BUReporting[[#This Row],[Period]]=5,BUReporting[[#This Row],[Period]]=6))))),VLOOKUP(BUReporting[[#This Row],[Program]],'Program MW '!$A$12:$S$23,12,FALSE),VLOOKUP(BUReporting[[#This Row],[Program]],'Program MW '!$A$35:$S$46,12,FALSE))</f>
        <v>#N/A</v>
      </c>
    </row>
    <row r="44" spans="1:8" ht="15.5" thickTop="1" thickBot="1">
      <c r="A44" s="438">
        <v>3</v>
      </c>
      <c r="B44" s="436" t="s">
        <v>14</v>
      </c>
      <c r="C44" s="451"/>
      <c r="D44" s="436" t="s">
        <v>9</v>
      </c>
      <c r="E44" s="439">
        <v>4</v>
      </c>
      <c r="F44" s="448" t="s">
        <v>30</v>
      </c>
      <c r="G44" s="437" t="e">
        <f>IF(OR(BUReporting[[#This Row],[Period]]=1,OR(BUReporting[[#This Row],[Period]]=2,OR(BUReporting[[#This Row],[Period]]=3,OR(BUReporting[[#This Row],[Period]]=4,OR(BUReporting[[#This Row],[Period]]=5,BUReporting[[#This Row],[Period]]=6))))),VLOOKUP(BUReporting[[#This Row],[Program]],'Program MW '!$A$12:$S$23,11,FALSE),VLOOKUP(BUReporting[[#This Row],[Program]],'Program MW '!$A$35:$S$46,11,FALSE))</f>
        <v>#N/A</v>
      </c>
      <c r="H44" s="449" t="e">
        <f>IF(OR(BUReporting[[#This Row],[Period]]=1,OR(BUReporting[[#This Row],[Period]]=2,OR(BUReporting[[#This Row],[Period]]=3,OR(BUReporting[[#This Row],[Period]]=4,OR(BUReporting[[#This Row],[Period]]=5,BUReporting[[#This Row],[Period]]=6))))),VLOOKUP(BUReporting[[#This Row],[Program]],'Program MW '!$A$12:$S$23,12,FALSE),VLOOKUP(BUReporting[[#This Row],[Program]],'Program MW '!$A$35:$S$46,12,FALSE))</f>
        <v>#N/A</v>
      </c>
    </row>
    <row r="45" spans="1:8" ht="15.5" thickTop="1" thickBot="1">
      <c r="A45" s="438">
        <v>4</v>
      </c>
      <c r="B45" s="436" t="s">
        <v>15</v>
      </c>
      <c r="C45" s="451" t="s">
        <v>16</v>
      </c>
      <c r="D45" s="436" t="s">
        <v>9</v>
      </c>
      <c r="E45" s="439">
        <v>4</v>
      </c>
      <c r="F45" s="448" t="s">
        <v>30</v>
      </c>
      <c r="G45" s="437" t="e">
        <f>IF(OR(BUReporting[[#This Row],[Period]]=1,OR(BUReporting[[#This Row],[Period]]=2,OR(BUReporting[[#This Row],[Period]]=3,OR(BUReporting[[#This Row],[Period]]=4,OR(BUReporting[[#This Row],[Period]]=5,BUReporting[[#This Row],[Period]]=6))))),VLOOKUP(BUReporting[[#This Row],[Program]],'Program MW '!$A$12:$S$23,11,FALSE),VLOOKUP(BUReporting[[#This Row],[Program]],'Program MW '!$A$35:$S$46,11,FALSE))</f>
        <v>#N/A</v>
      </c>
      <c r="H45" s="449" t="e">
        <f>IF(OR(BUReporting[[#This Row],[Period]]=1,OR(BUReporting[[#This Row],[Period]]=2,OR(BUReporting[[#This Row],[Period]]=3,OR(BUReporting[[#This Row],[Period]]=4,OR(BUReporting[[#This Row],[Period]]=5,BUReporting[[#This Row],[Period]]=6))))),VLOOKUP(BUReporting[[#This Row],[Program]],'Program MW '!$A$12:$S$23,12,FALSE),VLOOKUP(BUReporting[[#This Row],[Program]],'Program MW '!$A$35:$S$46,12,FALSE))</f>
        <v>#N/A</v>
      </c>
    </row>
    <row r="46" spans="1:8" ht="15.5" thickTop="1" thickBot="1">
      <c r="A46" s="438">
        <v>5</v>
      </c>
      <c r="B46" s="436" t="s">
        <v>17</v>
      </c>
      <c r="C46" s="451" t="s">
        <v>18</v>
      </c>
      <c r="D46" s="436" t="s">
        <v>19</v>
      </c>
      <c r="E46" s="439">
        <v>4</v>
      </c>
      <c r="F46" s="448" t="s">
        <v>30</v>
      </c>
      <c r="G46" s="437">
        <f>IF(OR(BUReporting[[#This Row],[Period]]=1,OR(BUReporting[[#This Row],[Period]]=2,OR(BUReporting[[#This Row],[Period]]=3,OR(BUReporting[[#This Row],[Period]]=4,OR(BUReporting[[#This Row],[Period]]=5,BUReporting[[#This Row],[Period]]=6))))),VLOOKUP(BUReporting[[#This Row],[Program]],'Program MW '!$A$12:$S$23,11,FALSE),VLOOKUP(BUReporting[[#This Row],[Program]],'Program MW '!$A$35:$S$46,11,FALSE))</f>
        <v>15350</v>
      </c>
      <c r="H46" s="449">
        <f>IF(OR(BUReporting[[#This Row],[Period]]=1,OR(BUReporting[[#This Row],[Period]]=2,OR(BUReporting[[#This Row],[Period]]=3,OR(BUReporting[[#This Row],[Period]]=4,OR(BUReporting[[#This Row],[Period]]=5,BUReporting[[#This Row],[Period]]=6))))),VLOOKUP(BUReporting[[#This Row],[Program]],'Program MW '!$A$12:$S$23,12,FALSE),VLOOKUP(BUReporting[[#This Row],[Program]],'Program MW '!$A$35:$S$46,12,FALSE))</f>
        <v>1.2928511034697294</v>
      </c>
    </row>
    <row r="47" spans="1:8" ht="15.5" thickTop="1" thickBot="1">
      <c r="A47" s="438">
        <v>6</v>
      </c>
      <c r="B47" s="436" t="s">
        <v>20</v>
      </c>
      <c r="C47" s="451" t="s">
        <v>18</v>
      </c>
      <c r="D47" s="436" t="s">
        <v>9</v>
      </c>
      <c r="E47" s="439">
        <v>4</v>
      </c>
      <c r="F47" s="448" t="s">
        <v>30</v>
      </c>
      <c r="G47" s="437">
        <f>IF(OR(BUReporting[[#This Row],[Period]]=1,OR(BUReporting[[#This Row],[Period]]=2,OR(BUReporting[[#This Row],[Period]]=3,OR(BUReporting[[#This Row],[Period]]=4,OR(BUReporting[[#This Row],[Period]]=5,BUReporting[[#This Row],[Period]]=6))))),VLOOKUP(BUReporting[[#This Row],[Program]],'Program MW '!$A$12:$S$23,11,FALSE),VLOOKUP(BUReporting[[#This Row],[Program]],'Program MW '!$A$35:$S$46,11,FALSE))</f>
        <v>960</v>
      </c>
      <c r="H47" s="449">
        <f>IF(OR(BUReporting[[#This Row],[Period]]=1,OR(BUReporting[[#This Row],[Period]]=2,OR(BUReporting[[#This Row],[Period]]=3,OR(BUReporting[[#This Row],[Period]]=4,OR(BUReporting[[#This Row],[Period]]=5,BUReporting[[#This Row],[Period]]=6))))),VLOOKUP(BUReporting[[#This Row],[Program]],'Program MW '!$A$12:$S$23,12,FALSE),VLOOKUP(BUReporting[[#This Row],[Program]],'Program MW '!$A$35:$S$46,12,FALSE))</f>
        <v>0.18351822853088379</v>
      </c>
    </row>
    <row r="48" spans="1:8" ht="15.5" thickTop="1" thickBot="1">
      <c r="A48" s="438">
        <v>7</v>
      </c>
      <c r="B48" s="436" t="s">
        <v>21</v>
      </c>
      <c r="C48" s="451" t="s">
        <v>22</v>
      </c>
      <c r="D48" s="436" t="s">
        <v>19</v>
      </c>
      <c r="E48" s="439">
        <v>4</v>
      </c>
      <c r="F48" s="448" t="s">
        <v>30</v>
      </c>
      <c r="G48" s="437">
        <f>IF(OR(BUReporting[[#This Row],[Period]]=1,OR(BUReporting[[#This Row],[Period]]=2,OR(BUReporting[[#This Row],[Period]]=3,OR(BUReporting[[#This Row],[Period]]=4,OR(BUReporting[[#This Row],[Period]]=5,BUReporting[[#This Row],[Period]]=6))))),VLOOKUP(BUReporting[[#This Row],[Program]],'Program MW '!$A$12:$S$23,11,FALSE),VLOOKUP(BUReporting[[#This Row],[Program]],'Program MW '!$A$35:$S$46,11,FALSE))</f>
        <v>7855</v>
      </c>
      <c r="H48" s="449">
        <f>IF(OR(BUReporting[[#This Row],[Period]]=1,OR(BUReporting[[#This Row],[Period]]=2,OR(BUReporting[[#This Row],[Period]]=3,OR(BUReporting[[#This Row],[Period]]=4,OR(BUReporting[[#This Row],[Period]]=5,BUReporting[[#This Row],[Period]]=6))))),VLOOKUP(BUReporting[[#This Row],[Program]],'Program MW '!$A$12:$S$23,12,FALSE),VLOOKUP(BUReporting[[#This Row],[Program]],'Program MW '!$A$35:$S$46,12,FALSE))</f>
        <v>0</v>
      </c>
    </row>
    <row r="49" spans="1:8" ht="15.5" thickTop="1" thickBot="1">
      <c r="A49" s="438">
        <v>8</v>
      </c>
      <c r="B49" s="436" t="s">
        <v>23</v>
      </c>
      <c r="C49" s="451" t="s">
        <v>22</v>
      </c>
      <c r="D49" s="436" t="s">
        <v>9</v>
      </c>
      <c r="E49" s="439">
        <v>4</v>
      </c>
      <c r="F49" s="448" t="s">
        <v>30</v>
      </c>
      <c r="G49" s="437">
        <f>IF(OR(BUReporting[[#This Row],[Period]]=1,OR(BUReporting[[#This Row],[Period]]=2,OR(BUReporting[[#This Row],[Period]]=3,OR(BUReporting[[#This Row],[Period]]=4,OR(BUReporting[[#This Row],[Period]]=5,BUReporting[[#This Row],[Period]]=6))))),VLOOKUP(BUReporting[[#This Row],[Program]],'Program MW '!$A$12:$S$23,11,FALSE),VLOOKUP(BUReporting[[#This Row],[Program]],'Program MW '!$A$35:$S$46,11,FALSE))</f>
        <v>3184</v>
      </c>
      <c r="H49" s="449">
        <f>IF(OR(BUReporting[[#This Row],[Period]]=1,OR(BUReporting[[#This Row],[Period]]=2,OR(BUReporting[[#This Row],[Period]]=3,OR(BUReporting[[#This Row],[Period]]=4,OR(BUReporting[[#This Row],[Period]]=5,BUReporting[[#This Row],[Period]]=6))))),VLOOKUP(BUReporting[[#This Row],[Program]],'Program MW '!$A$12:$S$23,12,FALSE),VLOOKUP(BUReporting[[#This Row],[Program]],'Program MW '!$A$35:$S$46,12,FALSE))</f>
        <v>0.17300868959999999</v>
      </c>
    </row>
    <row r="50" spans="1:8" ht="15.5" thickTop="1" thickBot="1">
      <c r="A50" s="438">
        <v>9</v>
      </c>
      <c r="B50" s="436" t="s">
        <v>24</v>
      </c>
      <c r="C50" s="451"/>
      <c r="D50" s="436" t="s">
        <v>9</v>
      </c>
      <c r="E50" s="439">
        <v>4</v>
      </c>
      <c r="F50" s="448" t="s">
        <v>30</v>
      </c>
      <c r="G50" s="437">
        <f>IF(OR(BUReporting[[#This Row],[Period]]=1,OR(BUReporting[[#This Row],[Period]]=2,OR(BUReporting[[#This Row],[Period]]=3,OR(BUReporting[[#This Row],[Period]]=4,OR(BUReporting[[#This Row],[Period]]=5,BUReporting[[#This Row],[Period]]=6))))),VLOOKUP(BUReporting[[#This Row],[Program]],'Program MW '!$A$12:$S$23,11,FALSE),VLOOKUP(BUReporting[[#This Row],[Program]],'Program MW '!$A$35:$S$46,11,FALSE))</f>
        <v>0</v>
      </c>
      <c r="H50" s="449">
        <f>IF(OR(BUReporting[[#This Row],[Period]]=1,OR(BUReporting[[#This Row],[Period]]=2,OR(BUReporting[[#This Row],[Period]]=3,OR(BUReporting[[#This Row],[Period]]=4,OR(BUReporting[[#This Row],[Period]]=5,BUReporting[[#This Row],[Period]]=6))))),VLOOKUP(BUReporting[[#This Row],[Program]],'Program MW '!$A$12:$S$23,12,FALSE),VLOOKUP(BUReporting[[#This Row],[Program]],'Program MW '!$A$35:$S$46,12,FALSE))</f>
        <v>0</v>
      </c>
    </row>
    <row r="51" spans="1:8" ht="15.5" thickTop="1" thickBot="1">
      <c r="A51" s="438">
        <v>10</v>
      </c>
      <c r="B51" s="436" t="s">
        <v>25</v>
      </c>
      <c r="C51" s="451"/>
      <c r="D51" s="436" t="s">
        <v>9</v>
      </c>
      <c r="E51" s="439">
        <v>4</v>
      </c>
      <c r="F51" s="448" t="s">
        <v>30</v>
      </c>
      <c r="G51" s="437">
        <f>IF(OR(BUReporting[[#This Row],[Period]]=1,OR(BUReporting[[#This Row],[Period]]=2,OR(BUReporting[[#This Row],[Period]]=3,OR(BUReporting[[#This Row],[Period]]=4,OR(BUReporting[[#This Row],[Period]]=5,BUReporting[[#This Row],[Period]]=6))))),VLOOKUP(BUReporting[[#This Row],[Program]],'Program MW '!$A$12:$S$23,11,FALSE),VLOOKUP(BUReporting[[#This Row],[Program]],'Program MW '!$A$35:$S$46,11,FALSE))</f>
        <v>0</v>
      </c>
      <c r="H51" s="449">
        <f>IF(OR(BUReporting[[#This Row],[Period]]=1,OR(BUReporting[[#This Row],[Period]]=2,OR(BUReporting[[#This Row],[Period]]=3,OR(BUReporting[[#This Row],[Period]]=4,OR(BUReporting[[#This Row],[Period]]=5,BUReporting[[#This Row],[Period]]=6))))),VLOOKUP(BUReporting[[#This Row],[Program]],'Program MW '!$A$12:$S$23,12,FALSE),VLOOKUP(BUReporting[[#This Row],[Program]],'Program MW '!$A$35:$S$46,12,FALSE))</f>
        <v>0</v>
      </c>
    </row>
    <row r="52" spans="1:8" ht="15.5" thickTop="1" thickBot="1">
      <c r="A52" s="438">
        <v>11</v>
      </c>
      <c r="B52" s="436" t="s">
        <v>26</v>
      </c>
      <c r="C52" s="451"/>
      <c r="D52" s="436" t="s">
        <v>9</v>
      </c>
      <c r="E52" s="439">
        <v>4</v>
      </c>
      <c r="F52" s="448" t="s">
        <v>30</v>
      </c>
      <c r="G52" s="437">
        <f>IF(OR(BUReporting[[#This Row],[Period]]=1,OR(BUReporting[[#This Row],[Period]]=2,OR(BUReporting[[#This Row],[Period]]=3,OR(BUReporting[[#This Row],[Period]]=4,OR(BUReporting[[#This Row],[Period]]=5,BUReporting[[#This Row],[Period]]=6))))),VLOOKUP(BUReporting[[#This Row],[Program]],'Program MW '!$A$12:$S$23,11,FALSE),VLOOKUP(BUReporting[[#This Row],[Program]],'Program MW '!$A$35:$S$46,11,FALSE))</f>
        <v>112866</v>
      </c>
      <c r="H52" s="449">
        <f>IF(OR(BUReporting[[#This Row],[Period]]=1,OR(BUReporting[[#This Row],[Period]]=2,OR(BUReporting[[#This Row],[Period]]=3,OR(BUReporting[[#This Row],[Period]]=4,OR(BUReporting[[#This Row],[Period]]=5,BUReporting[[#This Row],[Period]]=6))))),VLOOKUP(BUReporting[[#This Row],[Program]],'Program MW '!$A$12:$S$23,12,FALSE),VLOOKUP(BUReporting[[#This Row],[Program]],'Program MW '!$A$35:$S$46,12,FALSE))</f>
        <v>1.5787632344663143</v>
      </c>
    </row>
    <row r="53" spans="1:8" ht="13.5" thickTop="1" thickBot="1">
      <c r="A53" s="438">
        <v>12</v>
      </c>
      <c r="B53" s="436" t="s">
        <v>27</v>
      </c>
      <c r="C53" s="435"/>
      <c r="D53" s="436" t="s">
        <v>19</v>
      </c>
      <c r="E53" s="439">
        <v>4</v>
      </c>
      <c r="F53" s="448" t="s">
        <v>30</v>
      </c>
      <c r="G53" s="437">
        <f>IF(OR(BUReporting[[#This Row],[Period]]=1,OR(BUReporting[[#This Row],[Period]]=2,OR(BUReporting[[#This Row],[Period]]=3,OR(BUReporting[[#This Row],[Period]]=4,OR(BUReporting[[#This Row],[Period]]=5,BUReporting[[#This Row],[Period]]=6))))),VLOOKUP(BUReporting[[#This Row],[Program]],'Program MW '!$A$12:$S$23,11,FALSE),VLOOKUP(BUReporting[[#This Row],[Program]],'Program MW '!$A$35:$S$46,11,FALSE))</f>
        <v>16037</v>
      </c>
      <c r="H53" s="449">
        <f>IF(OR(BUReporting[[#This Row],[Period]]=1,OR(BUReporting[[#This Row],[Period]]=2,OR(BUReporting[[#This Row],[Period]]=3,OR(BUReporting[[#This Row],[Period]]=4,OR(BUReporting[[#This Row],[Period]]=5,BUReporting[[#This Row],[Period]]=6))))),VLOOKUP(BUReporting[[#This Row],[Program]],'Program MW '!$A$12:$S$23,12,FALSE),VLOOKUP(BUReporting[[#This Row],[Program]],'Program MW '!$A$35:$S$46,12,FALSE))</f>
        <v>0.19338366127759218</v>
      </c>
    </row>
    <row r="54" spans="1:8" ht="15.5" thickTop="1" thickBot="1">
      <c r="A54" s="450">
        <v>0</v>
      </c>
      <c r="B54" s="85" t="s">
        <v>8</v>
      </c>
      <c r="C54" s="451"/>
      <c r="D54" s="441" t="s">
        <v>9</v>
      </c>
      <c r="E54" s="446">
        <v>5</v>
      </c>
      <c r="F54" s="447" t="s">
        <v>31</v>
      </c>
      <c r="G54" s="437">
        <f>IF(OR(BUReporting[[#This Row],[Period]]=1,OR(BUReporting[[#This Row],[Period]]=2,OR(BUReporting[[#This Row],[Period]]=2,OR(BUReporting[[#This Row],[Period]]=4,OR(BUReporting[[#This Row],[Period]]=5,BUReporting[[#This Row],[Period]]=6))))),VLOOKUP(BUReporting[[#This Row],[Program]],'Program MW '!$A$9:$S$9,14,FALSE),VLOOKUP(BUReporting[[#This Row],[Program]],'Program MW '!$A$32:$S$32,14,FALSE))</f>
        <v>4</v>
      </c>
      <c r="H54" s="449">
        <f>IF(OR(BUReporting[[#This Row],[Period]]=1,OR(BUReporting[[#This Row],[Period]]=2,OR(BUReporting[[#This Row],[Period]]=3,OR(BUReporting[[#This Row],[Period]]=4,OR(BUReporting[[#This Row],[Period]]=5,BUReporting[[#This Row],[Period]]=6))))),VLOOKUP(BUReporting[[#This Row],[Program]],'Program MW '!$A$9:$S$9,15,FALSE),VLOOKUP(BUReporting[[#This Row],[Program]],'Program MW '!$A$32:$S$32,15,FALSE))</f>
        <v>0.62296343994140624</v>
      </c>
    </row>
    <row r="55" spans="1:8" ht="15.5" thickTop="1" thickBot="1">
      <c r="A55" s="438">
        <v>1</v>
      </c>
      <c r="B55" s="436" t="s">
        <v>11</v>
      </c>
      <c r="C55" s="451"/>
      <c r="D55" s="436" t="s">
        <v>9</v>
      </c>
      <c r="E55" s="439">
        <v>5</v>
      </c>
      <c r="F55" s="448" t="s">
        <v>31</v>
      </c>
      <c r="G55" s="437">
        <f>IF(OR(BUReporting[[#This Row],[Period]]=1,OR(BUReporting[[#This Row],[Period]]=2,OR(BUReporting[[#This Row],[Period]]=3,OR(BUReporting[[#This Row],[Period]]=4,OR(BUReporting[[#This Row],[Period]]=5,BUReporting[[#This Row],[Period]]=6))))),VLOOKUP(BUReporting[[#This Row],[Program]],'Program MW '!$A$12:$S$23,14,FALSE),VLOOKUP(BUReporting[[#This Row],[Program]],'Program MW '!$A$35:$S$46,14,FALSE))</f>
        <v>14178</v>
      </c>
      <c r="H55" s="449">
        <f>IF(OR(BUReporting[[#This Row],[Period]]=1,OR(BUReporting[[#This Row],[Period]]=2,OR(BUReporting[[#This Row],[Period]]=3,OR(BUReporting[[#This Row],[Period]]=4,OR(BUReporting[[#This Row],[Period]]=5,BUReporting[[#This Row],[Period]]=6))))),VLOOKUP(BUReporting[[#This Row],[Program]],'Program MW '!$A$12:$S$23,15,FALSE),VLOOKUP(BUReporting[[#This Row],[Program]],'Program MW '!$A$35:$S$46,15,FALSE))</f>
        <v>1.9550086733999998</v>
      </c>
    </row>
    <row r="56" spans="1:8" ht="15.5" thickTop="1" thickBot="1">
      <c r="A56" s="438">
        <v>2</v>
      </c>
      <c r="B56" s="436" t="s">
        <v>12</v>
      </c>
      <c r="C56" s="451" t="s">
        <v>13</v>
      </c>
      <c r="D56" s="436" t="s">
        <v>9</v>
      </c>
      <c r="E56" s="439">
        <v>5</v>
      </c>
      <c r="F56" s="448" t="s">
        <v>31</v>
      </c>
      <c r="G56" s="437" t="e">
        <f>IF(OR(BUReporting[[#This Row],[Period]]=1,OR(BUReporting[[#This Row],[Period]]=2,OR(BUReporting[[#This Row],[Period]]=3,OR(BUReporting[[#This Row],[Period]]=4,OR(BUReporting[[#This Row],[Period]]=5,BUReporting[[#This Row],[Period]]=6))))),VLOOKUP(BUReporting[[#This Row],[Program]],'Program MW '!$A$12:$S$23,14,FALSE),VLOOKUP(BUReporting[[#This Row],[Program]],'Program MW '!$A$35:$S$46,14,FALSE))</f>
        <v>#N/A</v>
      </c>
      <c r="H56" s="449" t="e">
        <f>IF(OR(BUReporting[[#This Row],[Period]]=1,OR(BUReporting[[#This Row],[Period]]=2,OR(BUReporting[[#This Row],[Period]]=3,OR(BUReporting[[#This Row],[Period]]=4,OR(BUReporting[[#This Row],[Period]]=5,BUReporting[[#This Row],[Period]]=6))))),VLOOKUP(BUReporting[[#This Row],[Program]],'Program MW '!$A$12:$S$23,15,FALSE),VLOOKUP(BUReporting[[#This Row],[Program]],'Program MW '!$A$35:$S$46,15,FALSE))</f>
        <v>#N/A</v>
      </c>
    </row>
    <row r="57" spans="1:8" ht="15.5" thickTop="1" thickBot="1">
      <c r="A57" s="438">
        <v>3</v>
      </c>
      <c r="B57" s="436" t="s">
        <v>14</v>
      </c>
      <c r="C57" s="451"/>
      <c r="D57" s="436" t="s">
        <v>9</v>
      </c>
      <c r="E57" s="439">
        <v>5</v>
      </c>
      <c r="F57" s="448" t="s">
        <v>31</v>
      </c>
      <c r="G57" s="437" t="e">
        <f>IF(OR(BUReporting[[#This Row],[Period]]=1,OR(BUReporting[[#This Row],[Period]]=2,OR(BUReporting[[#This Row],[Period]]=3,OR(BUReporting[[#This Row],[Period]]=4,OR(BUReporting[[#This Row],[Period]]=5,BUReporting[[#This Row],[Period]]=6))))),VLOOKUP(BUReporting[[#This Row],[Program]],'Program MW '!$A$12:$S$23,14,FALSE),VLOOKUP(BUReporting[[#This Row],[Program]],'Program MW '!$A$35:$S$46,14,FALSE))</f>
        <v>#N/A</v>
      </c>
      <c r="H57" s="449" t="e">
        <f>IF(OR(BUReporting[[#This Row],[Period]]=1,OR(BUReporting[[#This Row],[Period]]=2,OR(BUReporting[[#This Row],[Period]]=3,OR(BUReporting[[#This Row],[Period]]=4,OR(BUReporting[[#This Row],[Period]]=5,BUReporting[[#This Row],[Period]]=6))))),VLOOKUP(BUReporting[[#This Row],[Program]],'Program MW '!$A$12:$S$23,15,FALSE),VLOOKUP(BUReporting[[#This Row],[Program]],'Program MW '!$A$35:$S$46,15,FALSE))</f>
        <v>#N/A</v>
      </c>
    </row>
    <row r="58" spans="1:8" ht="15.5" thickTop="1" thickBot="1">
      <c r="A58" s="438">
        <v>4</v>
      </c>
      <c r="B58" s="436" t="s">
        <v>15</v>
      </c>
      <c r="C58" s="451" t="s">
        <v>16</v>
      </c>
      <c r="D58" s="436" t="s">
        <v>9</v>
      </c>
      <c r="E58" s="439">
        <v>5</v>
      </c>
      <c r="F58" s="448" t="s">
        <v>31</v>
      </c>
      <c r="G58" s="437" t="e">
        <f>IF(OR(BUReporting[[#This Row],[Period]]=1,OR(BUReporting[[#This Row],[Period]]=2,OR(BUReporting[[#This Row],[Period]]=3,OR(BUReporting[[#This Row],[Period]]=4,OR(BUReporting[[#This Row],[Period]]=5,BUReporting[[#This Row],[Period]]=6))))),VLOOKUP(BUReporting[[#This Row],[Program]],'Program MW '!$A$12:$S$23,14,FALSE),VLOOKUP(BUReporting[[#This Row],[Program]],'Program MW '!$A$35:$S$46,14,FALSE))</f>
        <v>#N/A</v>
      </c>
      <c r="H58" s="449" t="e">
        <f>IF(OR(BUReporting[[#This Row],[Period]]=1,OR(BUReporting[[#This Row],[Period]]=2,OR(BUReporting[[#This Row],[Period]]=3,OR(BUReporting[[#This Row],[Period]]=4,OR(BUReporting[[#This Row],[Period]]=5,BUReporting[[#This Row],[Period]]=6))))),VLOOKUP(BUReporting[[#This Row],[Program]],'Program MW '!$A$12:$S$23,15,FALSE),VLOOKUP(BUReporting[[#This Row],[Program]],'Program MW '!$A$35:$S$46,15,FALSE))</f>
        <v>#N/A</v>
      </c>
    </row>
    <row r="59" spans="1:8" ht="15.5" thickTop="1" thickBot="1">
      <c r="A59" s="438">
        <v>5</v>
      </c>
      <c r="B59" s="436" t="s">
        <v>17</v>
      </c>
      <c r="C59" s="451" t="s">
        <v>18</v>
      </c>
      <c r="D59" s="436" t="s">
        <v>19</v>
      </c>
      <c r="E59" s="439">
        <v>5</v>
      </c>
      <c r="F59" s="448" t="s">
        <v>31</v>
      </c>
      <c r="G59" s="437">
        <f>IF(OR(BUReporting[[#This Row],[Period]]=1,OR(BUReporting[[#This Row],[Period]]=2,OR(BUReporting[[#This Row],[Period]]=3,OR(BUReporting[[#This Row],[Period]]=4,OR(BUReporting[[#This Row],[Period]]=5,BUReporting[[#This Row],[Period]]=6))))),VLOOKUP(BUReporting[[#This Row],[Program]],'Program MW '!$A$12:$S$23,14,FALSE),VLOOKUP(BUReporting[[#This Row],[Program]],'Program MW '!$A$35:$S$46,14,FALSE))</f>
        <v>15648</v>
      </c>
      <c r="H59" s="449">
        <f>IF(OR(BUReporting[[#This Row],[Period]]=1,OR(BUReporting[[#This Row],[Period]]=2,OR(BUReporting[[#This Row],[Period]]=3,OR(BUReporting[[#This Row],[Period]]=4,OR(BUReporting[[#This Row],[Period]]=5,BUReporting[[#This Row],[Period]]=6))))),VLOOKUP(BUReporting[[#This Row],[Program]],'Program MW '!$A$12:$S$23,15,FALSE),VLOOKUP(BUReporting[[#This Row],[Program]],'Program MW '!$A$35:$S$46,15,FALSE))</f>
        <v>2.1029281368255615</v>
      </c>
    </row>
    <row r="60" spans="1:8" ht="15.5" thickTop="1" thickBot="1">
      <c r="A60" s="438">
        <v>6</v>
      </c>
      <c r="B60" s="436" t="s">
        <v>20</v>
      </c>
      <c r="C60" s="451" t="s">
        <v>18</v>
      </c>
      <c r="D60" s="436" t="s">
        <v>9</v>
      </c>
      <c r="E60" s="439">
        <v>5</v>
      </c>
      <c r="F60" s="448" t="s">
        <v>31</v>
      </c>
      <c r="G60" s="437">
        <f>IF(OR(BUReporting[[#This Row],[Period]]=1,OR(BUReporting[[#This Row],[Period]]=2,OR(BUReporting[[#This Row],[Period]]=3,OR(BUReporting[[#This Row],[Period]]=4,OR(BUReporting[[#This Row],[Period]]=5,BUReporting[[#This Row],[Period]]=6))))),VLOOKUP(BUReporting[[#This Row],[Program]],'Program MW '!$A$12:$S$23,14,FALSE),VLOOKUP(BUReporting[[#This Row],[Program]],'Program MW '!$A$35:$S$46,14,FALSE))</f>
        <v>972</v>
      </c>
      <c r="H60" s="449">
        <f>IF(OR(BUReporting[[#This Row],[Period]]=1,OR(BUReporting[[#This Row],[Period]]=2,OR(BUReporting[[#This Row],[Period]]=3,OR(BUReporting[[#This Row],[Period]]=4,OR(BUReporting[[#This Row],[Period]]=5,BUReporting[[#This Row],[Period]]=6))))),VLOOKUP(BUReporting[[#This Row],[Program]],'Program MW '!$A$12:$S$23,15,FALSE),VLOOKUP(BUReporting[[#This Row],[Program]],'Program MW '!$A$35:$S$46,15,FALSE))</f>
        <v>0.26925267112255097</v>
      </c>
    </row>
    <row r="61" spans="1:8" ht="15.5" thickTop="1" thickBot="1">
      <c r="A61" s="438">
        <v>7</v>
      </c>
      <c r="B61" s="436" t="s">
        <v>21</v>
      </c>
      <c r="C61" s="451" t="s">
        <v>22</v>
      </c>
      <c r="D61" s="436" t="s">
        <v>19</v>
      </c>
      <c r="E61" s="439">
        <v>5</v>
      </c>
      <c r="F61" s="448" t="s">
        <v>31</v>
      </c>
      <c r="G61" s="437">
        <f>IF(OR(BUReporting[[#This Row],[Period]]=1,OR(BUReporting[[#This Row],[Period]]=2,OR(BUReporting[[#This Row],[Period]]=3,OR(BUReporting[[#This Row],[Period]]=4,OR(BUReporting[[#This Row],[Period]]=5,BUReporting[[#This Row],[Period]]=6))))),VLOOKUP(BUReporting[[#This Row],[Program]],'Program MW '!$A$12:$S$23,14,FALSE),VLOOKUP(BUReporting[[#This Row],[Program]],'Program MW '!$A$35:$S$46,14,FALSE))</f>
        <v>8179</v>
      </c>
      <c r="H61" s="449">
        <f>IF(OR(BUReporting[[#This Row],[Period]]=1,OR(BUReporting[[#This Row],[Period]]=2,OR(BUReporting[[#This Row],[Period]]=3,OR(BUReporting[[#This Row],[Period]]=4,OR(BUReporting[[#This Row],[Period]]=5,BUReporting[[#This Row],[Period]]=6))))),VLOOKUP(BUReporting[[#This Row],[Program]],'Program MW '!$A$12:$S$23,15,FALSE),VLOOKUP(BUReporting[[#This Row],[Program]],'Program MW '!$A$35:$S$46,15,FALSE))</f>
        <v>0.2733356368</v>
      </c>
    </row>
    <row r="62" spans="1:8" ht="15.5" thickTop="1" thickBot="1">
      <c r="A62" s="438">
        <v>8</v>
      </c>
      <c r="B62" s="436" t="s">
        <v>23</v>
      </c>
      <c r="C62" s="451" t="s">
        <v>22</v>
      </c>
      <c r="D62" s="436" t="s">
        <v>9</v>
      </c>
      <c r="E62" s="439">
        <v>5</v>
      </c>
      <c r="F62" s="448" t="s">
        <v>31</v>
      </c>
      <c r="G62" s="437">
        <f>IF(OR(BUReporting[[#This Row],[Period]]=1,OR(BUReporting[[#This Row],[Period]]=2,OR(BUReporting[[#This Row],[Period]]=3,OR(BUReporting[[#This Row],[Period]]=4,OR(BUReporting[[#This Row],[Period]]=5,BUReporting[[#This Row],[Period]]=6))))),VLOOKUP(BUReporting[[#This Row],[Program]],'Program MW '!$A$12:$S$23,14,FALSE),VLOOKUP(BUReporting[[#This Row],[Program]],'Program MW '!$A$35:$S$46,14,FALSE))</f>
        <v>3039</v>
      </c>
      <c r="H62" s="449">
        <f>IF(OR(BUReporting[[#This Row],[Period]]=1,OR(BUReporting[[#This Row],[Period]]=2,OR(BUReporting[[#This Row],[Period]]=3,OR(BUReporting[[#This Row],[Period]]=4,OR(BUReporting[[#This Row],[Period]]=5,BUReporting[[#This Row],[Period]]=6))))),VLOOKUP(BUReporting[[#This Row],[Program]],'Program MW '!$A$12:$S$23,15,FALSE),VLOOKUP(BUReporting[[#This Row],[Program]],'Program MW '!$A$35:$S$46,15,FALSE))</f>
        <v>0.23546111219999999</v>
      </c>
    </row>
    <row r="63" spans="1:8" ht="15.5" thickTop="1" thickBot="1">
      <c r="A63" s="438">
        <v>9</v>
      </c>
      <c r="B63" s="436" t="s">
        <v>24</v>
      </c>
      <c r="C63" s="451"/>
      <c r="D63" s="436" t="s">
        <v>9</v>
      </c>
      <c r="E63" s="439">
        <v>5</v>
      </c>
      <c r="F63" s="448" t="s">
        <v>31</v>
      </c>
      <c r="G63" s="437">
        <f>IF(OR(BUReporting[[#This Row],[Period]]=1,OR(BUReporting[[#This Row],[Period]]=2,OR(BUReporting[[#This Row],[Period]]=3,OR(BUReporting[[#This Row],[Period]]=4,OR(BUReporting[[#This Row],[Period]]=5,BUReporting[[#This Row],[Period]]=6))))),VLOOKUP(BUReporting[[#This Row],[Program]],'Program MW '!$A$12:$S$23,14,FALSE),VLOOKUP(BUReporting[[#This Row],[Program]],'Program MW '!$A$35:$S$46,14,FALSE))</f>
        <v>9</v>
      </c>
      <c r="H63" s="449">
        <f>IF(OR(BUReporting[[#This Row],[Period]]=1,OR(BUReporting[[#This Row],[Period]]=2,OR(BUReporting[[#This Row],[Period]]=3,OR(BUReporting[[#This Row],[Period]]=4,OR(BUReporting[[#This Row],[Period]]=5,BUReporting[[#This Row],[Period]]=6))))),VLOOKUP(BUReporting[[#This Row],[Program]],'Program MW '!$A$12:$S$23,15,FALSE),VLOOKUP(BUReporting[[#This Row],[Program]],'Program MW '!$A$35:$S$46,15,FALSE))</f>
        <v>0.16829999999999998</v>
      </c>
    </row>
    <row r="64" spans="1:8" ht="15.5" thickTop="1" thickBot="1">
      <c r="A64" s="438">
        <v>10</v>
      </c>
      <c r="B64" s="436" t="s">
        <v>25</v>
      </c>
      <c r="C64" s="451"/>
      <c r="D64" s="436" t="s">
        <v>9</v>
      </c>
      <c r="E64" s="439">
        <v>5</v>
      </c>
      <c r="F64" s="448" t="s">
        <v>31</v>
      </c>
      <c r="G64" s="437">
        <f>IF(OR(BUReporting[[#This Row],[Period]]=1,OR(BUReporting[[#This Row],[Period]]=2,OR(BUReporting[[#This Row],[Period]]=3,OR(BUReporting[[#This Row],[Period]]=4,OR(BUReporting[[#This Row],[Period]]=5,BUReporting[[#This Row],[Period]]=6))))),VLOOKUP(BUReporting[[#This Row],[Program]],'Program MW '!$A$12:$S$23,14,FALSE),VLOOKUP(BUReporting[[#This Row],[Program]],'Program MW '!$A$35:$S$46,14,FALSE))</f>
        <v>170</v>
      </c>
      <c r="H64" s="449">
        <f>IF(OR(BUReporting[[#This Row],[Period]]=1,OR(BUReporting[[#This Row],[Period]]=2,OR(BUReporting[[#This Row],[Period]]=3,OR(BUReporting[[#This Row],[Period]]=4,OR(BUReporting[[#This Row],[Period]]=5,BUReporting[[#This Row],[Period]]=6))))),VLOOKUP(BUReporting[[#This Row],[Program]],'Program MW '!$A$12:$S$23,15,FALSE),VLOOKUP(BUReporting[[#This Row],[Program]],'Program MW '!$A$35:$S$46,15,FALSE))</f>
        <v>2.8929656335198746</v>
      </c>
    </row>
    <row r="65" spans="1:8" ht="15.5" thickTop="1" thickBot="1">
      <c r="A65" s="438">
        <v>11</v>
      </c>
      <c r="B65" s="436" t="s">
        <v>26</v>
      </c>
      <c r="C65" s="451"/>
      <c r="D65" s="436" t="s">
        <v>9</v>
      </c>
      <c r="E65" s="439">
        <v>5</v>
      </c>
      <c r="F65" s="448" t="s">
        <v>31</v>
      </c>
      <c r="G65" s="437">
        <f>IF(OR(BUReporting[[#This Row],[Period]]=1,OR(BUReporting[[#This Row],[Period]]=2,OR(BUReporting[[#This Row],[Period]]=3,OR(BUReporting[[#This Row],[Period]]=4,OR(BUReporting[[#This Row],[Period]]=5,BUReporting[[#This Row],[Period]]=6))))),VLOOKUP(BUReporting[[#This Row],[Program]],'Program MW '!$A$12:$S$23,14,FALSE),VLOOKUP(BUReporting[[#This Row],[Program]],'Program MW '!$A$35:$S$46,14,FALSE))</f>
        <v>112745</v>
      </c>
      <c r="H65" s="449">
        <f>IF(OR(BUReporting[[#This Row],[Period]]=1,OR(BUReporting[[#This Row],[Period]]=2,OR(BUReporting[[#This Row],[Period]]=3,OR(BUReporting[[#This Row],[Period]]=4,OR(BUReporting[[#This Row],[Period]]=5,BUReporting[[#This Row],[Period]]=6))))),VLOOKUP(BUReporting[[#This Row],[Program]],'Program MW '!$A$12:$S$23,15,FALSE),VLOOKUP(BUReporting[[#This Row],[Program]],'Program MW '!$A$35:$S$46,15,FALSE))</f>
        <v>1.6670737564750016</v>
      </c>
    </row>
    <row r="66" spans="1:8" ht="13.5" thickTop="1" thickBot="1">
      <c r="A66" s="438">
        <v>12</v>
      </c>
      <c r="B66" s="436" t="s">
        <v>27</v>
      </c>
      <c r="C66" s="435"/>
      <c r="D66" s="436" t="s">
        <v>19</v>
      </c>
      <c r="E66" s="439">
        <v>5</v>
      </c>
      <c r="F66" s="448" t="s">
        <v>31</v>
      </c>
      <c r="G66" s="437">
        <f>IF(OR(BUReporting[[#This Row],[Period]]=1,OR(BUReporting[[#This Row],[Period]]=2,OR(BUReporting[[#This Row],[Period]]=3,OR(BUReporting[[#This Row],[Period]]=4,OR(BUReporting[[#This Row],[Period]]=5,BUReporting[[#This Row],[Period]]=6))))),VLOOKUP(BUReporting[[#This Row],[Program]],'Program MW '!$A$12:$S$23,14,FALSE),VLOOKUP(BUReporting[[#This Row],[Program]],'Program MW '!$A$35:$S$46,14,FALSE))</f>
        <v>16135</v>
      </c>
      <c r="H66" s="449">
        <f>IF(OR(BUReporting[[#This Row],[Period]]=1,OR(BUReporting[[#This Row],[Period]]=2,OR(BUReporting[[#This Row],[Period]]=3,OR(BUReporting[[#This Row],[Period]]=4,OR(BUReporting[[#This Row],[Period]]=5,BUReporting[[#This Row],[Period]]=6))))),VLOOKUP(BUReporting[[#This Row],[Program]],'Program MW '!$A$12:$S$23,15,FALSE),VLOOKUP(BUReporting[[#This Row],[Program]],'Program MW '!$A$35:$S$46,15,FALSE))</f>
        <v>0.31780898060649632</v>
      </c>
    </row>
    <row r="67" spans="1:8" ht="15.5" thickTop="1" thickBot="1">
      <c r="A67" s="450">
        <v>0</v>
      </c>
      <c r="B67" s="85" t="s">
        <v>8</v>
      </c>
      <c r="C67" s="451"/>
      <c r="D67" s="441" t="s">
        <v>9</v>
      </c>
      <c r="E67" s="446">
        <v>6</v>
      </c>
      <c r="F67" s="447" t="s">
        <v>32</v>
      </c>
      <c r="G67" s="437">
        <f>IF(OR(BUReporting[[#This Row],[Period]]=1,OR(BUReporting[[#This Row],[Period]]=2,OR(BUReporting[[#This Row],[Period]]=2,OR(BUReporting[[#This Row],[Period]]=4,OR(BUReporting[[#This Row],[Period]]=5,BUReporting[[#This Row],[Period]]=6))))),VLOOKUP(BUReporting[[#This Row],[Program]],'Program MW '!$A$9:$S$9,17,FALSE),VLOOKUP(BUReporting[[#This Row],[Program]],'Program MW '!$A$32:$S$32,17,FALSE))</f>
        <v>4</v>
      </c>
      <c r="H67" s="449">
        <f>IF(OR(BUReporting[[#This Row],[Period]]=1,OR(BUReporting[[#This Row],[Period]]=2,OR(BUReporting[[#This Row],[Period]]=3,OR(BUReporting[[#This Row],[Period]]=4,OR(BUReporting[[#This Row],[Period]]=5,BUReporting[[#This Row],[Period]]=6))))),VLOOKUP(BUReporting[[#This Row],[Program]],'Program MW '!$A$9:$S$9,18,FALSE),VLOOKUP(BUReporting[[#This Row],[Program]],'Program MW '!$A$32:$S$32,18,FALSE))</f>
        <v>0.76944903564453127</v>
      </c>
    </row>
    <row r="68" spans="1:8" ht="15.5" thickTop="1" thickBot="1">
      <c r="A68" s="438">
        <v>1</v>
      </c>
      <c r="B68" s="436" t="s">
        <v>11</v>
      </c>
      <c r="C68" s="451"/>
      <c r="D68" s="436" t="s">
        <v>9</v>
      </c>
      <c r="E68" s="439">
        <v>6</v>
      </c>
      <c r="F68" s="448" t="s">
        <v>32</v>
      </c>
      <c r="G68" s="437">
        <f>IF(OR(BUReporting[[#This Row],[Period]]=1,OR(BUReporting[[#This Row],[Period]]=2,OR(BUReporting[[#This Row],[Period]]=3,OR(BUReporting[[#This Row],[Period]]=4,OR(BUReporting[[#This Row],[Period]]=5,BUReporting[[#This Row],[Period]]=6))))),VLOOKUP(BUReporting[[#This Row],[Program]],'Program MW '!$A$12:$S$23,17,FALSE),VLOOKUP(BUReporting[[#This Row],[Program]],'Program MW '!$A$35:$S$46,17,FALSE))</f>
        <v>14095</v>
      </c>
      <c r="H68" s="449">
        <f>IF(OR(BUReporting[[#This Row],[Period]]=1,OR(BUReporting[[#This Row],[Period]]=2,OR(BUReporting[[#This Row],[Period]]=3,OR(BUReporting[[#This Row],[Period]]=4,OR(BUReporting[[#This Row],[Period]]=5,BUReporting[[#This Row],[Period]]=6))))),VLOOKUP(BUReporting[[#This Row],[Program]],'Program MW '!$A$12:$S$23,18,FALSE),VLOOKUP(BUReporting[[#This Row],[Program]],'Program MW '!$A$35:$S$46,18,FALSE))</f>
        <v>1.9500192885000003</v>
      </c>
    </row>
    <row r="69" spans="1:8" ht="15.5" thickTop="1" thickBot="1">
      <c r="A69" s="438">
        <v>2</v>
      </c>
      <c r="B69" s="436" t="s">
        <v>12</v>
      </c>
      <c r="C69" s="451" t="s">
        <v>13</v>
      </c>
      <c r="D69" s="436" t="s">
        <v>9</v>
      </c>
      <c r="E69" s="439">
        <v>6</v>
      </c>
      <c r="F69" s="448" t="s">
        <v>32</v>
      </c>
      <c r="G69" s="437" t="e">
        <f>IF(OR(BUReporting[[#This Row],[Period]]=1,OR(BUReporting[[#This Row],[Period]]=2,OR(BUReporting[[#This Row],[Period]]=3,OR(BUReporting[[#This Row],[Period]]=4,OR(BUReporting[[#This Row],[Period]]=5,BUReporting[[#This Row],[Period]]=6))))),VLOOKUP(BUReporting[[#This Row],[Program]],'Program MW '!$A$12:$S$23,17,FALSE),VLOOKUP(BUReporting[[#This Row],[Program]],'Program MW '!$A$35:$S$46,17,FALSE))</f>
        <v>#N/A</v>
      </c>
      <c r="H69" s="449" t="e">
        <f>IF(OR(BUReporting[[#This Row],[Period]]=1,OR(BUReporting[[#This Row],[Period]]=2,OR(BUReporting[[#This Row],[Period]]=3,OR(BUReporting[[#This Row],[Period]]=4,OR(BUReporting[[#This Row],[Period]]=5,BUReporting[[#This Row],[Period]]=6))))),VLOOKUP(BUReporting[[#This Row],[Program]],'Program MW '!$A$12:$S$23,18,FALSE),VLOOKUP(BUReporting[[#This Row],[Program]],'Program MW '!$A$35:$S$46,18,FALSE))</f>
        <v>#N/A</v>
      </c>
    </row>
    <row r="70" spans="1:8" ht="15.5" thickTop="1" thickBot="1">
      <c r="A70" s="438">
        <v>3</v>
      </c>
      <c r="B70" s="436" t="s">
        <v>14</v>
      </c>
      <c r="C70" s="451"/>
      <c r="D70" s="436" t="s">
        <v>9</v>
      </c>
      <c r="E70" s="439">
        <v>6</v>
      </c>
      <c r="F70" s="448" t="s">
        <v>32</v>
      </c>
      <c r="G70" s="437" t="e">
        <f>IF(OR(BUReporting[[#This Row],[Period]]=1,OR(BUReporting[[#This Row],[Period]]=2,OR(BUReporting[[#This Row],[Period]]=3,OR(BUReporting[[#This Row],[Period]]=4,OR(BUReporting[[#This Row],[Period]]=5,BUReporting[[#This Row],[Period]]=6))))),VLOOKUP(BUReporting[[#This Row],[Program]],'Program MW '!$A$12:$S$23,17,FALSE),VLOOKUP(BUReporting[[#This Row],[Program]],'Program MW '!$A$35:$S$46,17,FALSE))</f>
        <v>#N/A</v>
      </c>
      <c r="H70" s="449" t="e">
        <f>IF(OR(BUReporting[[#This Row],[Period]]=1,OR(BUReporting[[#This Row],[Period]]=2,OR(BUReporting[[#This Row],[Period]]=3,OR(BUReporting[[#This Row],[Period]]=4,OR(BUReporting[[#This Row],[Period]]=5,BUReporting[[#This Row],[Period]]=6))))),VLOOKUP(BUReporting[[#This Row],[Program]],'Program MW '!$A$12:$S$23,18,FALSE),VLOOKUP(BUReporting[[#This Row],[Program]],'Program MW '!$A$35:$S$46,18,FALSE))</f>
        <v>#N/A</v>
      </c>
    </row>
    <row r="71" spans="1:8" ht="15.5" thickTop="1" thickBot="1">
      <c r="A71" s="438">
        <v>4</v>
      </c>
      <c r="B71" s="436" t="s">
        <v>15</v>
      </c>
      <c r="C71" s="451" t="s">
        <v>16</v>
      </c>
      <c r="D71" s="436" t="s">
        <v>9</v>
      </c>
      <c r="E71" s="439">
        <v>6</v>
      </c>
      <c r="F71" s="448" t="s">
        <v>32</v>
      </c>
      <c r="G71" s="437" t="e">
        <f>IF(OR(BUReporting[[#This Row],[Period]]=1,OR(BUReporting[[#This Row],[Period]]=2,OR(BUReporting[[#This Row],[Period]]=3,OR(BUReporting[[#This Row],[Period]]=4,OR(BUReporting[[#This Row],[Period]]=5,BUReporting[[#This Row],[Period]]=6))))),VLOOKUP(BUReporting[[#This Row],[Program]],'Program MW '!$A$12:$S$23,17,FALSE),VLOOKUP(BUReporting[[#This Row],[Program]],'Program MW '!$A$35:$S$46,17,FALSE))</f>
        <v>#N/A</v>
      </c>
      <c r="H71" s="449" t="e">
        <f>IF(OR(BUReporting[[#This Row],[Period]]=1,OR(BUReporting[[#This Row],[Period]]=2,OR(BUReporting[[#This Row],[Period]]=3,OR(BUReporting[[#This Row],[Period]]=4,OR(BUReporting[[#This Row],[Period]]=5,BUReporting[[#This Row],[Period]]=6))))),VLOOKUP(BUReporting[[#This Row],[Program]],'Program MW '!$A$12:$S$23,18,FALSE),VLOOKUP(BUReporting[[#This Row],[Program]],'Program MW '!$A$35:$S$46,18,FALSE))</f>
        <v>#N/A</v>
      </c>
    </row>
    <row r="72" spans="1:8" ht="15.5" thickTop="1" thickBot="1">
      <c r="A72" s="438">
        <v>5</v>
      </c>
      <c r="B72" s="436" t="s">
        <v>17</v>
      </c>
      <c r="C72" s="451" t="s">
        <v>18</v>
      </c>
      <c r="D72" s="436" t="s">
        <v>19</v>
      </c>
      <c r="E72" s="439">
        <v>6</v>
      </c>
      <c r="F72" s="448" t="s">
        <v>32</v>
      </c>
      <c r="G72" s="437">
        <f>IF(OR(BUReporting[[#This Row],[Period]]=1,OR(BUReporting[[#This Row],[Period]]=2,OR(BUReporting[[#This Row],[Period]]=3,OR(BUReporting[[#This Row],[Period]]=4,OR(BUReporting[[#This Row],[Period]]=5,BUReporting[[#This Row],[Period]]=6))))),VLOOKUP(BUReporting[[#This Row],[Program]],'Program MW '!$A$12:$S$23,17,FALSE),VLOOKUP(BUReporting[[#This Row],[Program]],'Program MW '!$A$35:$S$46,17,FALSE))</f>
        <v>14944</v>
      </c>
      <c r="H72" s="449">
        <f>IF(OR(BUReporting[[#This Row],[Period]]=1,OR(BUReporting[[#This Row],[Period]]=2,OR(BUReporting[[#This Row],[Period]]=3,OR(BUReporting[[#This Row],[Period]]=4,OR(BUReporting[[#This Row],[Period]]=5,BUReporting[[#This Row],[Period]]=6))))),VLOOKUP(BUReporting[[#This Row],[Program]],'Program MW '!$A$12:$S$23,18,FALSE),VLOOKUP(BUReporting[[#This Row],[Program]],'Program MW '!$A$35:$S$46,18,FALSE))</f>
        <v>1.7535013246536255</v>
      </c>
    </row>
    <row r="73" spans="1:8" ht="15.5" thickTop="1" thickBot="1">
      <c r="A73" s="438">
        <v>6</v>
      </c>
      <c r="B73" s="436" t="s">
        <v>20</v>
      </c>
      <c r="C73" s="451" t="s">
        <v>18</v>
      </c>
      <c r="D73" s="436" t="s">
        <v>9</v>
      </c>
      <c r="E73" s="439">
        <v>6</v>
      </c>
      <c r="F73" s="448" t="s">
        <v>32</v>
      </c>
      <c r="G73" s="437">
        <f>IF(OR(BUReporting[[#This Row],[Period]]=1,OR(BUReporting[[#This Row],[Period]]=2,OR(BUReporting[[#This Row],[Period]]=3,OR(BUReporting[[#This Row],[Period]]=4,OR(BUReporting[[#This Row],[Period]]=5,BUReporting[[#This Row],[Period]]=6))))),VLOOKUP(BUReporting[[#This Row],[Program]],'Program MW '!$A$12:$S$23,17,FALSE),VLOOKUP(BUReporting[[#This Row],[Program]],'Program MW '!$A$35:$S$46,17,FALSE))</f>
        <v>980</v>
      </c>
      <c r="H73" s="449">
        <f>IF(OR(BUReporting[[#This Row],[Period]]=1,OR(BUReporting[[#This Row],[Period]]=2,OR(BUReporting[[#This Row],[Period]]=3,OR(BUReporting[[#This Row],[Period]]=4,OR(BUReporting[[#This Row],[Period]]=5,BUReporting[[#This Row],[Period]]=6))))),VLOOKUP(BUReporting[[#This Row],[Program]],'Program MW '!$A$12:$S$23,18,FALSE),VLOOKUP(BUReporting[[#This Row],[Program]],'Program MW '!$A$35:$S$46,18,FALSE))</f>
        <v>0.25252178430557248</v>
      </c>
    </row>
    <row r="74" spans="1:8" ht="15.5" thickTop="1" thickBot="1">
      <c r="A74" s="438">
        <v>7</v>
      </c>
      <c r="B74" s="436" t="s">
        <v>21</v>
      </c>
      <c r="C74" s="451" t="s">
        <v>22</v>
      </c>
      <c r="D74" s="436" t="s">
        <v>19</v>
      </c>
      <c r="E74" s="439">
        <v>6</v>
      </c>
      <c r="F74" s="448" t="s">
        <v>32</v>
      </c>
      <c r="G74" s="437">
        <f>IF(OR(BUReporting[[#This Row],[Period]]=1,OR(BUReporting[[#This Row],[Period]]=2,OR(BUReporting[[#This Row],[Period]]=3,OR(BUReporting[[#This Row],[Period]]=4,OR(BUReporting[[#This Row],[Period]]=5,BUReporting[[#This Row],[Period]]=6))))),VLOOKUP(BUReporting[[#This Row],[Program]],'Program MW '!$A$12:$S$23,17,FALSE),VLOOKUP(BUReporting[[#This Row],[Program]],'Program MW '!$A$35:$S$46,17,FALSE))</f>
        <v>7938</v>
      </c>
      <c r="H74" s="449">
        <f>IF(OR(BUReporting[[#This Row],[Period]]=1,OR(BUReporting[[#This Row],[Period]]=2,OR(BUReporting[[#This Row],[Period]]=3,OR(BUReporting[[#This Row],[Period]]=4,OR(BUReporting[[#This Row],[Period]]=5,BUReporting[[#This Row],[Period]]=6))))),VLOOKUP(BUReporting[[#This Row],[Program]],'Program MW '!$A$12:$S$23,18,FALSE),VLOOKUP(BUReporting[[#This Row],[Program]],'Program MW '!$A$35:$S$46,18,FALSE))</f>
        <v>2.34337698E-2</v>
      </c>
    </row>
    <row r="75" spans="1:8" ht="15.5" thickTop="1" thickBot="1">
      <c r="A75" s="438">
        <v>8</v>
      </c>
      <c r="B75" s="436" t="s">
        <v>23</v>
      </c>
      <c r="C75" s="451" t="s">
        <v>22</v>
      </c>
      <c r="D75" s="436" t="s">
        <v>9</v>
      </c>
      <c r="E75" s="439">
        <v>6</v>
      </c>
      <c r="F75" s="448" t="s">
        <v>32</v>
      </c>
      <c r="G75" s="437">
        <f>IF(OR(BUReporting[[#This Row],[Period]]=1,OR(BUReporting[[#This Row],[Period]]=2,OR(BUReporting[[#This Row],[Period]]=3,OR(BUReporting[[#This Row],[Period]]=4,OR(BUReporting[[#This Row],[Period]]=5,BUReporting[[#This Row],[Period]]=6))))),VLOOKUP(BUReporting[[#This Row],[Program]],'Program MW '!$A$12:$S$23,17,FALSE),VLOOKUP(BUReporting[[#This Row],[Program]],'Program MW '!$A$35:$S$46,17,FALSE))</f>
        <v>3218</v>
      </c>
      <c r="H75" s="449">
        <f>IF(OR(BUReporting[[#This Row],[Period]]=1,OR(BUReporting[[#This Row],[Period]]=2,OR(BUReporting[[#This Row],[Period]]=3,OR(BUReporting[[#This Row],[Period]]=4,OR(BUReporting[[#This Row],[Period]]=5,BUReporting[[#This Row],[Period]]=6))))),VLOOKUP(BUReporting[[#This Row],[Program]],'Program MW '!$A$12:$S$23,18,FALSE),VLOOKUP(BUReporting[[#This Row],[Program]],'Program MW '!$A$35:$S$46,18,FALSE))</f>
        <v>0.1919092916</v>
      </c>
    </row>
    <row r="76" spans="1:8" ht="15.5" thickTop="1" thickBot="1">
      <c r="A76" s="438">
        <v>9</v>
      </c>
      <c r="B76" s="436" t="s">
        <v>24</v>
      </c>
      <c r="C76" s="451"/>
      <c r="D76" s="436" t="s">
        <v>9</v>
      </c>
      <c r="E76" s="439">
        <v>6</v>
      </c>
      <c r="F76" s="448" t="s">
        <v>32</v>
      </c>
      <c r="G76" s="437">
        <f>IF(OR(BUReporting[[#This Row],[Period]]=1,OR(BUReporting[[#This Row],[Period]]=2,OR(BUReporting[[#This Row],[Period]]=3,OR(BUReporting[[#This Row],[Period]]=4,OR(BUReporting[[#This Row],[Period]]=5,BUReporting[[#This Row],[Period]]=6))))),VLOOKUP(BUReporting[[#This Row],[Program]],'Program MW '!$A$12:$S$23,17,FALSE),VLOOKUP(BUReporting[[#This Row],[Program]],'Program MW '!$A$35:$S$46,17,FALSE))</f>
        <v>11</v>
      </c>
      <c r="H76" s="449">
        <f>IF(OR(BUReporting[[#This Row],[Period]]=1,OR(BUReporting[[#This Row],[Period]]=2,OR(BUReporting[[#This Row],[Period]]=3,OR(BUReporting[[#This Row],[Period]]=4,OR(BUReporting[[#This Row],[Period]]=5,BUReporting[[#This Row],[Period]]=6))))),VLOOKUP(BUReporting[[#This Row],[Program]],'Program MW '!$A$12:$S$23,18,FALSE),VLOOKUP(BUReporting[[#This Row],[Program]],'Program MW '!$A$35:$S$46,18,FALSE))</f>
        <v>0.20861366189624328</v>
      </c>
    </row>
    <row r="77" spans="1:8" ht="15.5" thickTop="1" thickBot="1">
      <c r="A77" s="438">
        <v>10</v>
      </c>
      <c r="B77" s="436" t="s">
        <v>25</v>
      </c>
      <c r="C77" s="451"/>
      <c r="D77" s="436" t="s">
        <v>9</v>
      </c>
      <c r="E77" s="439">
        <v>6</v>
      </c>
      <c r="F77" s="448" t="s">
        <v>32</v>
      </c>
      <c r="G77" s="437">
        <f>IF(OR(BUReporting[[#This Row],[Period]]=1,OR(BUReporting[[#This Row],[Period]]=2,OR(BUReporting[[#This Row],[Period]]=3,OR(BUReporting[[#This Row],[Period]]=4,OR(BUReporting[[#This Row],[Period]]=5,BUReporting[[#This Row],[Period]]=6))))),VLOOKUP(BUReporting[[#This Row],[Program]],'Program MW '!$A$12:$S$23,17,FALSE),VLOOKUP(BUReporting[[#This Row],[Program]],'Program MW '!$A$35:$S$46,17,FALSE))</f>
        <v>142</v>
      </c>
      <c r="H77" s="449">
        <f>IF(OR(BUReporting[[#This Row],[Period]]=1,OR(BUReporting[[#This Row],[Period]]=2,OR(BUReporting[[#This Row],[Period]]=3,OR(BUReporting[[#This Row],[Period]]=4,OR(BUReporting[[#This Row],[Period]]=5,BUReporting[[#This Row],[Period]]=6))))),VLOOKUP(BUReporting[[#This Row],[Program]],'Program MW '!$A$12:$S$23,18,FALSE),VLOOKUP(BUReporting[[#This Row],[Program]],'Program MW '!$A$35:$S$46,18,FALSE))</f>
        <v>2.4164771762342481</v>
      </c>
    </row>
    <row r="78" spans="1:8" ht="15.5" thickTop="1" thickBot="1">
      <c r="A78" s="438">
        <v>11</v>
      </c>
      <c r="B78" s="436" t="s">
        <v>26</v>
      </c>
      <c r="C78" s="451"/>
      <c r="D78" s="436" t="s">
        <v>9</v>
      </c>
      <c r="E78" s="439">
        <v>6</v>
      </c>
      <c r="F78" s="448" t="s">
        <v>32</v>
      </c>
      <c r="G78" s="437">
        <f>IF(OR(BUReporting[[#This Row],[Period]]=1,OR(BUReporting[[#This Row],[Period]]=2,OR(BUReporting[[#This Row],[Period]]=3,OR(BUReporting[[#This Row],[Period]]=4,OR(BUReporting[[#This Row],[Period]]=5,BUReporting[[#This Row],[Period]]=6))))),VLOOKUP(BUReporting[[#This Row],[Program]],'Program MW '!$A$12:$S$23,17,FALSE),VLOOKUP(BUReporting[[#This Row],[Program]],'Program MW '!$A$35:$S$46,17,FALSE))</f>
        <v>112680</v>
      </c>
      <c r="H78" s="449">
        <f>IF(OR(BUReporting[[#This Row],[Period]]=1,OR(BUReporting[[#This Row],[Period]]=2,OR(BUReporting[[#This Row],[Period]]=3,OR(BUReporting[[#This Row],[Period]]=4,OR(BUReporting[[#This Row],[Period]]=5,BUReporting[[#This Row],[Period]]=6))))),VLOOKUP(BUReporting[[#This Row],[Program]],'Program MW '!$A$12:$S$23,18,FALSE),VLOOKUP(BUReporting[[#This Row],[Program]],'Program MW '!$A$35:$S$46,18,FALSE))</f>
        <v>1.7073372121900321</v>
      </c>
    </row>
    <row r="79" spans="1:8" ht="13.5" thickTop="1" thickBot="1">
      <c r="A79" s="438">
        <v>12</v>
      </c>
      <c r="B79" s="436" t="s">
        <v>27</v>
      </c>
      <c r="C79" s="435"/>
      <c r="D79" s="436" t="s">
        <v>19</v>
      </c>
      <c r="E79" s="439">
        <v>6</v>
      </c>
      <c r="F79" s="448" t="s">
        <v>32</v>
      </c>
      <c r="G79" s="437">
        <f>IF(OR(BUReporting[[#This Row],[Period]]=1,OR(BUReporting[[#This Row],[Period]]=2,OR(BUReporting[[#This Row],[Period]]=3,OR(BUReporting[[#This Row],[Period]]=4,OR(BUReporting[[#This Row],[Period]]=5,BUReporting[[#This Row],[Period]]=6))))),VLOOKUP(BUReporting[[#This Row],[Program]],'Program MW '!$A$12:$S$23,17,FALSE),VLOOKUP(BUReporting[[#This Row],[Program]],'Program MW '!$A$35:$S$46,17,FALSE))</f>
        <v>16151</v>
      </c>
      <c r="H79" s="449">
        <f>IF(OR(BUReporting[[#This Row],[Period]]=1,OR(BUReporting[[#This Row],[Period]]=2,OR(BUReporting[[#This Row],[Period]]=3,OR(BUReporting[[#This Row],[Period]]=4,OR(BUReporting[[#This Row],[Period]]=5,BUReporting[[#This Row],[Period]]=6))))),VLOOKUP(BUReporting[[#This Row],[Program]],'Program MW '!$A$12:$S$23,18,FALSE),VLOOKUP(BUReporting[[#This Row],[Program]],'Program MW '!$A$35:$S$46,18,FALSE))</f>
        <v>2.6979194424897432</v>
      </c>
    </row>
    <row r="80" spans="1:8" ht="15.5" thickTop="1" thickBot="1">
      <c r="A80" s="450">
        <v>0</v>
      </c>
      <c r="B80" s="85" t="s">
        <v>8</v>
      </c>
      <c r="C80" s="451"/>
      <c r="D80" s="441" t="s">
        <v>9</v>
      </c>
      <c r="E80" s="446">
        <v>7</v>
      </c>
      <c r="F80" s="447" t="s">
        <v>33</v>
      </c>
      <c r="G80" s="437">
        <f>IF(OR(BUReporting[[#This Row],[Period]]=1,OR(BUReporting[[#This Row],[Period]]=2,OR(BUReporting[[#This Row],[Period]]=2,OR(BUReporting[[#This Row],[Period]]=4,OR(BUReporting[[#This Row],[Period]]=5,BUReporting[[#This Row],[Period]]=6))))),VLOOKUP(BUReporting[[#This Row],[Program]],'Program MW '!$A$9:$S$9,2,FALSE),VLOOKUP(BUReporting[[#This Row],[Program]],'Program MW '!$A$32:$S$32,2,FALSE))</f>
        <v>4</v>
      </c>
      <c r="H80" s="449">
        <f>IF(OR(BUReporting[[#This Row],[Period]]=1,OR(BUReporting[[#This Row],[Period]]=2,OR(BUReporting[[#This Row],[Period]]=3,OR(BUReporting[[#This Row],[Period]]=4,OR(BUReporting[[#This Row],[Period]]=5,BUReporting[[#This Row],[Period]]=6))))),VLOOKUP(BUReporting[[#This Row],[Program]],'Program MW '!$A$9:$S$9,3,FALSE),VLOOKUP(BUReporting[[#This Row],[Program]],'Program MW '!$A$32:$S$32,3,FALSE))</f>
        <v>0.71939520263671874</v>
      </c>
    </row>
    <row r="81" spans="1:8" ht="15.5" thickTop="1" thickBot="1">
      <c r="A81" s="438">
        <v>1</v>
      </c>
      <c r="B81" s="436" t="s">
        <v>11</v>
      </c>
      <c r="C81" s="451"/>
      <c r="D81" s="436" t="s">
        <v>9</v>
      </c>
      <c r="E81" s="439">
        <v>7</v>
      </c>
      <c r="F81" s="448" t="s">
        <v>33</v>
      </c>
      <c r="G81" s="437">
        <f>IF(OR(BUReporting[[#This Row],[Period]]=1,OR(BUReporting[[#This Row],[Period]]=2,OR(BUReporting[[#This Row],[Period]]=3,OR(BUReporting[[#This Row],[Period]]=4,OR(BUReporting[[#This Row],[Period]]=5,BUReporting[[#This Row],[Period]]=6))))),VLOOKUP(BUReporting[[#This Row],[Program]],'Program MW '!$A$12:$S$23,2,FALSE),VLOOKUP(BUReporting[[#This Row],[Program]],'Program MW '!$A$35:$S$46,2,FALSE))</f>
        <v>14095</v>
      </c>
      <c r="H81" s="449">
        <f>VLOOKUP(BUReporting[[#This Row],[Program]],'Program MW '!$A$35:$S$46,3,FALSE)</f>
        <v>3.8359866684999999</v>
      </c>
    </row>
    <row r="82" spans="1:8" ht="15.5" thickTop="1" thickBot="1">
      <c r="A82" s="438">
        <v>2</v>
      </c>
      <c r="B82" s="436" t="s">
        <v>12</v>
      </c>
      <c r="C82" s="451" t="s">
        <v>13</v>
      </c>
      <c r="D82" s="436" t="s">
        <v>9</v>
      </c>
      <c r="E82" s="439">
        <v>7</v>
      </c>
      <c r="F82" s="448" t="s">
        <v>33</v>
      </c>
      <c r="G82" s="437" t="e">
        <f>IF(OR(BUReporting[[#This Row],[Period]]=1,OR(BUReporting[[#This Row],[Period]]=2,OR(BUReporting[[#This Row],[Period]]=3,OR(BUReporting[[#This Row],[Period]]=4,OR(BUReporting[[#This Row],[Period]]=5,BUReporting[[#This Row],[Period]]=6))))),VLOOKUP(BUReporting[[#This Row],[Program]],'Program MW '!$A$12:$S$23,2,FALSE),VLOOKUP(BUReporting[[#This Row],[Program]],'Program MW '!$A$35:$S$46,2,FALSE))</f>
        <v>#N/A</v>
      </c>
      <c r="H82" s="449" t="e">
        <f>VLOOKUP(BUReporting[[#This Row],[Program]],'Program MW '!$A$35:$S$46,3,FALSE)</f>
        <v>#N/A</v>
      </c>
    </row>
    <row r="83" spans="1:8" ht="15.5" thickTop="1" thickBot="1">
      <c r="A83" s="438">
        <v>3</v>
      </c>
      <c r="B83" s="436" t="s">
        <v>14</v>
      </c>
      <c r="C83" s="451"/>
      <c r="D83" s="436" t="s">
        <v>9</v>
      </c>
      <c r="E83" s="439">
        <v>7</v>
      </c>
      <c r="F83" s="448" t="s">
        <v>33</v>
      </c>
      <c r="G83" s="437" t="e">
        <f>IF(OR(BUReporting[[#This Row],[Period]]=1,OR(BUReporting[[#This Row],[Period]]=2,OR(BUReporting[[#This Row],[Period]]=3,OR(BUReporting[[#This Row],[Period]]=4,OR(BUReporting[[#This Row],[Period]]=5,BUReporting[[#This Row],[Period]]=6))))),VLOOKUP(BUReporting[[#This Row],[Program]],'Program MW '!$A$12:$S$23,2,FALSE),VLOOKUP(BUReporting[[#This Row],[Program]],'Program MW '!$A$35:$S$46,2,FALSE))</f>
        <v>#N/A</v>
      </c>
      <c r="H83" s="449" t="e">
        <f>VLOOKUP(BUReporting[[#This Row],[Program]],'Program MW '!$A$35:$S$46,3,FALSE)</f>
        <v>#N/A</v>
      </c>
    </row>
    <row r="84" spans="1:8" ht="15.5" thickTop="1" thickBot="1">
      <c r="A84" s="438">
        <v>4</v>
      </c>
      <c r="B84" s="436" t="s">
        <v>15</v>
      </c>
      <c r="C84" s="451" t="s">
        <v>16</v>
      </c>
      <c r="D84" s="436" t="s">
        <v>9</v>
      </c>
      <c r="E84" s="439">
        <v>7</v>
      </c>
      <c r="F84" s="448" t="s">
        <v>33</v>
      </c>
      <c r="G84" s="437" t="e">
        <f>IF(OR(BUReporting[[#This Row],[Period]]=1,OR(BUReporting[[#This Row],[Period]]=2,OR(BUReporting[[#This Row],[Period]]=3,OR(BUReporting[[#This Row],[Period]]=4,OR(BUReporting[[#This Row],[Period]]=5,BUReporting[[#This Row],[Period]]=6))))),VLOOKUP(BUReporting[[#This Row],[Program]],'Program MW '!$A$12:$S$23,2,FALSE),VLOOKUP(BUReporting[[#This Row],[Program]],'Program MW '!$A$35:$S$46,2,FALSE))</f>
        <v>#N/A</v>
      </c>
      <c r="H84" s="449" t="e">
        <f>VLOOKUP(BUReporting[[#This Row],[Program]],'Program MW '!$A$35:$S$46,3,FALSE)</f>
        <v>#N/A</v>
      </c>
    </row>
    <row r="85" spans="1:8" ht="15.5" thickTop="1" thickBot="1">
      <c r="A85" s="438">
        <v>5</v>
      </c>
      <c r="B85" s="436" t="s">
        <v>17</v>
      </c>
      <c r="C85" s="451" t="s">
        <v>18</v>
      </c>
      <c r="D85" s="436" t="s">
        <v>19</v>
      </c>
      <c r="E85" s="439">
        <v>7</v>
      </c>
      <c r="F85" s="448" t="s">
        <v>33</v>
      </c>
      <c r="G85" s="437">
        <f>IF(OR(BUReporting[[#This Row],[Period]]=1,OR(BUReporting[[#This Row],[Period]]=2,OR(BUReporting[[#This Row],[Period]]=3,OR(BUReporting[[#This Row],[Period]]=4,OR(BUReporting[[#This Row],[Period]]=5,BUReporting[[#This Row],[Period]]=6))))),VLOOKUP(BUReporting[[#This Row],[Program]],'Program MW '!$A$12:$S$23,2,FALSE),VLOOKUP(BUReporting[[#This Row],[Program]],'Program MW '!$A$35:$S$46,2,FALSE))</f>
        <v>15107</v>
      </c>
      <c r="H85" s="449">
        <f>VLOOKUP(BUReporting[[#This Row],[Program]],'Program MW '!$A$35:$S$46,3,FALSE)</f>
        <v>3.4192109391242265</v>
      </c>
    </row>
    <row r="86" spans="1:8" ht="15.5" thickTop="1" thickBot="1">
      <c r="A86" s="438">
        <v>6</v>
      </c>
      <c r="B86" s="436" t="s">
        <v>20</v>
      </c>
      <c r="C86" s="451" t="s">
        <v>18</v>
      </c>
      <c r="D86" s="436" t="s">
        <v>9</v>
      </c>
      <c r="E86" s="439">
        <v>7</v>
      </c>
      <c r="F86" s="448" t="s">
        <v>33</v>
      </c>
      <c r="G86" s="437">
        <f>IF(OR(BUReporting[[#This Row],[Period]]=1,OR(BUReporting[[#This Row],[Period]]=2,OR(BUReporting[[#This Row],[Period]]=3,OR(BUReporting[[#This Row],[Period]]=4,OR(BUReporting[[#This Row],[Period]]=5,BUReporting[[#This Row],[Period]]=6))))),VLOOKUP(BUReporting[[#This Row],[Program]],'Program MW '!$A$12:$S$23,2,FALSE),VLOOKUP(BUReporting[[#This Row],[Program]],'Program MW '!$A$35:$S$46,2,FALSE))</f>
        <v>986</v>
      </c>
      <c r="H86" s="449">
        <f>VLOOKUP(BUReporting[[#This Row],[Program]],'Program MW '!$A$35:$S$46,3,FALSE)</f>
        <v>0.43775688320398332</v>
      </c>
    </row>
    <row r="87" spans="1:8" ht="15.5" thickTop="1" thickBot="1">
      <c r="A87" s="438">
        <v>7</v>
      </c>
      <c r="B87" s="436" t="s">
        <v>21</v>
      </c>
      <c r="C87" s="451" t="s">
        <v>22</v>
      </c>
      <c r="D87" s="436" t="s">
        <v>19</v>
      </c>
      <c r="E87" s="439">
        <v>7</v>
      </c>
      <c r="F87" s="448" t="s">
        <v>33</v>
      </c>
      <c r="G87" s="437">
        <f>IF(OR(BUReporting[[#This Row],[Period]]=1,OR(BUReporting[[#This Row],[Period]]=2,OR(BUReporting[[#This Row],[Period]]=3,OR(BUReporting[[#This Row],[Period]]=4,OR(BUReporting[[#This Row],[Period]]=5,BUReporting[[#This Row],[Period]]=6))))),VLOOKUP(BUReporting[[#This Row],[Program]],'Program MW '!$A$12:$S$23,2,FALSE),VLOOKUP(BUReporting[[#This Row],[Program]],'Program MW '!$A$35:$S$46,2,FALSE))</f>
        <v>9456</v>
      </c>
      <c r="H87" s="449">
        <f>VLOOKUP(BUReporting[[#This Row],[Program]],'Program MW '!$A$35:$S$46,3,FALSE)</f>
        <v>1.4435983487999999</v>
      </c>
    </row>
    <row r="88" spans="1:8" ht="15.5" thickTop="1" thickBot="1">
      <c r="A88" s="438">
        <v>8</v>
      </c>
      <c r="B88" s="436" t="s">
        <v>23</v>
      </c>
      <c r="C88" s="451" t="s">
        <v>22</v>
      </c>
      <c r="D88" s="436" t="s">
        <v>9</v>
      </c>
      <c r="E88" s="439">
        <v>7</v>
      </c>
      <c r="F88" s="448" t="s">
        <v>33</v>
      </c>
      <c r="G88" s="437">
        <f>IF(OR(BUReporting[[#This Row],[Period]]=1,OR(BUReporting[[#This Row],[Period]]=2,OR(BUReporting[[#This Row],[Period]]=3,OR(BUReporting[[#This Row],[Period]]=4,OR(BUReporting[[#This Row],[Period]]=5,BUReporting[[#This Row],[Period]]=6))))),VLOOKUP(BUReporting[[#This Row],[Program]],'Program MW '!$A$12:$S$23,2,FALSE),VLOOKUP(BUReporting[[#This Row],[Program]],'Program MW '!$A$35:$S$46,2,FALSE))</f>
        <v>3217</v>
      </c>
      <c r="H88" s="449">
        <f>VLOOKUP(BUReporting[[#This Row],[Program]],'Program MW '!$A$35:$S$46,3,FALSE)</f>
        <v>0.39307236200000006</v>
      </c>
    </row>
    <row r="89" spans="1:8" ht="15.5" thickTop="1" thickBot="1">
      <c r="A89" s="438">
        <v>9</v>
      </c>
      <c r="B89" s="436" t="s">
        <v>24</v>
      </c>
      <c r="C89" s="451"/>
      <c r="D89" s="436" t="s">
        <v>9</v>
      </c>
      <c r="E89" s="439">
        <v>7</v>
      </c>
      <c r="F89" s="448" t="s">
        <v>33</v>
      </c>
      <c r="G89" s="437">
        <f>IF(OR(BUReporting[[#This Row],[Period]]=1,OR(BUReporting[[#This Row],[Period]]=2,OR(BUReporting[[#This Row],[Period]]=3,OR(BUReporting[[#This Row],[Period]]=4,OR(BUReporting[[#This Row],[Period]]=5,BUReporting[[#This Row],[Period]]=6))))),VLOOKUP(BUReporting[[#This Row],[Program]],'Program MW '!$A$12:$S$23,2,FALSE),VLOOKUP(BUReporting[[#This Row],[Program]],'Program MW '!$A$35:$S$46,2,FALSE))</f>
        <v>24</v>
      </c>
      <c r="H89" s="449">
        <f>VLOOKUP(BUReporting[[#This Row],[Program]],'Program MW '!$A$35:$S$46,3,FALSE)</f>
        <v>0.44888562719141323</v>
      </c>
    </row>
    <row r="90" spans="1:8" ht="15.5" thickTop="1" thickBot="1">
      <c r="A90" s="438">
        <v>10</v>
      </c>
      <c r="B90" s="436" t="s">
        <v>25</v>
      </c>
      <c r="C90" s="451"/>
      <c r="D90" s="436" t="s">
        <v>9</v>
      </c>
      <c r="E90" s="439">
        <v>7</v>
      </c>
      <c r="F90" s="448" t="s">
        <v>33</v>
      </c>
      <c r="G90" s="437">
        <f>IF(OR(BUReporting[[#This Row],[Period]]=1,OR(BUReporting[[#This Row],[Period]]=2,OR(BUReporting[[#This Row],[Period]]=3,OR(BUReporting[[#This Row],[Period]]=4,OR(BUReporting[[#This Row],[Period]]=5,BUReporting[[#This Row],[Period]]=6))))),VLOOKUP(BUReporting[[#This Row],[Program]],'Program MW '!$A$12:$S$23,2,FALSE),VLOOKUP(BUReporting[[#This Row],[Program]],'Program MW '!$A$35:$S$46,2,FALSE))</f>
        <v>175</v>
      </c>
      <c r="H90" s="449">
        <f>VLOOKUP(BUReporting[[#This Row],[Program]],'Program MW '!$A$35:$S$46,3,FALSE)</f>
        <v>2.9780528580351651</v>
      </c>
    </row>
    <row r="91" spans="1:8" ht="15.5" thickTop="1" thickBot="1">
      <c r="A91" s="438">
        <v>11</v>
      </c>
      <c r="B91" s="436" t="s">
        <v>26</v>
      </c>
      <c r="C91" s="451"/>
      <c r="D91" s="436" t="s">
        <v>9</v>
      </c>
      <c r="E91" s="439">
        <v>7</v>
      </c>
      <c r="F91" s="448" t="s">
        <v>33</v>
      </c>
      <c r="G91" s="437">
        <f>IF(OR(BUReporting[[#This Row],[Period]]=1,OR(BUReporting[[#This Row],[Period]]=2,OR(BUReporting[[#This Row],[Period]]=3,OR(BUReporting[[#This Row],[Period]]=4,OR(BUReporting[[#This Row],[Period]]=5,BUReporting[[#This Row],[Period]]=6))))),VLOOKUP(BUReporting[[#This Row],[Program]],'Program MW '!$A$12:$S$23,2,FALSE),VLOOKUP(BUReporting[[#This Row],[Program]],'Program MW '!$A$35:$S$46,2,FALSE))</f>
        <v>112437</v>
      </c>
      <c r="H91" s="449">
        <f>VLOOKUP(BUReporting[[#This Row],[Program]],'Program MW '!$A$35:$S$46,3,FALSE)</f>
        <v>1.9057328109797089</v>
      </c>
    </row>
    <row r="92" spans="1:8" ht="13.5" thickTop="1" thickBot="1">
      <c r="A92" s="438">
        <v>12</v>
      </c>
      <c r="B92" s="436" t="s">
        <v>27</v>
      </c>
      <c r="C92" s="435"/>
      <c r="D92" s="436" t="s">
        <v>19</v>
      </c>
      <c r="E92" s="439">
        <v>7</v>
      </c>
      <c r="F92" s="448" t="s">
        <v>33</v>
      </c>
      <c r="G92" s="437">
        <f>IF(OR(BUReporting[[#This Row],[Period]]=1,OR(BUReporting[[#This Row],[Period]]=2,OR(BUReporting[[#This Row],[Period]]=3,OR(BUReporting[[#This Row],[Period]]=4,OR(BUReporting[[#This Row],[Period]]=5,BUReporting[[#This Row],[Period]]=6))))),VLOOKUP(BUReporting[[#This Row],[Program]],'Program MW '!$A$12:$S$23,2,FALSE),VLOOKUP(BUReporting[[#This Row],[Program]],'Program MW '!$A$35:$S$46,2,FALSE))</f>
        <v>16192</v>
      </c>
      <c r="H92" s="449">
        <f>VLOOKUP(BUReporting[[#This Row],[Program]],'Program MW '!$A$35:$S$46,3,FALSE)</f>
        <v>3.1104105689525605</v>
      </c>
    </row>
    <row r="93" spans="1:8" ht="15.5" thickTop="1" thickBot="1">
      <c r="A93" s="450">
        <v>0</v>
      </c>
      <c r="B93" s="85" t="s">
        <v>8</v>
      </c>
      <c r="C93" s="451"/>
      <c r="D93" s="441" t="s">
        <v>9</v>
      </c>
      <c r="E93" s="446">
        <v>8</v>
      </c>
      <c r="F93" s="447" t="s">
        <v>34</v>
      </c>
      <c r="G93" s="437">
        <f>IF(OR(BUReporting[[#This Row],[Period]]=1,OR(BUReporting[[#This Row],[Period]]=2,OR(BUReporting[[#This Row],[Period]]=2,OR(BUReporting[[#This Row],[Period]]=4,OR(BUReporting[[#This Row],[Period]]=5,BUReporting[[#This Row],[Period]]=6))))),VLOOKUP(BUReporting[[#This Row],[Program]],'Program MW '!$A$9:$S$9,5,FALSE),VLOOKUP(BUReporting[[#This Row],[Program]],'Program MW '!$A$32:$S$32,5,FALSE))</f>
        <v>4</v>
      </c>
      <c r="H93" s="449">
        <f>IF(OR(BUReporting[[#This Row],[Period]]=1,OR(BUReporting[[#This Row],[Period]]=2,OR(BUReporting[[#This Row],[Period]]=3,OR(BUReporting[[#This Row],[Period]]=4,OR(BUReporting[[#This Row],[Period]]=5,BUReporting[[#This Row],[Period]]=6))))),VLOOKUP(BUReporting[[#This Row],[Program]],'Program MW '!$A$9:$S$9,6,FALSE),VLOOKUP(BUReporting[[#This Row],[Program]],'Program MW '!$A$32:$S$32,6,FALSE))</f>
        <v>0.71393469238281249</v>
      </c>
    </row>
    <row r="94" spans="1:8" ht="15.5" thickTop="1" thickBot="1">
      <c r="A94" s="438">
        <v>1</v>
      </c>
      <c r="B94" s="436" t="s">
        <v>11</v>
      </c>
      <c r="C94" s="451"/>
      <c r="D94" s="436" t="s">
        <v>9</v>
      </c>
      <c r="E94" s="439">
        <v>8</v>
      </c>
      <c r="F94" s="448" t="s">
        <v>34</v>
      </c>
      <c r="G94" s="437">
        <f>IF(OR(BUReporting[[#This Row],[Period]]=1,OR(BUReporting[[#This Row],[Period]]=2,OR(BUReporting[[#This Row],[Period]]=3,OR(BUReporting[[#This Row],[Period]]=4,OR(BUReporting[[#This Row],[Period]]=5,BUReporting[[#This Row],[Period]]=6))))),VLOOKUP(BUReporting[[#This Row],[Program]],'Program MW '!$A$12:$S$23,5,FALSE),VLOOKUP(BUReporting[[#This Row],[Program]],'Program MW '!$A$35:$S$46,5,FALSE))</f>
        <v>14837</v>
      </c>
      <c r="H94" s="449">
        <f>VLOOKUP(BUReporting[[#This Row],[Program]],'Program MW '!$A$35:$S$46,6,FALSE)</f>
        <v>2.2824810526999997</v>
      </c>
    </row>
    <row r="95" spans="1:8" ht="15.5" thickTop="1" thickBot="1">
      <c r="A95" s="438">
        <v>2</v>
      </c>
      <c r="B95" s="436" t="s">
        <v>12</v>
      </c>
      <c r="C95" s="451" t="s">
        <v>13</v>
      </c>
      <c r="D95" s="436" t="s">
        <v>9</v>
      </c>
      <c r="E95" s="439">
        <v>8</v>
      </c>
      <c r="F95" s="448" t="s">
        <v>34</v>
      </c>
      <c r="G95" s="437" t="e">
        <f>IF(OR(BUReporting[[#This Row],[Period]]=1,OR(BUReporting[[#This Row],[Period]]=2,OR(BUReporting[[#This Row],[Period]]=3,OR(BUReporting[[#This Row],[Period]]=4,OR(BUReporting[[#This Row],[Period]]=5,BUReporting[[#This Row],[Period]]=6))))),VLOOKUP(BUReporting[[#This Row],[Program]],'Program MW '!$A$12:$S$23,5,FALSE),VLOOKUP(BUReporting[[#This Row],[Program]],'Program MW '!$A$35:$S$46,5,FALSE))</f>
        <v>#N/A</v>
      </c>
      <c r="H95" s="449" t="e">
        <f>VLOOKUP(BUReporting[[#This Row],[Program]],'Program MW '!$A$35:$S$46,6,FALSE)</f>
        <v>#N/A</v>
      </c>
    </row>
    <row r="96" spans="1:8" ht="15.5" thickTop="1" thickBot="1">
      <c r="A96" s="438">
        <v>3</v>
      </c>
      <c r="B96" s="436" t="s">
        <v>14</v>
      </c>
      <c r="C96" s="451"/>
      <c r="D96" s="436" t="s">
        <v>9</v>
      </c>
      <c r="E96" s="439">
        <v>8</v>
      </c>
      <c r="F96" s="448" t="s">
        <v>34</v>
      </c>
      <c r="G96" s="437" t="e">
        <f>IF(OR(BUReporting[[#This Row],[Period]]=1,OR(BUReporting[[#This Row],[Period]]=2,OR(BUReporting[[#This Row],[Period]]=3,OR(BUReporting[[#This Row],[Period]]=4,OR(BUReporting[[#This Row],[Period]]=5,BUReporting[[#This Row],[Period]]=6))))),VLOOKUP(BUReporting[[#This Row],[Program]],'Program MW '!$A$12:$S$23,5,FALSE),VLOOKUP(BUReporting[[#This Row],[Program]],'Program MW '!$A$35:$S$46,5,FALSE))</f>
        <v>#N/A</v>
      </c>
      <c r="H96" s="449" t="e">
        <f>VLOOKUP(BUReporting[[#This Row],[Program]],'Program MW '!$A$35:$S$46,6,FALSE)</f>
        <v>#N/A</v>
      </c>
    </row>
    <row r="97" spans="1:8" ht="15.5" thickTop="1" thickBot="1">
      <c r="A97" s="438">
        <v>4</v>
      </c>
      <c r="B97" s="436" t="s">
        <v>15</v>
      </c>
      <c r="C97" s="451" t="s">
        <v>16</v>
      </c>
      <c r="D97" s="436" t="s">
        <v>9</v>
      </c>
      <c r="E97" s="439">
        <v>8</v>
      </c>
      <c r="F97" s="448" t="s">
        <v>34</v>
      </c>
      <c r="G97" s="437" t="e">
        <f>IF(OR(BUReporting[[#This Row],[Period]]=1,OR(BUReporting[[#This Row],[Period]]=2,OR(BUReporting[[#This Row],[Period]]=3,OR(BUReporting[[#This Row],[Period]]=4,OR(BUReporting[[#This Row],[Period]]=5,BUReporting[[#This Row],[Period]]=6))))),VLOOKUP(BUReporting[[#This Row],[Program]],'Program MW '!$A$12:$S$23,5,FALSE),VLOOKUP(BUReporting[[#This Row],[Program]],'Program MW '!$A$35:$S$46,5,FALSE))</f>
        <v>#N/A</v>
      </c>
      <c r="H97" s="449" t="e">
        <f>VLOOKUP(BUReporting[[#This Row],[Program]],'Program MW '!$A$35:$S$46,6,FALSE)</f>
        <v>#N/A</v>
      </c>
    </row>
    <row r="98" spans="1:8" ht="15.5" thickTop="1" thickBot="1">
      <c r="A98" s="438">
        <v>5</v>
      </c>
      <c r="B98" s="436" t="s">
        <v>17</v>
      </c>
      <c r="C98" s="451" t="s">
        <v>18</v>
      </c>
      <c r="D98" s="436" t="s">
        <v>19</v>
      </c>
      <c r="E98" s="439">
        <v>8</v>
      </c>
      <c r="F98" s="448" t="s">
        <v>34</v>
      </c>
      <c r="G98" s="437">
        <f>IF(OR(BUReporting[[#This Row],[Period]]=1,OR(BUReporting[[#This Row],[Period]]=2,OR(BUReporting[[#This Row],[Period]]=3,OR(BUReporting[[#This Row],[Period]]=4,OR(BUReporting[[#This Row],[Period]]=5,BUReporting[[#This Row],[Period]]=6))))),VLOOKUP(BUReporting[[#This Row],[Program]],'Program MW '!$A$12:$S$23,5,FALSE),VLOOKUP(BUReporting[[#This Row],[Program]],'Program MW '!$A$35:$S$46,5,FALSE))</f>
        <v>15310</v>
      </c>
      <c r="H98" s="449">
        <f>VLOOKUP(BUReporting[[#This Row],[Program]],'Program MW '!$A$35:$S$46,6,FALSE)</f>
        <v>4.6823426511883728</v>
      </c>
    </row>
    <row r="99" spans="1:8" ht="15.5" thickTop="1" thickBot="1">
      <c r="A99" s="438">
        <v>6</v>
      </c>
      <c r="B99" s="436" t="s">
        <v>20</v>
      </c>
      <c r="C99" s="451" t="s">
        <v>18</v>
      </c>
      <c r="D99" s="436" t="s">
        <v>9</v>
      </c>
      <c r="E99" s="439">
        <v>8</v>
      </c>
      <c r="F99" s="448" t="s">
        <v>34</v>
      </c>
      <c r="G99" s="437">
        <f>IF(OR(BUReporting[[#This Row],[Period]]=1,OR(BUReporting[[#This Row],[Period]]=2,OR(BUReporting[[#This Row],[Period]]=3,OR(BUReporting[[#This Row],[Period]]=4,OR(BUReporting[[#This Row],[Period]]=5,BUReporting[[#This Row],[Period]]=6))))),VLOOKUP(BUReporting[[#This Row],[Program]],'Program MW '!$A$12:$S$23,5,FALSE),VLOOKUP(BUReporting[[#This Row],[Program]],'Program MW '!$A$35:$S$46,5,FALSE))</f>
        <v>1041</v>
      </c>
      <c r="H99" s="449">
        <f>VLOOKUP(BUReporting[[#This Row],[Program]],'Program MW '!$A$35:$S$46,6,FALSE)</f>
        <v>0.57844579267501828</v>
      </c>
    </row>
    <row r="100" spans="1:8" ht="15.5" thickTop="1" thickBot="1">
      <c r="A100" s="438">
        <v>7</v>
      </c>
      <c r="B100" s="436" t="s">
        <v>21</v>
      </c>
      <c r="C100" s="451" t="s">
        <v>22</v>
      </c>
      <c r="D100" s="436" t="s">
        <v>19</v>
      </c>
      <c r="E100" s="439">
        <v>8</v>
      </c>
      <c r="F100" s="448" t="s">
        <v>34</v>
      </c>
      <c r="G100" s="437">
        <f>IF(OR(BUReporting[[#This Row],[Period]]=1,OR(BUReporting[[#This Row],[Period]]=2,OR(BUReporting[[#This Row],[Period]]=3,OR(BUReporting[[#This Row],[Period]]=4,OR(BUReporting[[#This Row],[Period]]=5,BUReporting[[#This Row],[Period]]=6))))),VLOOKUP(BUReporting[[#This Row],[Program]],'Program MW '!$A$12:$S$23,5,FALSE),VLOOKUP(BUReporting[[#This Row],[Program]],'Program MW '!$A$35:$S$46,5,FALSE))</f>
        <v>9356</v>
      </c>
      <c r="H100" s="449">
        <f>VLOOKUP(BUReporting[[#This Row],[Program]],'Program MW '!$A$35:$S$46,6,FALSE)</f>
        <v>2.1663836712000002</v>
      </c>
    </row>
    <row r="101" spans="1:8" ht="15.5" thickTop="1" thickBot="1">
      <c r="A101" s="438">
        <v>8</v>
      </c>
      <c r="B101" s="436" t="s">
        <v>23</v>
      </c>
      <c r="C101" s="451" t="s">
        <v>22</v>
      </c>
      <c r="D101" s="436" t="s">
        <v>9</v>
      </c>
      <c r="E101" s="439">
        <v>8</v>
      </c>
      <c r="F101" s="448" t="s">
        <v>34</v>
      </c>
      <c r="G101" s="437">
        <f>IF(OR(BUReporting[[#This Row],[Period]]=1,OR(BUReporting[[#This Row],[Period]]=2,OR(BUReporting[[#This Row],[Period]]=3,OR(BUReporting[[#This Row],[Period]]=4,OR(BUReporting[[#This Row],[Period]]=5,BUReporting[[#This Row],[Period]]=6))))),VLOOKUP(BUReporting[[#This Row],[Program]],'Program MW '!$A$12:$S$23,5,FALSE),VLOOKUP(BUReporting[[#This Row],[Program]],'Program MW '!$A$35:$S$46,5,FALSE))</f>
        <v>3198</v>
      </c>
      <c r="H101" s="449">
        <f>VLOOKUP(BUReporting[[#This Row],[Program]],'Program MW '!$A$35:$S$46,6,FALSE)</f>
        <v>0.47751928380000003</v>
      </c>
    </row>
    <row r="102" spans="1:8" ht="15.5" thickTop="1" thickBot="1">
      <c r="A102" s="438">
        <v>9</v>
      </c>
      <c r="B102" s="436" t="s">
        <v>24</v>
      </c>
      <c r="C102" s="451"/>
      <c r="D102" s="436" t="s">
        <v>9</v>
      </c>
      <c r="E102" s="439">
        <v>8</v>
      </c>
      <c r="F102" s="448" t="s">
        <v>34</v>
      </c>
      <c r="G102" s="437">
        <f>IF(OR(BUReporting[[#This Row],[Period]]=1,OR(BUReporting[[#This Row],[Period]]=2,OR(BUReporting[[#This Row],[Period]]=3,OR(BUReporting[[#This Row],[Period]]=4,OR(BUReporting[[#This Row],[Period]]=5,BUReporting[[#This Row],[Period]]=6))))),VLOOKUP(BUReporting[[#This Row],[Program]],'Program MW '!$A$12:$S$23,5,FALSE),VLOOKUP(BUReporting[[#This Row],[Program]],'Program MW '!$A$35:$S$46,5,FALSE))</f>
        <v>26</v>
      </c>
      <c r="H102" s="449">
        <f>VLOOKUP(BUReporting[[#This Row],[Program]],'Program MW '!$A$35:$S$46,6,FALSE)</f>
        <v>0.48629276279069766</v>
      </c>
    </row>
    <row r="103" spans="1:8" ht="15.5" thickTop="1" thickBot="1">
      <c r="A103" s="438">
        <v>10</v>
      </c>
      <c r="B103" s="436" t="s">
        <v>25</v>
      </c>
      <c r="C103" s="451"/>
      <c r="D103" s="436" t="s">
        <v>9</v>
      </c>
      <c r="E103" s="439">
        <v>8</v>
      </c>
      <c r="F103" s="448" t="s">
        <v>34</v>
      </c>
      <c r="G103" s="437">
        <f>IF(OR(BUReporting[[#This Row],[Period]]=1,OR(BUReporting[[#This Row],[Period]]=2,OR(BUReporting[[#This Row],[Period]]=3,OR(BUReporting[[#This Row],[Period]]=4,OR(BUReporting[[#This Row],[Period]]=5,BUReporting[[#This Row],[Period]]=6))))),VLOOKUP(BUReporting[[#This Row],[Program]],'Program MW '!$A$12:$S$23,5,FALSE),VLOOKUP(BUReporting[[#This Row],[Program]],'Program MW '!$A$35:$S$46,5,FALSE))</f>
        <v>175</v>
      </c>
      <c r="H103" s="449">
        <f>VLOOKUP(BUReporting[[#This Row],[Program]],'Program MW '!$A$35:$S$46,6,FALSE)</f>
        <v>2.9780528580351651</v>
      </c>
    </row>
    <row r="104" spans="1:8" ht="15.5" thickTop="1" thickBot="1">
      <c r="A104" s="438">
        <v>11</v>
      </c>
      <c r="B104" s="436" t="s">
        <v>26</v>
      </c>
      <c r="C104" s="451"/>
      <c r="D104" s="436" t="s">
        <v>9</v>
      </c>
      <c r="E104" s="439">
        <v>8</v>
      </c>
      <c r="F104" s="448" t="s">
        <v>34</v>
      </c>
      <c r="G104" s="437">
        <f>IF(OR(BUReporting[[#This Row],[Period]]=1,OR(BUReporting[[#This Row],[Period]]=2,OR(BUReporting[[#This Row],[Period]]=3,OR(BUReporting[[#This Row],[Period]]=4,OR(BUReporting[[#This Row],[Period]]=5,BUReporting[[#This Row],[Period]]=6))))),VLOOKUP(BUReporting[[#This Row],[Program]],'Program MW '!$A$12:$S$23,5,FALSE),VLOOKUP(BUReporting[[#This Row],[Program]],'Program MW '!$A$35:$S$46,5,FALSE))</f>
        <v>112368</v>
      </c>
      <c r="H104" s="449">
        <f>VLOOKUP(BUReporting[[#This Row],[Program]],'Program MW '!$A$35:$S$46,6,FALSE)</f>
        <v>1.9959247588813303</v>
      </c>
    </row>
    <row r="105" spans="1:8" ht="13.5" thickTop="1" thickBot="1">
      <c r="A105" s="438">
        <v>12</v>
      </c>
      <c r="B105" s="436" t="s">
        <v>27</v>
      </c>
      <c r="C105" s="435"/>
      <c r="D105" s="436" t="s">
        <v>19</v>
      </c>
      <c r="E105" s="439">
        <v>8</v>
      </c>
      <c r="F105" s="448" t="s">
        <v>34</v>
      </c>
      <c r="G105" s="437">
        <f>IF(OR(BUReporting[[#This Row],[Period]]=1,OR(BUReporting[[#This Row],[Period]]=2,OR(BUReporting[[#This Row],[Period]]=3,OR(BUReporting[[#This Row],[Period]]=4,OR(BUReporting[[#This Row],[Period]]=5,BUReporting[[#This Row],[Period]]=6))))),VLOOKUP(BUReporting[[#This Row],[Program]],'Program MW '!$A$12:$S$23,5,FALSE),VLOOKUP(BUReporting[[#This Row],[Program]],'Program MW '!$A$35:$S$46,5,FALSE))</f>
        <v>16302</v>
      </c>
      <c r="H105" s="449">
        <f>VLOOKUP(BUReporting[[#This Row],[Program]],'Program MW '!$A$35:$S$46,6,FALSE)</f>
        <v>3.330096468642354</v>
      </c>
    </row>
    <row r="106" spans="1:8" ht="15.5" thickTop="1" thickBot="1">
      <c r="A106" s="450">
        <v>0</v>
      </c>
      <c r="B106" s="85" t="s">
        <v>8</v>
      </c>
      <c r="C106" s="451"/>
      <c r="D106" s="441" t="s">
        <v>9</v>
      </c>
      <c r="E106" s="446">
        <v>9</v>
      </c>
      <c r="F106" s="447" t="s">
        <v>35</v>
      </c>
      <c r="G106" s="437">
        <f>IF(OR(BUReporting[[#This Row],[Period]]=1,OR(BUReporting[[#This Row],[Period]]=2,OR(BUReporting[[#This Row],[Period]]=2,OR(BUReporting[[#This Row],[Period]]=4,OR(BUReporting[[#This Row],[Period]]=5,BUReporting[[#This Row],[Period]]=6))))),VLOOKUP(BUReporting[[#This Row],[Program]],'Program MW '!$A$9:$S$9,8,FALSE),VLOOKUP(BUReporting[[#This Row],[Program]],'Program MW '!$A$32:$S$32,8,FALSE))</f>
        <v>4</v>
      </c>
      <c r="H106" s="449">
        <f>IF(OR(BUReporting[[#This Row],[Period]]=1,OR(BUReporting[[#This Row],[Period]]=2,OR(BUReporting[[#This Row],[Period]]=3,OR(BUReporting[[#This Row],[Period]]=4,OR(BUReporting[[#This Row],[Period]]=5,BUReporting[[#This Row],[Period]]=6))))),VLOOKUP(BUReporting[[#This Row],[Program]],'Program MW '!$A$9:$S$9,9,FALSE),VLOOKUP(BUReporting[[#This Row],[Program]],'Program MW '!$A$32:$S$32,9,FALSE))</f>
        <v>0.80517370605468752</v>
      </c>
    </row>
    <row r="107" spans="1:8" ht="15.5" thickTop="1" thickBot="1">
      <c r="A107" s="438">
        <v>1</v>
      </c>
      <c r="B107" s="436" t="s">
        <v>11</v>
      </c>
      <c r="C107" s="451"/>
      <c r="D107" s="436" t="s">
        <v>9</v>
      </c>
      <c r="E107" s="439">
        <v>9</v>
      </c>
      <c r="F107" s="448" t="s">
        <v>35</v>
      </c>
      <c r="G107" s="437">
        <f>IF(OR(BUReporting[[#This Row],[Period]]=1,OR(BUReporting[[#This Row],[Period]]=2,OR(BUReporting[[#This Row],[Period]]=3,OR(BUReporting[[#This Row],[Period]]=4,OR(BUReporting[[#This Row],[Period]]=5,BUReporting[[#This Row],[Period]]=6))))),VLOOKUP(BUReporting[[#This Row],[Program]],'Program MW '!$A$12:$S$23,8,FALSE),VLOOKUP(BUReporting[[#This Row],[Program]],'Program MW '!$A$35:$S$46,8,FALSE))</f>
        <v>14592</v>
      </c>
      <c r="H107" s="449">
        <f>VLOOKUP(BUReporting[[#This Row],[Program]],'Program MW '!$A$35:$S$46,9,FALSE)</f>
        <v>5.2552533504000003</v>
      </c>
    </row>
    <row r="108" spans="1:8" ht="15.5" thickTop="1" thickBot="1">
      <c r="A108" s="438">
        <v>2</v>
      </c>
      <c r="B108" s="436" t="s">
        <v>12</v>
      </c>
      <c r="C108" s="451" t="s">
        <v>13</v>
      </c>
      <c r="D108" s="436" t="s">
        <v>9</v>
      </c>
      <c r="E108" s="439">
        <v>9</v>
      </c>
      <c r="F108" s="448" t="s">
        <v>35</v>
      </c>
      <c r="G108" s="437" t="e">
        <f>IF(OR(BUReporting[[#This Row],[Period]]=1,OR(BUReporting[[#This Row],[Period]]=2,OR(BUReporting[[#This Row],[Period]]=3,OR(BUReporting[[#This Row],[Period]]=4,OR(BUReporting[[#This Row],[Period]]=5,BUReporting[[#This Row],[Period]]=6))))),VLOOKUP(BUReporting[[#This Row],[Program]],'Program MW '!$A$12:$S$23,8,FALSE),VLOOKUP(BUReporting[[#This Row],[Program]],'Program MW '!$A$35:$S$46,8,FALSE))</f>
        <v>#N/A</v>
      </c>
      <c r="H108" s="449" t="e">
        <f>VLOOKUP(BUReporting[[#This Row],[Program]],'Program MW '!$A$35:$S$46,9,FALSE)</f>
        <v>#N/A</v>
      </c>
    </row>
    <row r="109" spans="1:8" ht="15.5" thickTop="1" thickBot="1">
      <c r="A109" s="438">
        <v>3</v>
      </c>
      <c r="B109" s="436" t="s">
        <v>14</v>
      </c>
      <c r="C109" s="451"/>
      <c r="D109" s="436" t="s">
        <v>9</v>
      </c>
      <c r="E109" s="439">
        <v>9</v>
      </c>
      <c r="F109" s="448" t="s">
        <v>35</v>
      </c>
      <c r="G109" s="437" t="e">
        <f>IF(OR(BUReporting[[#This Row],[Period]]=1,OR(BUReporting[[#This Row],[Period]]=2,OR(BUReporting[[#This Row],[Period]]=3,OR(BUReporting[[#This Row],[Period]]=4,OR(BUReporting[[#This Row],[Period]]=5,BUReporting[[#This Row],[Period]]=6))))),VLOOKUP(BUReporting[[#This Row],[Program]],'Program MW '!$A$12:$S$23,8,FALSE),VLOOKUP(BUReporting[[#This Row],[Program]],'Program MW '!$A$35:$S$46,8,FALSE))</f>
        <v>#N/A</v>
      </c>
      <c r="H109" s="449" t="e">
        <f>VLOOKUP(BUReporting[[#This Row],[Program]],'Program MW '!$A$35:$S$46,9,FALSE)</f>
        <v>#N/A</v>
      </c>
    </row>
    <row r="110" spans="1:8" ht="15.5" thickTop="1" thickBot="1">
      <c r="A110" s="438">
        <v>4</v>
      </c>
      <c r="B110" s="436" t="s">
        <v>15</v>
      </c>
      <c r="C110" s="451" t="s">
        <v>16</v>
      </c>
      <c r="D110" s="436" t="s">
        <v>9</v>
      </c>
      <c r="E110" s="439">
        <v>9</v>
      </c>
      <c r="F110" s="448" t="s">
        <v>35</v>
      </c>
      <c r="G110" s="437" t="e">
        <f>IF(OR(BUReporting[[#This Row],[Period]]=1,OR(BUReporting[[#This Row],[Period]]=2,OR(BUReporting[[#This Row],[Period]]=3,OR(BUReporting[[#This Row],[Period]]=4,OR(BUReporting[[#This Row],[Period]]=5,BUReporting[[#This Row],[Period]]=6))))),VLOOKUP(BUReporting[[#This Row],[Program]],'Program MW '!$A$12:$S$23,8,FALSE),VLOOKUP(BUReporting[[#This Row],[Program]],'Program MW '!$A$35:$S$46,8,FALSE))</f>
        <v>#N/A</v>
      </c>
      <c r="H110" s="449" t="e">
        <f>VLOOKUP(BUReporting[[#This Row],[Program]],'Program MW '!$A$35:$S$46,9,FALSE)</f>
        <v>#N/A</v>
      </c>
    </row>
    <row r="111" spans="1:8" ht="15.5" thickTop="1" thickBot="1">
      <c r="A111" s="438">
        <v>5</v>
      </c>
      <c r="B111" s="436" t="s">
        <v>17</v>
      </c>
      <c r="C111" s="451" t="s">
        <v>18</v>
      </c>
      <c r="D111" s="436" t="s">
        <v>19</v>
      </c>
      <c r="E111" s="439">
        <v>9</v>
      </c>
      <c r="F111" s="448" t="s">
        <v>35</v>
      </c>
      <c r="G111" s="437">
        <f>IF(OR(BUReporting[[#This Row],[Period]]=1,OR(BUReporting[[#This Row],[Period]]=2,OR(BUReporting[[#This Row],[Period]]=3,OR(BUReporting[[#This Row],[Period]]=4,OR(BUReporting[[#This Row],[Period]]=5,BUReporting[[#This Row],[Period]]=6))))),VLOOKUP(BUReporting[[#This Row],[Program]],'Program MW '!$A$12:$S$23,8,FALSE),VLOOKUP(BUReporting[[#This Row],[Program]],'Program MW '!$A$35:$S$46,8,FALSE))</f>
        <v>15535</v>
      </c>
      <c r="H111" s="449">
        <f>VLOOKUP(BUReporting[[#This Row],[Program]],'Program MW '!$A$35:$S$46,9,FALSE)</f>
        <v>5.8196271060407163</v>
      </c>
    </row>
    <row r="112" spans="1:8" ht="15.5" thickTop="1" thickBot="1">
      <c r="A112" s="438">
        <v>6</v>
      </c>
      <c r="B112" s="436" t="s">
        <v>20</v>
      </c>
      <c r="C112" s="451" t="s">
        <v>18</v>
      </c>
      <c r="D112" s="436" t="s">
        <v>9</v>
      </c>
      <c r="E112" s="439">
        <v>9</v>
      </c>
      <c r="F112" s="448" t="s">
        <v>35</v>
      </c>
      <c r="G112" s="437">
        <f>IF(OR(BUReporting[[#This Row],[Period]]=1,OR(BUReporting[[#This Row],[Period]]=2,OR(BUReporting[[#This Row],[Period]]=3,OR(BUReporting[[#This Row],[Period]]=4,OR(BUReporting[[#This Row],[Period]]=5,BUReporting[[#This Row],[Period]]=6))))),VLOOKUP(BUReporting[[#This Row],[Program]],'Program MW '!$A$12:$S$23,8,FALSE),VLOOKUP(BUReporting[[#This Row],[Program]],'Program MW '!$A$35:$S$46,8,FALSE))</f>
        <v>1042</v>
      </c>
      <c r="H112" s="449">
        <f>VLOOKUP(BUReporting[[#This Row],[Program]],'Program MW '!$A$35:$S$46,9,FALSE)</f>
        <v>0.65577575075626382</v>
      </c>
    </row>
    <row r="113" spans="1:8" ht="15.5" thickTop="1" thickBot="1">
      <c r="A113" s="438">
        <v>7</v>
      </c>
      <c r="B113" s="436" t="s">
        <v>21</v>
      </c>
      <c r="C113" s="451" t="s">
        <v>22</v>
      </c>
      <c r="D113" s="436" t="s">
        <v>19</v>
      </c>
      <c r="E113" s="439">
        <v>9</v>
      </c>
      <c r="F113" s="448" t="s">
        <v>35</v>
      </c>
      <c r="G113" s="437">
        <f>IF(OR(BUReporting[[#This Row],[Period]]=1,OR(BUReporting[[#This Row],[Period]]=2,OR(BUReporting[[#This Row],[Period]]=3,OR(BUReporting[[#This Row],[Period]]=4,OR(BUReporting[[#This Row],[Period]]=5,BUReporting[[#This Row],[Period]]=6))))),VLOOKUP(BUReporting[[#This Row],[Program]],'Program MW '!$A$12:$S$23,8,FALSE),VLOOKUP(BUReporting[[#This Row],[Program]],'Program MW '!$A$35:$S$46,8,FALSE))</f>
        <v>9223</v>
      </c>
      <c r="H113" s="449">
        <f>VLOOKUP(BUReporting[[#This Row],[Program]],'Program MW '!$A$35:$S$46,9,FALSE)</f>
        <v>2.6149446189000001</v>
      </c>
    </row>
    <row r="114" spans="1:8" ht="15.5" thickTop="1" thickBot="1">
      <c r="A114" s="438">
        <v>8</v>
      </c>
      <c r="B114" s="436" t="s">
        <v>23</v>
      </c>
      <c r="C114" s="451" t="s">
        <v>22</v>
      </c>
      <c r="D114" s="436" t="s">
        <v>9</v>
      </c>
      <c r="E114" s="439">
        <v>9</v>
      </c>
      <c r="F114" s="448" t="s">
        <v>35</v>
      </c>
      <c r="G114" s="437">
        <f>IF(OR(BUReporting[[#This Row],[Period]]=1,OR(BUReporting[[#This Row],[Period]]=2,OR(BUReporting[[#This Row],[Period]]=3,OR(BUReporting[[#This Row],[Period]]=4,OR(BUReporting[[#This Row],[Period]]=5,BUReporting[[#This Row],[Period]]=6))))),VLOOKUP(BUReporting[[#This Row],[Program]],'Program MW '!$A$12:$S$23,8,FALSE),VLOOKUP(BUReporting[[#This Row],[Program]],'Program MW '!$A$35:$S$46,8,FALSE))</f>
        <v>3171</v>
      </c>
      <c r="H114" s="449">
        <f>VLOOKUP(BUReporting[[#This Row],[Program]],'Program MW '!$A$35:$S$46,9,FALSE)</f>
        <v>0.56855142120000002</v>
      </c>
    </row>
    <row r="115" spans="1:8" ht="15.5" thickTop="1" thickBot="1">
      <c r="A115" s="438">
        <v>9</v>
      </c>
      <c r="B115" s="436" t="s">
        <v>24</v>
      </c>
      <c r="C115" s="451"/>
      <c r="D115" s="436" t="s">
        <v>9</v>
      </c>
      <c r="E115" s="439">
        <v>9</v>
      </c>
      <c r="F115" s="448" t="s">
        <v>35</v>
      </c>
      <c r="G115" s="437">
        <f>IF(OR(BUReporting[[#This Row],[Period]]=1,OR(BUReporting[[#This Row],[Period]]=2,OR(BUReporting[[#This Row],[Period]]=3,OR(BUReporting[[#This Row],[Period]]=4,OR(BUReporting[[#This Row],[Period]]=5,BUReporting[[#This Row],[Period]]=6))))),VLOOKUP(BUReporting[[#This Row],[Program]],'Program MW '!$A$12:$S$23,8,FALSE),VLOOKUP(BUReporting[[#This Row],[Program]],'Program MW '!$A$35:$S$46,8,FALSE))</f>
        <v>20</v>
      </c>
      <c r="H115" s="449">
        <f>VLOOKUP(BUReporting[[#This Row],[Program]],'Program MW '!$A$35:$S$46,9,FALSE)</f>
        <v>0.37407135599284436</v>
      </c>
    </row>
    <row r="116" spans="1:8" ht="15.5" thickTop="1" thickBot="1">
      <c r="A116" s="438">
        <v>10</v>
      </c>
      <c r="B116" s="436" t="s">
        <v>25</v>
      </c>
      <c r="C116" s="451"/>
      <c r="D116" s="436" t="s">
        <v>9</v>
      </c>
      <c r="E116" s="439">
        <v>9</v>
      </c>
      <c r="F116" s="448" t="s">
        <v>35</v>
      </c>
      <c r="G116" s="437">
        <f>IF(OR(BUReporting[[#This Row],[Period]]=1,OR(BUReporting[[#This Row],[Period]]=2,OR(BUReporting[[#This Row],[Period]]=3,OR(BUReporting[[#This Row],[Period]]=4,OR(BUReporting[[#This Row],[Period]]=5,BUReporting[[#This Row],[Period]]=6))))),VLOOKUP(BUReporting[[#This Row],[Program]],'Program MW '!$A$12:$S$23,8,FALSE),VLOOKUP(BUReporting[[#This Row],[Program]],'Program MW '!$A$35:$S$46,8,FALSE))</f>
        <v>129</v>
      </c>
      <c r="H116" s="449">
        <f>VLOOKUP(BUReporting[[#This Row],[Program]],'Program MW '!$A$35:$S$46,9,FALSE)</f>
        <v>2.1952503924944931</v>
      </c>
    </row>
    <row r="117" spans="1:8" ht="15.5" thickTop="1" thickBot="1">
      <c r="A117" s="438">
        <v>11</v>
      </c>
      <c r="B117" s="436" t="s">
        <v>26</v>
      </c>
      <c r="C117" s="451"/>
      <c r="D117" s="436" t="s">
        <v>9</v>
      </c>
      <c r="E117" s="439">
        <v>9</v>
      </c>
      <c r="F117" s="448" t="s">
        <v>35</v>
      </c>
      <c r="G117" s="437">
        <f>IF(OR(BUReporting[[#This Row],[Period]]=1,OR(BUReporting[[#This Row],[Period]]=2,OR(BUReporting[[#This Row],[Period]]=3,OR(BUReporting[[#This Row],[Period]]=4,OR(BUReporting[[#This Row],[Period]]=5,BUReporting[[#This Row],[Period]]=6))))),VLOOKUP(BUReporting[[#This Row],[Program]],'Program MW '!$A$12:$S$23,8,FALSE),VLOOKUP(BUReporting[[#This Row],[Program]],'Program MW '!$A$35:$S$46,8,FALSE))</f>
        <v>112227</v>
      </c>
      <c r="H117" s="449">
        <f>VLOOKUP(BUReporting[[#This Row],[Program]],'Program MW '!$A$35:$S$46,9,FALSE)</f>
        <v>1.9165666264425962</v>
      </c>
    </row>
    <row r="118" spans="1:8" ht="13.5" thickTop="1" thickBot="1">
      <c r="A118" s="438">
        <v>12</v>
      </c>
      <c r="B118" s="436" t="s">
        <v>27</v>
      </c>
      <c r="C118" s="435"/>
      <c r="D118" s="436" t="s">
        <v>19</v>
      </c>
      <c r="E118" s="439">
        <v>9</v>
      </c>
      <c r="F118" s="448" t="s">
        <v>35</v>
      </c>
      <c r="G118" s="437">
        <f>IF(OR(BUReporting[[#This Row],[Period]]=1,OR(BUReporting[[#This Row],[Period]]=2,OR(BUReporting[[#This Row],[Period]]=3,OR(BUReporting[[#This Row],[Period]]=4,OR(BUReporting[[#This Row],[Period]]=5,BUReporting[[#This Row],[Period]]=6))))),VLOOKUP(BUReporting[[#This Row],[Program]],'Program MW '!$A$12:$S$23,8,FALSE),VLOOKUP(BUReporting[[#This Row],[Program]],'Program MW '!$A$35:$S$46,8,FALSE))</f>
        <v>15944</v>
      </c>
      <c r="H118" s="449">
        <f>VLOOKUP(BUReporting[[#This Row],[Program]],'Program MW '!$A$35:$S$46,9,FALSE)</f>
        <v>3.3902472614645958</v>
      </c>
    </row>
    <row r="119" spans="1:8" ht="15.5" thickTop="1" thickBot="1">
      <c r="A119" s="450">
        <v>0</v>
      </c>
      <c r="B119" s="85" t="s">
        <v>8</v>
      </c>
      <c r="C119" s="451"/>
      <c r="D119" s="441" t="s">
        <v>9</v>
      </c>
      <c r="E119" s="446">
        <v>10</v>
      </c>
      <c r="F119" s="447" t="s">
        <v>36</v>
      </c>
      <c r="G119" s="437">
        <f>IF(OR(BUReporting[[#This Row],[Period]]=1,OR(BUReporting[[#This Row],[Period]]=2,OR(BUReporting[[#This Row],[Period]]=2,OR(BUReporting[[#This Row],[Period]]=4,OR(BUReporting[[#This Row],[Period]]=5,BUReporting[[#This Row],[Period]]=6))))),VLOOKUP(BUReporting[[#This Row],[Program]],'Program MW '!$A$9:$S$9,11,FALSE),VLOOKUP(BUReporting[[#This Row],[Program]],'Program MW '!$A$32:$S$32,11,FALSE))</f>
        <v>0</v>
      </c>
      <c r="H119" s="449">
        <f>IF(OR(BUReporting[[#This Row],[Period]]=1,OR(BUReporting[[#This Row],[Period]]=2,OR(BUReporting[[#This Row],[Period]]=3,OR(BUReporting[[#This Row],[Period]]=4,OR(BUReporting[[#This Row],[Period]]=5,BUReporting[[#This Row],[Period]]=6))))),VLOOKUP(BUReporting[[#This Row],[Program]],'Program MW '!$A$9:$S$9,12,FALSE),VLOOKUP(BUReporting[[#This Row],[Program]],'Program MW '!$A$32:$S$32,12,FALSE))</f>
        <v>0</v>
      </c>
    </row>
    <row r="120" spans="1:8" ht="15.5" thickTop="1" thickBot="1">
      <c r="A120" s="438">
        <v>1</v>
      </c>
      <c r="B120" s="436" t="s">
        <v>11</v>
      </c>
      <c r="C120" s="451"/>
      <c r="D120" s="436" t="s">
        <v>9</v>
      </c>
      <c r="E120" s="439">
        <v>10</v>
      </c>
      <c r="F120" s="448" t="s">
        <v>36</v>
      </c>
      <c r="G120" s="437">
        <f>IF(OR(BUReporting[[#This Row],[Period]]=1,OR(BUReporting[[#This Row],[Period]]=2,OR(BUReporting[[#This Row],[Period]]=3,OR(BUReporting[[#This Row],[Period]]=4,OR(BUReporting[[#This Row],[Period]]=5,BUReporting[[#This Row],[Period]]=6))))),VLOOKUP(BUReporting[[#This Row],[Program]],'Program MW '!$A$12:$S$23,11,FALSE),VLOOKUP(BUReporting[[#This Row],[Program]],'Program MW '!$A$35:$S$46,11,FALSE))</f>
        <v>0</v>
      </c>
      <c r="H120" s="449">
        <f>VLOOKUP(BUReporting[[#This Row],[Program]],'Program MW '!$A$35:$S$46,12,FALSE)</f>
        <v>0</v>
      </c>
    </row>
    <row r="121" spans="1:8" ht="15.5" thickTop="1" thickBot="1">
      <c r="A121" s="438">
        <v>2</v>
      </c>
      <c r="B121" s="436" t="s">
        <v>12</v>
      </c>
      <c r="C121" s="451" t="s">
        <v>13</v>
      </c>
      <c r="D121" s="436" t="s">
        <v>9</v>
      </c>
      <c r="E121" s="439">
        <v>10</v>
      </c>
      <c r="F121" s="448" t="s">
        <v>36</v>
      </c>
      <c r="G121" s="437" t="e">
        <f>IF(OR(BUReporting[[#This Row],[Period]]=1,OR(BUReporting[[#This Row],[Period]]=2,OR(BUReporting[[#This Row],[Period]]=3,OR(BUReporting[[#This Row],[Period]]=4,OR(BUReporting[[#This Row],[Period]]=5,BUReporting[[#This Row],[Period]]=6))))),VLOOKUP(BUReporting[[#This Row],[Program]],'Program MW '!$A$12:$S$23,11,FALSE),VLOOKUP(BUReporting[[#This Row],[Program]],'Program MW '!$A$35:$S$46,11,FALSE))</f>
        <v>#N/A</v>
      </c>
      <c r="H121" s="449" t="e">
        <f>VLOOKUP(BUReporting[[#This Row],[Program]],'Program MW '!$A$35:$S$46,12,FALSE)</f>
        <v>#N/A</v>
      </c>
    </row>
    <row r="122" spans="1:8" ht="15.5" thickTop="1" thickBot="1">
      <c r="A122" s="438">
        <v>3</v>
      </c>
      <c r="B122" s="436" t="s">
        <v>14</v>
      </c>
      <c r="C122" s="451"/>
      <c r="D122" s="436" t="s">
        <v>9</v>
      </c>
      <c r="E122" s="439">
        <v>10</v>
      </c>
      <c r="F122" s="448" t="s">
        <v>36</v>
      </c>
      <c r="G122" s="437" t="e">
        <f>IF(OR(BUReporting[[#This Row],[Period]]=1,OR(BUReporting[[#This Row],[Period]]=2,OR(BUReporting[[#This Row],[Period]]=3,OR(BUReporting[[#This Row],[Period]]=4,OR(BUReporting[[#This Row],[Period]]=5,BUReporting[[#This Row],[Period]]=6))))),VLOOKUP(BUReporting[[#This Row],[Program]],'Program MW '!$A$12:$S$23,11,FALSE),VLOOKUP(BUReporting[[#This Row],[Program]],'Program MW '!$A$35:$S$46,11,FALSE))</f>
        <v>#N/A</v>
      </c>
      <c r="H122" s="449" t="e">
        <f>VLOOKUP(BUReporting[[#This Row],[Program]],'Program MW '!$A$35:$S$46,12,FALSE)</f>
        <v>#N/A</v>
      </c>
    </row>
    <row r="123" spans="1:8" ht="15.5" thickTop="1" thickBot="1">
      <c r="A123" s="438">
        <v>4</v>
      </c>
      <c r="B123" s="436" t="s">
        <v>15</v>
      </c>
      <c r="C123" s="451" t="s">
        <v>16</v>
      </c>
      <c r="D123" s="436" t="s">
        <v>9</v>
      </c>
      <c r="E123" s="439">
        <v>10</v>
      </c>
      <c r="F123" s="448" t="s">
        <v>36</v>
      </c>
      <c r="G123" s="437" t="e">
        <f>IF(OR(BUReporting[[#This Row],[Period]]=1,OR(BUReporting[[#This Row],[Period]]=2,OR(BUReporting[[#This Row],[Period]]=3,OR(BUReporting[[#This Row],[Period]]=4,OR(BUReporting[[#This Row],[Period]]=5,BUReporting[[#This Row],[Period]]=6))))),VLOOKUP(BUReporting[[#This Row],[Program]],'Program MW '!$A$12:$S$23,11,FALSE),VLOOKUP(BUReporting[[#This Row],[Program]],'Program MW '!$A$35:$S$46,11,FALSE))</f>
        <v>#N/A</v>
      </c>
      <c r="H123" s="449" t="e">
        <f>VLOOKUP(BUReporting[[#This Row],[Program]],'Program MW '!$A$35:$S$46,12,FALSE)</f>
        <v>#N/A</v>
      </c>
    </row>
    <row r="124" spans="1:8" ht="15.5" thickTop="1" thickBot="1">
      <c r="A124" s="438">
        <v>5</v>
      </c>
      <c r="B124" s="436" t="s">
        <v>17</v>
      </c>
      <c r="C124" s="451" t="s">
        <v>18</v>
      </c>
      <c r="D124" s="436" t="s">
        <v>19</v>
      </c>
      <c r="E124" s="439">
        <v>10</v>
      </c>
      <c r="F124" s="448" t="s">
        <v>36</v>
      </c>
      <c r="G124" s="437">
        <f>IF(OR(BUReporting[[#This Row],[Period]]=1,OR(BUReporting[[#This Row],[Period]]=2,OR(BUReporting[[#This Row],[Period]]=3,OR(BUReporting[[#This Row],[Period]]=4,OR(BUReporting[[#This Row],[Period]]=5,BUReporting[[#This Row],[Period]]=6))))),VLOOKUP(BUReporting[[#This Row],[Program]],'Program MW '!$A$12:$S$23,11,FALSE),VLOOKUP(BUReporting[[#This Row],[Program]],'Program MW '!$A$35:$S$46,11,FALSE))</f>
        <v>0</v>
      </c>
      <c r="H124" s="449">
        <f>VLOOKUP(BUReporting[[#This Row],[Program]],'Program MW '!$A$35:$S$46,12,FALSE)</f>
        <v>0</v>
      </c>
    </row>
    <row r="125" spans="1:8" ht="15.5" thickTop="1" thickBot="1">
      <c r="A125" s="438">
        <v>6</v>
      </c>
      <c r="B125" s="436" t="s">
        <v>20</v>
      </c>
      <c r="C125" s="451" t="s">
        <v>18</v>
      </c>
      <c r="D125" s="436" t="s">
        <v>9</v>
      </c>
      <c r="E125" s="439">
        <v>10</v>
      </c>
      <c r="F125" s="448" t="s">
        <v>36</v>
      </c>
      <c r="G125" s="437">
        <f>IF(OR(BUReporting[[#This Row],[Period]]=1,OR(BUReporting[[#This Row],[Period]]=2,OR(BUReporting[[#This Row],[Period]]=3,OR(BUReporting[[#This Row],[Period]]=4,OR(BUReporting[[#This Row],[Period]]=5,BUReporting[[#This Row],[Period]]=6))))),VLOOKUP(BUReporting[[#This Row],[Program]],'Program MW '!$A$12:$S$23,11,FALSE),VLOOKUP(BUReporting[[#This Row],[Program]],'Program MW '!$A$35:$S$46,11,FALSE))</f>
        <v>0</v>
      </c>
      <c r="H125" s="449">
        <f>VLOOKUP(BUReporting[[#This Row],[Program]],'Program MW '!$A$35:$S$46,12,FALSE)</f>
        <v>0</v>
      </c>
    </row>
    <row r="126" spans="1:8" ht="15.5" thickTop="1" thickBot="1">
      <c r="A126" s="438">
        <v>7</v>
      </c>
      <c r="B126" s="436" t="s">
        <v>21</v>
      </c>
      <c r="C126" s="451" t="s">
        <v>22</v>
      </c>
      <c r="D126" s="436" t="s">
        <v>19</v>
      </c>
      <c r="E126" s="439">
        <v>10</v>
      </c>
      <c r="F126" s="448" t="s">
        <v>36</v>
      </c>
      <c r="G126" s="437">
        <f>IF(OR(BUReporting[[#This Row],[Period]]=1,OR(BUReporting[[#This Row],[Period]]=2,OR(BUReporting[[#This Row],[Period]]=3,OR(BUReporting[[#This Row],[Period]]=4,OR(BUReporting[[#This Row],[Period]]=5,BUReporting[[#This Row],[Period]]=6))))),VLOOKUP(BUReporting[[#This Row],[Program]],'Program MW '!$A$12:$S$23,11,FALSE),VLOOKUP(BUReporting[[#This Row],[Program]],'Program MW '!$A$35:$S$46,11,FALSE))</f>
        <v>0</v>
      </c>
      <c r="H126" s="449">
        <f>VLOOKUP(BUReporting[[#This Row],[Program]],'Program MW '!$A$35:$S$46,12,FALSE)</f>
        <v>0</v>
      </c>
    </row>
    <row r="127" spans="1:8" ht="15.5" thickTop="1" thickBot="1">
      <c r="A127" s="438">
        <v>8</v>
      </c>
      <c r="B127" s="436" t="s">
        <v>23</v>
      </c>
      <c r="C127" s="451" t="s">
        <v>22</v>
      </c>
      <c r="D127" s="436" t="s">
        <v>9</v>
      </c>
      <c r="E127" s="439">
        <v>10</v>
      </c>
      <c r="F127" s="448" t="s">
        <v>36</v>
      </c>
      <c r="G127" s="437">
        <f>IF(OR(BUReporting[[#This Row],[Period]]=1,OR(BUReporting[[#This Row],[Period]]=2,OR(BUReporting[[#This Row],[Period]]=3,OR(BUReporting[[#This Row],[Period]]=4,OR(BUReporting[[#This Row],[Period]]=5,BUReporting[[#This Row],[Period]]=6))))),VLOOKUP(BUReporting[[#This Row],[Program]],'Program MW '!$A$12:$S$23,11,FALSE),VLOOKUP(BUReporting[[#This Row],[Program]],'Program MW '!$A$35:$S$46,11,FALSE))</f>
        <v>0</v>
      </c>
      <c r="H127" s="449">
        <f>VLOOKUP(BUReporting[[#This Row],[Program]],'Program MW '!$A$35:$S$46,12,FALSE)</f>
        <v>0</v>
      </c>
    </row>
    <row r="128" spans="1:8" ht="15.5" thickTop="1" thickBot="1">
      <c r="A128" s="438">
        <v>9</v>
      </c>
      <c r="B128" s="436" t="s">
        <v>24</v>
      </c>
      <c r="C128" s="451"/>
      <c r="D128" s="436" t="s">
        <v>9</v>
      </c>
      <c r="E128" s="439">
        <v>10</v>
      </c>
      <c r="F128" s="448" t="s">
        <v>36</v>
      </c>
      <c r="G128" s="437">
        <f>IF(OR(BUReporting[[#This Row],[Period]]=1,OR(BUReporting[[#This Row],[Period]]=2,OR(BUReporting[[#This Row],[Period]]=3,OR(BUReporting[[#This Row],[Period]]=4,OR(BUReporting[[#This Row],[Period]]=5,BUReporting[[#This Row],[Period]]=6))))),VLOOKUP(BUReporting[[#This Row],[Program]],'Program MW '!$A$12:$S$23,11,FALSE),VLOOKUP(BUReporting[[#This Row],[Program]],'Program MW '!$A$35:$S$46,11,FALSE))</f>
        <v>0</v>
      </c>
      <c r="H128" s="449">
        <f>VLOOKUP(BUReporting[[#This Row],[Program]],'Program MW '!$A$35:$S$46,12,FALSE)</f>
        <v>0</v>
      </c>
    </row>
    <row r="129" spans="1:8" ht="15.5" thickTop="1" thickBot="1">
      <c r="A129" s="438">
        <v>10</v>
      </c>
      <c r="B129" s="436" t="s">
        <v>25</v>
      </c>
      <c r="C129" s="451"/>
      <c r="D129" s="436" t="s">
        <v>9</v>
      </c>
      <c r="E129" s="439">
        <v>10</v>
      </c>
      <c r="F129" s="448" t="s">
        <v>36</v>
      </c>
      <c r="G129" s="437">
        <f>IF(OR(BUReporting[[#This Row],[Period]]=1,OR(BUReporting[[#This Row],[Period]]=2,OR(BUReporting[[#This Row],[Period]]=3,OR(BUReporting[[#This Row],[Period]]=4,OR(BUReporting[[#This Row],[Period]]=5,BUReporting[[#This Row],[Period]]=6))))),VLOOKUP(BUReporting[[#This Row],[Program]],'Program MW '!$A$12:$S$23,11,FALSE),VLOOKUP(BUReporting[[#This Row],[Program]],'Program MW '!$A$35:$S$46,11,FALSE))</f>
        <v>0</v>
      </c>
      <c r="H129" s="449">
        <f>VLOOKUP(BUReporting[[#This Row],[Program]],'Program MW '!$A$35:$S$46,12,FALSE)</f>
        <v>0</v>
      </c>
    </row>
    <row r="130" spans="1:8" ht="15.5" thickTop="1" thickBot="1">
      <c r="A130" s="438">
        <v>11</v>
      </c>
      <c r="B130" s="436" t="s">
        <v>26</v>
      </c>
      <c r="C130" s="451"/>
      <c r="D130" s="436" t="s">
        <v>9</v>
      </c>
      <c r="E130" s="439">
        <v>10</v>
      </c>
      <c r="F130" s="448" t="s">
        <v>36</v>
      </c>
      <c r="G130" s="437">
        <f>IF(OR(BUReporting[[#This Row],[Period]]=1,OR(BUReporting[[#This Row],[Period]]=2,OR(BUReporting[[#This Row],[Period]]=3,OR(BUReporting[[#This Row],[Period]]=4,OR(BUReporting[[#This Row],[Period]]=5,BUReporting[[#This Row],[Period]]=6))))),VLOOKUP(BUReporting[[#This Row],[Program]],'Program MW '!$A$12:$S$23,11,FALSE),VLOOKUP(BUReporting[[#This Row],[Program]],'Program MW '!$A$35:$S$46,11,FALSE))</f>
        <v>0</v>
      </c>
      <c r="H130" s="449">
        <f>VLOOKUP(BUReporting[[#This Row],[Program]],'Program MW '!$A$35:$S$46,12,FALSE)</f>
        <v>0</v>
      </c>
    </row>
    <row r="131" spans="1:8" ht="13.5" thickTop="1" thickBot="1">
      <c r="A131" s="438">
        <v>12</v>
      </c>
      <c r="B131" s="436" t="s">
        <v>27</v>
      </c>
      <c r="C131" s="435"/>
      <c r="D131" s="436" t="s">
        <v>19</v>
      </c>
      <c r="E131" s="439">
        <v>10</v>
      </c>
      <c r="F131" s="448" t="s">
        <v>36</v>
      </c>
      <c r="G131" s="437">
        <f>IF(OR(BUReporting[[#This Row],[Period]]=1,OR(BUReporting[[#This Row],[Period]]=2,OR(BUReporting[[#This Row],[Period]]=3,OR(BUReporting[[#This Row],[Period]]=4,OR(BUReporting[[#This Row],[Period]]=5,BUReporting[[#This Row],[Period]]=6))))),VLOOKUP(BUReporting[[#This Row],[Program]],'Program MW '!$A$12:$S$23,11,FALSE),VLOOKUP(BUReporting[[#This Row],[Program]],'Program MW '!$A$35:$S$46,11,FALSE))</f>
        <v>0</v>
      </c>
      <c r="H131" s="449">
        <f>VLOOKUP(BUReporting[[#This Row],[Program]],'Program MW '!$A$35:$S$46,12,FALSE)</f>
        <v>0</v>
      </c>
    </row>
    <row r="132" spans="1:8" ht="15.5" thickTop="1" thickBot="1">
      <c r="A132" s="450">
        <v>0</v>
      </c>
      <c r="B132" s="85" t="s">
        <v>8</v>
      </c>
      <c r="C132" s="451"/>
      <c r="D132" s="441" t="s">
        <v>9</v>
      </c>
      <c r="E132" s="446">
        <v>11</v>
      </c>
      <c r="F132" s="447" t="s">
        <v>37</v>
      </c>
      <c r="G132" s="437">
        <f>IF(OR(BUReporting[[#This Row],[Period]]=1,OR(BUReporting[[#This Row],[Period]]=2,OR(BUReporting[[#This Row],[Period]]=2,OR(BUReporting[[#This Row],[Period]]=4,OR(BUReporting[[#This Row],[Period]]=5,BUReporting[[#This Row],[Period]]=6))))),VLOOKUP(BUReporting[[#This Row],[Program]],'Program MW '!$A$9:$S$9,14,FALSE),VLOOKUP(BUReporting[[#This Row],[Program]],'Program MW '!$A$32:$S$32,14,FALSE))</f>
        <v>0</v>
      </c>
      <c r="H132" s="449">
        <f>IF(OR(BUReporting[[#This Row],[Period]]=1,OR(BUReporting[[#This Row],[Period]]=2,OR(BUReporting[[#This Row],[Period]]=3,OR(BUReporting[[#This Row],[Period]]=4,OR(BUReporting[[#This Row],[Period]]=5,BUReporting[[#This Row],[Period]]=6))))),VLOOKUP(BUReporting[[#This Row],[Program]],'Program MW '!$A$9:$S$9,15,FALSE),VLOOKUP(BUReporting[[#This Row],[Program]],'Program MW '!$A$32:$S$32,15,FALSE))</f>
        <v>0</v>
      </c>
    </row>
    <row r="133" spans="1:8" ht="15.5" thickTop="1" thickBot="1">
      <c r="A133" s="438">
        <v>1</v>
      </c>
      <c r="B133" s="436" t="s">
        <v>11</v>
      </c>
      <c r="C133" s="451"/>
      <c r="D133" s="436" t="s">
        <v>9</v>
      </c>
      <c r="E133" s="439">
        <v>11</v>
      </c>
      <c r="F133" s="448" t="s">
        <v>37</v>
      </c>
      <c r="G133" s="437">
        <f>IF(OR(BUReporting[[#This Row],[Period]]=1,OR(BUReporting[[#This Row],[Period]]=2,OR(BUReporting[[#This Row],[Period]]=3,OR(BUReporting[[#This Row],[Period]]=4,OR(BUReporting[[#This Row],[Period]]=5,BUReporting[[#This Row],[Period]]=6))))),VLOOKUP(BUReporting[[#This Row],[Program]],'Program MW '!$A$12:$S$23,14,FALSE),VLOOKUP(BUReporting[[#This Row],[Program]],'Program MW '!$A$35:$S$46,14,FALSE))</f>
        <v>0</v>
      </c>
      <c r="H133" s="449">
        <f>VLOOKUP(BUReporting[[#This Row],[Program]],'Program MW '!$A$35:$S$46,15,FALSE)</f>
        <v>0</v>
      </c>
    </row>
    <row r="134" spans="1:8" ht="15.5" thickTop="1" thickBot="1">
      <c r="A134" s="438">
        <v>2</v>
      </c>
      <c r="B134" s="436" t="s">
        <v>12</v>
      </c>
      <c r="C134" s="451" t="s">
        <v>13</v>
      </c>
      <c r="D134" s="436" t="s">
        <v>9</v>
      </c>
      <c r="E134" s="439">
        <v>11</v>
      </c>
      <c r="F134" s="448" t="s">
        <v>37</v>
      </c>
      <c r="G134" s="437" t="e">
        <f>IF(OR(BUReporting[[#This Row],[Period]]=1,OR(BUReporting[[#This Row],[Period]]=2,OR(BUReporting[[#This Row],[Period]]=3,OR(BUReporting[[#This Row],[Period]]=4,OR(BUReporting[[#This Row],[Period]]=5,BUReporting[[#This Row],[Period]]=6))))),VLOOKUP(BUReporting[[#This Row],[Program]],'Program MW '!$A$12:$S$23,14,FALSE),VLOOKUP(BUReporting[[#This Row],[Program]],'Program MW '!$A$35:$S$46,14,FALSE))</f>
        <v>#N/A</v>
      </c>
      <c r="H134" s="449" t="e">
        <f>VLOOKUP(BUReporting[[#This Row],[Program]],'Program MW '!$A$35:$S$46,15,FALSE)</f>
        <v>#N/A</v>
      </c>
    </row>
    <row r="135" spans="1:8" ht="15.5" thickTop="1" thickBot="1">
      <c r="A135" s="438">
        <v>3</v>
      </c>
      <c r="B135" s="436" t="s">
        <v>14</v>
      </c>
      <c r="C135" s="451"/>
      <c r="D135" s="436" t="s">
        <v>9</v>
      </c>
      <c r="E135" s="439">
        <v>11</v>
      </c>
      <c r="F135" s="448" t="s">
        <v>37</v>
      </c>
      <c r="G135" s="437" t="e">
        <f>IF(OR(BUReporting[[#This Row],[Period]]=1,OR(BUReporting[[#This Row],[Period]]=2,OR(BUReporting[[#This Row],[Period]]=3,OR(BUReporting[[#This Row],[Period]]=4,OR(BUReporting[[#This Row],[Period]]=5,BUReporting[[#This Row],[Period]]=6))))),VLOOKUP(BUReporting[[#This Row],[Program]],'Program MW '!$A$12:$S$23,14,FALSE),VLOOKUP(BUReporting[[#This Row],[Program]],'Program MW '!$A$35:$S$46,14,FALSE))</f>
        <v>#N/A</v>
      </c>
      <c r="H135" s="449" t="e">
        <f>VLOOKUP(BUReporting[[#This Row],[Program]],'Program MW '!$A$35:$S$46,15,FALSE)</f>
        <v>#N/A</v>
      </c>
    </row>
    <row r="136" spans="1:8" ht="15.5" thickTop="1" thickBot="1">
      <c r="A136" s="438">
        <v>4</v>
      </c>
      <c r="B136" s="436" t="s">
        <v>15</v>
      </c>
      <c r="C136" s="451" t="s">
        <v>16</v>
      </c>
      <c r="D136" s="436" t="s">
        <v>9</v>
      </c>
      <c r="E136" s="439">
        <v>11</v>
      </c>
      <c r="F136" s="448" t="s">
        <v>37</v>
      </c>
      <c r="G136" s="437" t="e">
        <f>IF(OR(BUReporting[[#This Row],[Period]]=1,OR(BUReporting[[#This Row],[Period]]=2,OR(BUReporting[[#This Row],[Period]]=3,OR(BUReporting[[#This Row],[Period]]=4,OR(BUReporting[[#This Row],[Period]]=5,BUReporting[[#This Row],[Period]]=6))))),VLOOKUP(BUReporting[[#This Row],[Program]],'Program MW '!$A$12:$S$23,14,FALSE),VLOOKUP(BUReporting[[#This Row],[Program]],'Program MW '!$A$35:$S$46,14,FALSE))</f>
        <v>#N/A</v>
      </c>
      <c r="H136" s="449" t="e">
        <f>VLOOKUP(BUReporting[[#This Row],[Program]],'Program MW '!$A$35:$S$46,15,FALSE)</f>
        <v>#N/A</v>
      </c>
    </row>
    <row r="137" spans="1:8" ht="15.5" thickTop="1" thickBot="1">
      <c r="A137" s="438">
        <v>5</v>
      </c>
      <c r="B137" s="436" t="s">
        <v>17</v>
      </c>
      <c r="C137" s="451" t="s">
        <v>18</v>
      </c>
      <c r="D137" s="436" t="s">
        <v>19</v>
      </c>
      <c r="E137" s="439">
        <v>11</v>
      </c>
      <c r="F137" s="448" t="s">
        <v>37</v>
      </c>
      <c r="G137" s="437">
        <f>IF(OR(BUReporting[[#This Row],[Period]]=1,OR(BUReporting[[#This Row],[Period]]=2,OR(BUReporting[[#This Row],[Period]]=3,OR(BUReporting[[#This Row],[Period]]=4,OR(BUReporting[[#This Row],[Period]]=5,BUReporting[[#This Row],[Period]]=6))))),VLOOKUP(BUReporting[[#This Row],[Program]],'Program MW '!$A$12:$S$23,14,FALSE),VLOOKUP(BUReporting[[#This Row],[Program]],'Program MW '!$A$35:$S$46,14,FALSE))</f>
        <v>0</v>
      </c>
      <c r="H137" s="449">
        <f>VLOOKUP(BUReporting[[#This Row],[Program]],'Program MW '!$A$35:$S$46,15,FALSE)</f>
        <v>0</v>
      </c>
    </row>
    <row r="138" spans="1:8" ht="15.5" thickTop="1" thickBot="1">
      <c r="A138" s="438">
        <v>6</v>
      </c>
      <c r="B138" s="436" t="s">
        <v>20</v>
      </c>
      <c r="C138" s="451" t="s">
        <v>18</v>
      </c>
      <c r="D138" s="436" t="s">
        <v>9</v>
      </c>
      <c r="E138" s="439">
        <v>11</v>
      </c>
      <c r="F138" s="448" t="s">
        <v>37</v>
      </c>
      <c r="G138" s="437">
        <f>IF(OR(BUReporting[[#This Row],[Period]]=1,OR(BUReporting[[#This Row],[Period]]=2,OR(BUReporting[[#This Row],[Period]]=3,OR(BUReporting[[#This Row],[Period]]=4,OR(BUReporting[[#This Row],[Period]]=5,BUReporting[[#This Row],[Period]]=6))))),VLOOKUP(BUReporting[[#This Row],[Program]],'Program MW '!$A$12:$S$23,14,FALSE),VLOOKUP(BUReporting[[#This Row],[Program]],'Program MW '!$A$35:$S$46,14,FALSE))</f>
        <v>0</v>
      </c>
      <c r="H138" s="449">
        <f>VLOOKUP(BUReporting[[#This Row],[Program]],'Program MW '!$A$35:$S$46,15,FALSE)</f>
        <v>0</v>
      </c>
    </row>
    <row r="139" spans="1:8" ht="15.5" thickTop="1" thickBot="1">
      <c r="A139" s="438">
        <v>7</v>
      </c>
      <c r="B139" s="436" t="s">
        <v>21</v>
      </c>
      <c r="C139" s="451" t="s">
        <v>22</v>
      </c>
      <c r="D139" s="436" t="s">
        <v>19</v>
      </c>
      <c r="E139" s="439">
        <v>11</v>
      </c>
      <c r="F139" s="448" t="s">
        <v>37</v>
      </c>
      <c r="G139" s="437">
        <f>IF(OR(BUReporting[[#This Row],[Period]]=1,OR(BUReporting[[#This Row],[Period]]=2,OR(BUReporting[[#This Row],[Period]]=3,OR(BUReporting[[#This Row],[Period]]=4,OR(BUReporting[[#This Row],[Period]]=5,BUReporting[[#This Row],[Period]]=6))))),VLOOKUP(BUReporting[[#This Row],[Program]],'Program MW '!$A$12:$S$23,14,FALSE),VLOOKUP(BUReporting[[#This Row],[Program]],'Program MW '!$A$35:$S$46,14,FALSE))</f>
        <v>0</v>
      </c>
      <c r="H139" s="449">
        <f>VLOOKUP(BUReporting[[#This Row],[Program]],'Program MW '!$A$35:$S$46,15,FALSE)</f>
        <v>0</v>
      </c>
    </row>
    <row r="140" spans="1:8" ht="15.5" thickTop="1" thickBot="1">
      <c r="A140" s="438">
        <v>8</v>
      </c>
      <c r="B140" s="436" t="s">
        <v>23</v>
      </c>
      <c r="C140" s="451" t="s">
        <v>22</v>
      </c>
      <c r="D140" s="436" t="s">
        <v>9</v>
      </c>
      <c r="E140" s="439">
        <v>11</v>
      </c>
      <c r="F140" s="448" t="s">
        <v>37</v>
      </c>
      <c r="G140" s="437">
        <f>IF(OR(BUReporting[[#This Row],[Period]]=1,OR(BUReporting[[#This Row],[Period]]=2,OR(BUReporting[[#This Row],[Period]]=3,OR(BUReporting[[#This Row],[Period]]=4,OR(BUReporting[[#This Row],[Period]]=5,BUReporting[[#This Row],[Period]]=6))))),VLOOKUP(BUReporting[[#This Row],[Program]],'Program MW '!$A$12:$S$23,14,FALSE),VLOOKUP(BUReporting[[#This Row],[Program]],'Program MW '!$A$35:$S$46,14,FALSE))</f>
        <v>0</v>
      </c>
      <c r="H140" s="449">
        <f>VLOOKUP(BUReporting[[#This Row],[Program]],'Program MW '!$A$35:$S$46,15,FALSE)</f>
        <v>0</v>
      </c>
    </row>
    <row r="141" spans="1:8" ht="15.5" thickTop="1" thickBot="1">
      <c r="A141" s="438">
        <v>9</v>
      </c>
      <c r="B141" s="436" t="s">
        <v>24</v>
      </c>
      <c r="C141" s="451"/>
      <c r="D141" s="436" t="s">
        <v>9</v>
      </c>
      <c r="E141" s="439">
        <v>11</v>
      </c>
      <c r="F141" s="448" t="s">
        <v>37</v>
      </c>
      <c r="G141" s="437">
        <f>IF(OR(BUReporting[[#This Row],[Period]]=1,OR(BUReporting[[#This Row],[Period]]=2,OR(BUReporting[[#This Row],[Period]]=3,OR(BUReporting[[#This Row],[Period]]=4,OR(BUReporting[[#This Row],[Period]]=5,BUReporting[[#This Row],[Period]]=6))))),VLOOKUP(BUReporting[[#This Row],[Program]],'Program MW '!$A$12:$S$23,14,FALSE),VLOOKUP(BUReporting[[#This Row],[Program]],'Program MW '!$A$35:$S$46,14,FALSE))</f>
        <v>0</v>
      </c>
      <c r="H141" s="449">
        <f>VLOOKUP(BUReporting[[#This Row],[Program]],'Program MW '!$A$35:$S$46,15,FALSE)</f>
        <v>0</v>
      </c>
    </row>
    <row r="142" spans="1:8" ht="15.5" thickTop="1" thickBot="1">
      <c r="A142" s="438">
        <v>10</v>
      </c>
      <c r="B142" s="436" t="s">
        <v>25</v>
      </c>
      <c r="C142" s="451"/>
      <c r="D142" s="436" t="s">
        <v>9</v>
      </c>
      <c r="E142" s="439">
        <v>11</v>
      </c>
      <c r="F142" s="448" t="s">
        <v>37</v>
      </c>
      <c r="G142" s="437">
        <f>IF(OR(BUReporting[[#This Row],[Period]]=1,OR(BUReporting[[#This Row],[Period]]=2,OR(BUReporting[[#This Row],[Period]]=3,OR(BUReporting[[#This Row],[Period]]=4,OR(BUReporting[[#This Row],[Period]]=5,BUReporting[[#This Row],[Period]]=6))))),VLOOKUP(BUReporting[[#This Row],[Program]],'Program MW '!$A$12:$S$23,14,FALSE),VLOOKUP(BUReporting[[#This Row],[Program]],'Program MW '!$A$35:$S$46,14,FALSE))</f>
        <v>0</v>
      </c>
      <c r="H142" s="449">
        <f>VLOOKUP(BUReporting[[#This Row],[Program]],'Program MW '!$A$35:$S$46,15,FALSE)</f>
        <v>0</v>
      </c>
    </row>
    <row r="143" spans="1:8" ht="15.5" thickTop="1" thickBot="1">
      <c r="A143" s="438">
        <v>11</v>
      </c>
      <c r="B143" s="436" t="s">
        <v>26</v>
      </c>
      <c r="C143" s="451"/>
      <c r="D143" s="436" t="s">
        <v>9</v>
      </c>
      <c r="E143" s="439">
        <v>11</v>
      </c>
      <c r="F143" s="448" t="s">
        <v>37</v>
      </c>
      <c r="G143" s="437">
        <f>IF(OR(BUReporting[[#This Row],[Period]]=1,OR(BUReporting[[#This Row],[Period]]=2,OR(BUReporting[[#This Row],[Period]]=3,OR(BUReporting[[#This Row],[Period]]=4,OR(BUReporting[[#This Row],[Period]]=5,BUReporting[[#This Row],[Period]]=6))))),VLOOKUP(BUReporting[[#This Row],[Program]],'Program MW '!$A$12:$S$23,14,FALSE),VLOOKUP(BUReporting[[#This Row],[Program]],'Program MW '!$A$35:$S$46,14,FALSE))</f>
        <v>0</v>
      </c>
      <c r="H143" s="449">
        <f>VLOOKUP(BUReporting[[#This Row],[Program]],'Program MW '!$A$35:$S$46,15,FALSE)</f>
        <v>0</v>
      </c>
    </row>
    <row r="144" spans="1:8" ht="13.5" thickTop="1" thickBot="1">
      <c r="A144" s="438">
        <v>12</v>
      </c>
      <c r="B144" s="436" t="s">
        <v>27</v>
      </c>
      <c r="C144" s="435"/>
      <c r="D144" s="436" t="s">
        <v>19</v>
      </c>
      <c r="E144" s="439">
        <v>11</v>
      </c>
      <c r="F144" s="448" t="s">
        <v>37</v>
      </c>
      <c r="G144" s="437">
        <f>IF(OR(BUReporting[[#This Row],[Period]]=1,OR(BUReporting[[#This Row],[Period]]=2,OR(BUReporting[[#This Row],[Period]]=3,OR(BUReporting[[#This Row],[Period]]=4,OR(BUReporting[[#This Row],[Period]]=5,BUReporting[[#This Row],[Period]]=6))))),VLOOKUP(BUReporting[[#This Row],[Program]],'Program MW '!$A$12:$S$23,14,FALSE),VLOOKUP(BUReporting[[#This Row],[Program]],'Program MW '!$A$35:$S$46,14,FALSE))</f>
        <v>0</v>
      </c>
      <c r="H144" s="449">
        <f>VLOOKUP(BUReporting[[#This Row],[Program]],'Program MW '!$A$35:$S$46,15,FALSE)</f>
        <v>0</v>
      </c>
    </row>
    <row r="145" spans="1:8" ht="15.5" thickTop="1" thickBot="1">
      <c r="A145" s="450">
        <v>0</v>
      </c>
      <c r="B145" s="85" t="s">
        <v>8</v>
      </c>
      <c r="C145" s="451"/>
      <c r="D145" s="441" t="s">
        <v>9</v>
      </c>
      <c r="E145" s="446">
        <v>12</v>
      </c>
      <c r="F145" s="447" t="s">
        <v>38</v>
      </c>
      <c r="G145" s="437">
        <f>IF(OR(BUReporting[[#This Row],[Period]]=1,OR(BUReporting[[#This Row],[Period]]=2,OR(BUReporting[[#This Row],[Period]]=2,OR(BUReporting[[#This Row],[Period]]=4,OR(BUReporting[[#This Row],[Period]]=5,BUReporting[[#This Row],[Period]]=6))))),VLOOKUP(BUReporting[[#This Row],[Program]],'Program MW '!$A$9:$S$9,17,FALSE),VLOOKUP(BUReporting[[#This Row],[Program]],'Program MW '!$A$32:$S$32,17,FALSE))</f>
        <v>0</v>
      </c>
      <c r="H145" s="449">
        <f>IF(OR(BUReporting[[#This Row],[Period]]=1,OR(BUReporting[[#This Row],[Period]]=2,OR(BUReporting[[#This Row],[Period]]=3,OR(BUReporting[[#This Row],[Period]]=4,OR(BUReporting[[#This Row],[Period]]=5,BUReporting[[#This Row],[Period]]=6))))),VLOOKUP(BUReporting[[#This Row],[Program]],'Program MW '!$A$9:$S$9,18,FALSE),VLOOKUP(BUReporting[[#This Row],[Program]],'Program MW '!$A$32:$S$32,18,FALSE))</f>
        <v>0</v>
      </c>
    </row>
    <row r="146" spans="1:8" ht="15.5" thickTop="1" thickBot="1">
      <c r="A146" s="438">
        <v>1</v>
      </c>
      <c r="B146" s="436" t="s">
        <v>11</v>
      </c>
      <c r="C146" s="451"/>
      <c r="D146" s="436" t="s">
        <v>9</v>
      </c>
      <c r="E146" s="439">
        <v>12</v>
      </c>
      <c r="F146" s="448" t="s">
        <v>38</v>
      </c>
      <c r="G146" s="437">
        <f>IF(OR(BUReporting[[#This Row],[Period]]=1,OR(BUReporting[[#This Row],[Period]]=2,OR(BUReporting[[#This Row],[Period]]=3,OR(BUReporting[[#This Row],[Period]]=4,OR(BUReporting[[#This Row],[Period]]=5,BUReporting[[#This Row],[Period]]=6))))),VLOOKUP(BUReporting[[#This Row],[Program]],'Program MW '!$A$12:$S$23,17,FALSE),VLOOKUP(BUReporting[[#This Row],[Program]],'Program MW '!$A$35:$S$46,17,FALSE))</f>
        <v>0</v>
      </c>
      <c r="H146" s="449">
        <f>VLOOKUP(BUReporting[[#This Row],[Program]],'Program MW '!$A$35:$S$46,18,FALSE)</f>
        <v>0</v>
      </c>
    </row>
    <row r="147" spans="1:8" ht="15.5" thickTop="1" thickBot="1">
      <c r="A147" s="438">
        <v>2</v>
      </c>
      <c r="B147" s="436" t="s">
        <v>12</v>
      </c>
      <c r="C147" s="451" t="s">
        <v>13</v>
      </c>
      <c r="D147" s="436" t="s">
        <v>9</v>
      </c>
      <c r="E147" s="439">
        <v>12</v>
      </c>
      <c r="F147" s="448" t="s">
        <v>38</v>
      </c>
      <c r="G147" s="437" t="e">
        <f>IF(OR(BUReporting[[#This Row],[Period]]=1,OR(BUReporting[[#This Row],[Period]]=2,OR(BUReporting[[#This Row],[Period]]=3,OR(BUReporting[[#This Row],[Period]]=4,OR(BUReporting[[#This Row],[Period]]=5,BUReporting[[#This Row],[Period]]=6))))),VLOOKUP(BUReporting[[#This Row],[Program]],'Program MW '!$A$12:$S$23,17,FALSE),VLOOKUP(BUReporting[[#This Row],[Program]],'Program MW '!$A$35:$S$46,17,FALSE))</f>
        <v>#N/A</v>
      </c>
      <c r="H147" s="449" t="e">
        <f>VLOOKUP(BUReporting[[#This Row],[Program]],'Program MW '!$A$35:$S$46,18,FALSE)</f>
        <v>#N/A</v>
      </c>
    </row>
    <row r="148" spans="1:8" ht="15.5" thickTop="1" thickBot="1">
      <c r="A148" s="438">
        <v>3</v>
      </c>
      <c r="B148" s="436" t="s">
        <v>14</v>
      </c>
      <c r="C148" s="451"/>
      <c r="D148" s="436" t="s">
        <v>9</v>
      </c>
      <c r="E148" s="439">
        <v>12</v>
      </c>
      <c r="F148" s="448" t="s">
        <v>38</v>
      </c>
      <c r="G148" s="437" t="e">
        <f>IF(OR(BUReporting[[#This Row],[Period]]=1,OR(BUReporting[[#This Row],[Period]]=2,OR(BUReporting[[#This Row],[Period]]=3,OR(BUReporting[[#This Row],[Period]]=4,OR(BUReporting[[#This Row],[Period]]=5,BUReporting[[#This Row],[Period]]=6))))),VLOOKUP(BUReporting[[#This Row],[Program]],'Program MW '!$A$12:$S$23,17,FALSE),VLOOKUP(BUReporting[[#This Row],[Program]],'Program MW '!$A$35:$S$46,17,FALSE))</f>
        <v>#N/A</v>
      </c>
      <c r="H148" s="449" t="e">
        <f>VLOOKUP(BUReporting[[#This Row],[Program]],'Program MW '!$A$35:$S$46,18,FALSE)</f>
        <v>#N/A</v>
      </c>
    </row>
    <row r="149" spans="1:8" ht="15.5" thickTop="1" thickBot="1">
      <c r="A149" s="438">
        <v>4</v>
      </c>
      <c r="B149" s="436" t="s">
        <v>15</v>
      </c>
      <c r="C149" s="451" t="s">
        <v>16</v>
      </c>
      <c r="D149" s="436" t="s">
        <v>9</v>
      </c>
      <c r="E149" s="439">
        <v>12</v>
      </c>
      <c r="F149" s="448" t="s">
        <v>38</v>
      </c>
      <c r="G149" s="437" t="e">
        <f>IF(OR(BUReporting[[#This Row],[Period]]=1,OR(BUReporting[[#This Row],[Period]]=2,OR(BUReporting[[#This Row],[Period]]=3,OR(BUReporting[[#This Row],[Period]]=4,OR(BUReporting[[#This Row],[Period]]=5,BUReporting[[#This Row],[Period]]=6))))),VLOOKUP(BUReporting[[#This Row],[Program]],'Program MW '!$A$12:$S$23,17,FALSE),VLOOKUP(BUReporting[[#This Row],[Program]],'Program MW '!$A$35:$S$46,17,FALSE))</f>
        <v>#N/A</v>
      </c>
      <c r="H149" s="449" t="e">
        <f>VLOOKUP(BUReporting[[#This Row],[Program]],'Program MW '!$A$35:$S$46,18,FALSE)</f>
        <v>#N/A</v>
      </c>
    </row>
    <row r="150" spans="1:8" ht="15.5" thickTop="1" thickBot="1">
      <c r="A150" s="438">
        <v>5</v>
      </c>
      <c r="B150" s="436" t="s">
        <v>17</v>
      </c>
      <c r="C150" s="451" t="s">
        <v>18</v>
      </c>
      <c r="D150" s="436" t="s">
        <v>19</v>
      </c>
      <c r="E150" s="439">
        <v>12</v>
      </c>
      <c r="F150" s="448" t="s">
        <v>38</v>
      </c>
      <c r="G150" s="437">
        <f>IF(OR(BUReporting[[#This Row],[Period]]=1,OR(BUReporting[[#This Row],[Period]]=2,OR(BUReporting[[#This Row],[Period]]=3,OR(BUReporting[[#This Row],[Period]]=4,OR(BUReporting[[#This Row],[Period]]=5,BUReporting[[#This Row],[Period]]=6))))),VLOOKUP(BUReporting[[#This Row],[Program]],'Program MW '!$A$12:$S$23,17,FALSE),VLOOKUP(BUReporting[[#This Row],[Program]],'Program MW '!$A$35:$S$46,17,FALSE))</f>
        <v>0</v>
      </c>
      <c r="H150" s="449">
        <f>VLOOKUP(BUReporting[[#This Row],[Program]],'Program MW '!$A$35:$S$46,18,FALSE)</f>
        <v>0</v>
      </c>
    </row>
    <row r="151" spans="1:8" ht="15.5" thickTop="1" thickBot="1">
      <c r="A151" s="438">
        <v>6</v>
      </c>
      <c r="B151" s="436" t="s">
        <v>20</v>
      </c>
      <c r="C151" s="451" t="s">
        <v>18</v>
      </c>
      <c r="D151" s="436" t="s">
        <v>9</v>
      </c>
      <c r="E151" s="439">
        <v>12</v>
      </c>
      <c r="F151" s="448" t="s">
        <v>38</v>
      </c>
      <c r="G151" s="437">
        <f>IF(OR(BUReporting[[#This Row],[Period]]=1,OR(BUReporting[[#This Row],[Period]]=2,OR(BUReporting[[#This Row],[Period]]=3,OR(BUReporting[[#This Row],[Period]]=4,OR(BUReporting[[#This Row],[Period]]=5,BUReporting[[#This Row],[Period]]=6))))),VLOOKUP(BUReporting[[#This Row],[Program]],'Program MW '!$A$12:$S$23,17,FALSE),VLOOKUP(BUReporting[[#This Row],[Program]],'Program MW '!$A$35:$S$46,17,FALSE))</f>
        <v>0</v>
      </c>
      <c r="H151" s="449">
        <f>VLOOKUP(BUReporting[[#This Row],[Program]],'Program MW '!$A$35:$S$46,18,FALSE)</f>
        <v>0</v>
      </c>
    </row>
    <row r="152" spans="1:8" ht="15.5" thickTop="1" thickBot="1">
      <c r="A152" s="438">
        <v>7</v>
      </c>
      <c r="B152" s="436" t="s">
        <v>21</v>
      </c>
      <c r="C152" s="451" t="s">
        <v>22</v>
      </c>
      <c r="D152" s="436" t="s">
        <v>19</v>
      </c>
      <c r="E152" s="439">
        <v>12</v>
      </c>
      <c r="F152" s="448" t="s">
        <v>38</v>
      </c>
      <c r="G152" s="437">
        <f>IF(OR(BUReporting[[#This Row],[Period]]=1,OR(BUReporting[[#This Row],[Period]]=2,OR(BUReporting[[#This Row],[Period]]=3,OR(BUReporting[[#This Row],[Period]]=4,OR(BUReporting[[#This Row],[Period]]=5,BUReporting[[#This Row],[Period]]=6))))),VLOOKUP(BUReporting[[#This Row],[Program]],'Program MW '!$A$12:$S$23,17,FALSE),VLOOKUP(BUReporting[[#This Row],[Program]],'Program MW '!$A$35:$S$46,17,FALSE))</f>
        <v>0</v>
      </c>
      <c r="H152" s="449">
        <f>VLOOKUP(BUReporting[[#This Row],[Program]],'Program MW '!$A$35:$S$46,18,FALSE)</f>
        <v>0</v>
      </c>
    </row>
    <row r="153" spans="1:8" ht="15.5" thickTop="1" thickBot="1">
      <c r="A153" s="438">
        <v>8</v>
      </c>
      <c r="B153" s="436" t="s">
        <v>23</v>
      </c>
      <c r="C153" s="451" t="s">
        <v>22</v>
      </c>
      <c r="D153" s="436" t="s">
        <v>9</v>
      </c>
      <c r="E153" s="439">
        <v>12</v>
      </c>
      <c r="F153" s="448" t="s">
        <v>38</v>
      </c>
      <c r="G153" s="437">
        <f>IF(OR(BUReporting[[#This Row],[Period]]=1,OR(BUReporting[[#This Row],[Period]]=2,OR(BUReporting[[#This Row],[Period]]=3,OR(BUReporting[[#This Row],[Period]]=4,OR(BUReporting[[#This Row],[Period]]=5,BUReporting[[#This Row],[Period]]=6))))),VLOOKUP(BUReporting[[#This Row],[Program]],'Program MW '!$A$12:$S$23,17,FALSE),VLOOKUP(BUReporting[[#This Row],[Program]],'Program MW '!$A$35:$S$46,17,FALSE))</f>
        <v>0</v>
      </c>
      <c r="H153" s="449">
        <f>VLOOKUP(BUReporting[[#This Row],[Program]],'Program MW '!$A$35:$S$46,18,FALSE)</f>
        <v>0</v>
      </c>
    </row>
    <row r="154" spans="1:8" ht="15.5" thickTop="1" thickBot="1">
      <c r="A154" s="438">
        <v>9</v>
      </c>
      <c r="B154" s="436" t="s">
        <v>24</v>
      </c>
      <c r="C154" s="451"/>
      <c r="D154" s="436" t="s">
        <v>9</v>
      </c>
      <c r="E154" s="439">
        <v>12</v>
      </c>
      <c r="F154" s="448" t="s">
        <v>38</v>
      </c>
      <c r="G154" s="437">
        <f>IF(OR(BUReporting[[#This Row],[Period]]=1,OR(BUReporting[[#This Row],[Period]]=2,OR(BUReporting[[#This Row],[Period]]=3,OR(BUReporting[[#This Row],[Period]]=4,OR(BUReporting[[#This Row],[Period]]=5,BUReporting[[#This Row],[Period]]=6))))),VLOOKUP(BUReporting[[#This Row],[Program]],'Program MW '!$A$12:$S$23,17,FALSE),VLOOKUP(BUReporting[[#This Row],[Program]],'Program MW '!$A$35:$S$46,17,FALSE))</f>
        <v>0</v>
      </c>
      <c r="H154" s="449">
        <f>VLOOKUP(BUReporting[[#This Row],[Program]],'Program MW '!$A$35:$S$46,18,FALSE)</f>
        <v>0</v>
      </c>
    </row>
    <row r="155" spans="1:8" ht="15.5" thickTop="1" thickBot="1">
      <c r="A155" s="438">
        <v>10</v>
      </c>
      <c r="B155" s="436" t="s">
        <v>25</v>
      </c>
      <c r="C155" s="451"/>
      <c r="D155" s="436" t="s">
        <v>9</v>
      </c>
      <c r="E155" s="439">
        <v>12</v>
      </c>
      <c r="F155" s="448" t="s">
        <v>38</v>
      </c>
      <c r="G155" s="437">
        <f>IF(OR(BUReporting[[#This Row],[Period]]=1,OR(BUReporting[[#This Row],[Period]]=2,OR(BUReporting[[#This Row],[Period]]=3,OR(BUReporting[[#This Row],[Period]]=4,OR(BUReporting[[#This Row],[Period]]=5,BUReporting[[#This Row],[Period]]=6))))),VLOOKUP(BUReporting[[#This Row],[Program]],'Program MW '!$A$12:$S$23,17,FALSE),VLOOKUP(BUReporting[[#This Row],[Program]],'Program MW '!$A$35:$S$46,17,FALSE))</f>
        <v>0</v>
      </c>
      <c r="H155" s="449">
        <f>VLOOKUP(BUReporting[[#This Row],[Program]],'Program MW '!$A$35:$S$46,18,FALSE)</f>
        <v>0</v>
      </c>
    </row>
    <row r="156" spans="1:8" ht="15.5" thickTop="1" thickBot="1">
      <c r="A156" s="438">
        <v>11</v>
      </c>
      <c r="B156" s="436" t="s">
        <v>26</v>
      </c>
      <c r="C156" s="451"/>
      <c r="D156" s="436" t="s">
        <v>9</v>
      </c>
      <c r="E156" s="439">
        <v>12</v>
      </c>
      <c r="F156" s="448" t="s">
        <v>38</v>
      </c>
      <c r="G156" s="437">
        <f>IF(OR(BUReporting[[#This Row],[Period]]=1,OR(BUReporting[[#This Row],[Period]]=2,OR(BUReporting[[#This Row],[Period]]=3,OR(BUReporting[[#This Row],[Period]]=4,OR(BUReporting[[#This Row],[Period]]=5,BUReporting[[#This Row],[Period]]=6))))),VLOOKUP(BUReporting[[#This Row],[Program]],'Program MW '!$A$12:$S$23,17,FALSE),VLOOKUP(BUReporting[[#This Row],[Program]],'Program MW '!$A$35:$S$46,17,FALSE))</f>
        <v>0</v>
      </c>
      <c r="H156" s="449">
        <f>VLOOKUP(BUReporting[[#This Row],[Program]],'Program MW '!$A$35:$S$46,18,FALSE)</f>
        <v>0</v>
      </c>
    </row>
    <row r="157" spans="1:8" ht="13" thickTop="1">
      <c r="A157" s="438">
        <v>12</v>
      </c>
      <c r="B157" s="436" t="s">
        <v>27</v>
      </c>
      <c r="C157" s="435"/>
      <c r="D157" s="436" t="s">
        <v>19</v>
      </c>
      <c r="E157" s="439">
        <v>12</v>
      </c>
      <c r="F157" s="448" t="s">
        <v>38</v>
      </c>
      <c r="G157" s="437">
        <f>IF(OR(BUReporting[[#This Row],[Period]]=1,OR(BUReporting[[#This Row],[Period]]=2,OR(BUReporting[[#This Row],[Period]]=3,OR(BUReporting[[#This Row],[Period]]=4,OR(BUReporting[[#This Row],[Period]]=5,BUReporting[[#This Row],[Period]]=6))))),VLOOKUP(BUReporting[[#This Row],[Program]],'Program MW '!$A$12:$S$23,17,FALSE),VLOOKUP(BUReporting[[#This Row],[Program]],'Program MW '!$A$35:$S$46,17,FALSE))</f>
        <v>0</v>
      </c>
      <c r="H157" s="449">
        <f>VLOOKUP(BUReporting[[#This Row],[Program]],'Program MW '!$A$35:$S$46,18,FALSE)</f>
        <v>0</v>
      </c>
    </row>
  </sheetData>
  <pageMargins left="0.7" right="0.7" top="0.75" bottom="0.75" header="0.3" footer="0.3"/>
  <customProperties>
    <customPr name="_pios_id" r:id="rId1"/>
  </customProperties>
  <tableParts count="1">
    <tablePart r:id="rId2"/>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pageSetUpPr fitToPage="1"/>
  </sheetPr>
  <dimension ref="A2:N172"/>
  <sheetViews>
    <sheetView zoomScaleNormal="100" zoomScaleSheetLayoutView="90" workbookViewId="0">
      <selection activeCell="B10" sqref="B10"/>
    </sheetView>
  </sheetViews>
  <sheetFormatPr defaultColWidth="9.26953125" defaultRowHeight="14.25" customHeight="1"/>
  <cols>
    <col min="1" max="1" width="56.7265625" style="387" customWidth="1"/>
    <col min="2" max="2" width="30" style="257" customWidth="1"/>
    <col min="3" max="3" width="15.7265625" style="389" customWidth="1"/>
    <col min="4" max="4" width="27" style="387" bestFit="1" customWidth="1"/>
    <col min="5" max="5" width="15.7265625" style="387" customWidth="1"/>
    <col min="6" max="6" width="22" style="387" customWidth="1"/>
    <col min="7" max="7" width="37" style="387" customWidth="1"/>
    <col min="8" max="16384" width="9.26953125" style="388"/>
  </cols>
  <sheetData>
    <row r="2" spans="1:14" ht="13">
      <c r="C2" s="258" t="s">
        <v>39</v>
      </c>
    </row>
    <row r="3" spans="1:14" ht="13">
      <c r="C3" s="258" t="s">
        <v>231</v>
      </c>
    </row>
    <row r="4" spans="1:14" ht="13">
      <c r="C4" s="452" t="s">
        <v>349</v>
      </c>
    </row>
    <row r="5" spans="1:14" ht="13">
      <c r="C5" s="258"/>
    </row>
    <row r="7" spans="1:14" ht="15.5">
      <c r="A7" s="694" t="s">
        <v>232</v>
      </c>
      <c r="B7" s="695"/>
      <c r="C7" s="695"/>
      <c r="D7" s="695"/>
      <c r="E7" s="695"/>
      <c r="F7" s="695"/>
      <c r="G7" s="696"/>
    </row>
    <row r="8" spans="1:14" ht="28">
      <c r="A8" s="423" t="s">
        <v>225</v>
      </c>
      <c r="B8" s="423" t="s">
        <v>233</v>
      </c>
      <c r="C8" s="424" t="s">
        <v>228</v>
      </c>
      <c r="D8" s="423" t="s">
        <v>234</v>
      </c>
      <c r="E8" s="425" t="s">
        <v>235</v>
      </c>
      <c r="F8" s="425" t="s">
        <v>236</v>
      </c>
      <c r="G8" s="425" t="s">
        <v>237</v>
      </c>
    </row>
    <row r="9" spans="1:14" ht="14.25" customHeight="1">
      <c r="A9" s="546" t="s">
        <v>238</v>
      </c>
      <c r="B9" s="426">
        <v>1</v>
      </c>
      <c r="C9" s="547">
        <v>43984</v>
      </c>
      <c r="D9" s="427" t="s">
        <v>239</v>
      </c>
      <c r="E9" s="548">
        <v>0.87294310536484865</v>
      </c>
      <c r="F9" s="549" t="s">
        <v>240</v>
      </c>
      <c r="G9" s="428">
        <v>2</v>
      </c>
    </row>
    <row r="10" spans="1:14" ht="14.25" customHeight="1">
      <c r="A10" s="546" t="s">
        <v>238</v>
      </c>
      <c r="B10" s="426">
        <v>2</v>
      </c>
      <c r="C10" s="547">
        <v>43985</v>
      </c>
      <c r="D10" s="427" t="s">
        <v>239</v>
      </c>
      <c r="E10" s="548">
        <v>1.6640008917675333</v>
      </c>
      <c r="F10" s="549" t="s">
        <v>240</v>
      </c>
      <c r="G10" s="428">
        <v>4</v>
      </c>
    </row>
    <row r="11" spans="1:14" ht="14.25" customHeight="1">
      <c r="A11" s="546" t="s">
        <v>241</v>
      </c>
      <c r="B11" s="426">
        <v>3</v>
      </c>
      <c r="C11" s="547">
        <v>43984</v>
      </c>
      <c r="D11" s="427" t="s">
        <v>242</v>
      </c>
      <c r="E11" s="548">
        <v>0.30500092296163572</v>
      </c>
      <c r="F11" s="549" t="s">
        <v>240</v>
      </c>
      <c r="G11" s="428">
        <v>2</v>
      </c>
    </row>
    <row r="12" spans="1:14" ht="14.25" customHeight="1">
      <c r="A12" s="546" t="s">
        <v>241</v>
      </c>
      <c r="B12" s="426">
        <v>4</v>
      </c>
      <c r="C12" s="547">
        <v>43985</v>
      </c>
      <c r="D12" s="427" t="s">
        <v>242</v>
      </c>
      <c r="E12" s="548">
        <v>0.36058606179688218</v>
      </c>
      <c r="F12" s="549" t="s">
        <v>240</v>
      </c>
      <c r="G12" s="428">
        <v>4</v>
      </c>
    </row>
    <row r="13" spans="1:14" ht="14.25" customHeight="1">
      <c r="A13" s="546" t="s">
        <v>243</v>
      </c>
      <c r="B13" s="426">
        <v>5</v>
      </c>
      <c r="C13" s="547">
        <v>43985</v>
      </c>
      <c r="D13" s="427" t="s">
        <v>242</v>
      </c>
      <c r="E13" s="548">
        <v>0.2</v>
      </c>
      <c r="F13" s="549" t="s">
        <v>244</v>
      </c>
      <c r="G13" s="428">
        <v>2</v>
      </c>
    </row>
    <row r="14" spans="1:14" ht="18" customHeight="1">
      <c r="A14" s="546" t="s">
        <v>245</v>
      </c>
      <c r="B14" s="426">
        <v>6</v>
      </c>
      <c r="C14" s="547">
        <v>43985</v>
      </c>
      <c r="D14" s="427" t="s">
        <v>246</v>
      </c>
      <c r="E14" s="548">
        <v>2.7172703166408931</v>
      </c>
      <c r="F14" s="549" t="s">
        <v>240</v>
      </c>
      <c r="G14" s="428">
        <v>2</v>
      </c>
      <c r="N14" s="388">
        <v>15648</v>
      </c>
    </row>
    <row r="15" spans="1:14" ht="18.75" customHeight="1">
      <c r="A15" s="546" t="s">
        <v>238</v>
      </c>
      <c r="B15" s="426">
        <v>7</v>
      </c>
      <c r="C15" s="547">
        <v>43992</v>
      </c>
      <c r="D15" s="427" t="s">
        <v>239</v>
      </c>
      <c r="E15" s="548">
        <v>0.76196803612685282</v>
      </c>
      <c r="F15" s="550" t="s">
        <v>240</v>
      </c>
      <c r="G15" s="428">
        <v>6</v>
      </c>
      <c r="N15" s="388">
        <v>972</v>
      </c>
    </row>
    <row r="16" spans="1:14" ht="14.25" customHeight="1">
      <c r="A16" s="546" t="s">
        <v>247</v>
      </c>
      <c r="B16" s="426">
        <v>8</v>
      </c>
      <c r="C16" s="547">
        <v>43992</v>
      </c>
      <c r="D16" s="427" t="s">
        <v>239</v>
      </c>
      <c r="E16" s="548">
        <v>5.3595040000000003</v>
      </c>
      <c r="F16" s="550" t="s">
        <v>240</v>
      </c>
      <c r="G16" s="428">
        <v>2</v>
      </c>
    </row>
    <row r="17" spans="1:7" ht="14.25" customHeight="1">
      <c r="A17" s="546" t="s">
        <v>248</v>
      </c>
      <c r="B17" s="426">
        <v>9</v>
      </c>
      <c r="C17" s="547">
        <v>43992</v>
      </c>
      <c r="D17" s="427" t="s">
        <v>239</v>
      </c>
      <c r="E17" s="551">
        <v>0.43282929999999997</v>
      </c>
      <c r="F17" s="550" t="s">
        <v>240</v>
      </c>
      <c r="G17" s="428">
        <v>2</v>
      </c>
    </row>
    <row r="18" spans="1:7" ht="14.25" customHeight="1">
      <c r="A18" s="552" t="s">
        <v>238</v>
      </c>
      <c r="B18" s="426">
        <v>10</v>
      </c>
      <c r="C18" s="553">
        <v>44004</v>
      </c>
      <c r="D18" s="427" t="s">
        <v>239</v>
      </c>
      <c r="E18" s="551">
        <v>0.75432594725687063</v>
      </c>
      <c r="F18" s="550" t="s">
        <v>249</v>
      </c>
      <c r="G18" s="428">
        <v>8</v>
      </c>
    </row>
    <row r="19" spans="1:7" ht="14.25" customHeight="1">
      <c r="A19" s="546" t="s">
        <v>247</v>
      </c>
      <c r="B19" s="426">
        <v>11</v>
      </c>
      <c r="C19" s="553">
        <v>44004</v>
      </c>
      <c r="D19" s="427" t="s">
        <v>239</v>
      </c>
      <c r="E19" s="548">
        <v>1.43</v>
      </c>
      <c r="F19" s="550" t="s">
        <v>249</v>
      </c>
      <c r="G19" s="428">
        <v>4</v>
      </c>
    </row>
    <row r="20" spans="1:7" ht="14.25" customHeight="1">
      <c r="A20" s="546" t="s">
        <v>248</v>
      </c>
      <c r="B20" s="426">
        <v>12</v>
      </c>
      <c r="C20" s="553">
        <v>44004</v>
      </c>
      <c r="D20" s="427" t="s">
        <v>239</v>
      </c>
      <c r="E20" s="548">
        <v>0.28000000000000003</v>
      </c>
      <c r="F20" s="550" t="s">
        <v>249</v>
      </c>
      <c r="G20" s="428">
        <v>4</v>
      </c>
    </row>
    <row r="21" spans="1:7" ht="14.25" customHeight="1">
      <c r="A21" s="546" t="s">
        <v>238</v>
      </c>
      <c r="B21" s="426">
        <v>13</v>
      </c>
      <c r="C21" s="553">
        <v>44020</v>
      </c>
      <c r="D21" s="427" t="s">
        <v>239</v>
      </c>
      <c r="E21" s="548">
        <v>2.4777615653257274E-2</v>
      </c>
      <c r="F21" s="550" t="s">
        <v>250</v>
      </c>
      <c r="G21" s="428">
        <v>10</v>
      </c>
    </row>
    <row r="22" spans="1:7" ht="14.25" customHeight="1">
      <c r="A22" s="546" t="s">
        <v>247</v>
      </c>
      <c r="B22" s="426">
        <v>14</v>
      </c>
      <c r="C22" s="553">
        <v>44020</v>
      </c>
      <c r="D22" s="427" t="s">
        <v>239</v>
      </c>
      <c r="E22" s="548">
        <v>1.92</v>
      </c>
      <c r="F22" s="550" t="s">
        <v>250</v>
      </c>
      <c r="G22" s="428">
        <v>6</v>
      </c>
    </row>
    <row r="23" spans="1:7" ht="14.25" customHeight="1">
      <c r="A23" s="546" t="s">
        <v>238</v>
      </c>
      <c r="B23" s="426">
        <v>15</v>
      </c>
      <c r="C23" s="553">
        <v>44021</v>
      </c>
      <c r="D23" s="427" t="s">
        <v>239</v>
      </c>
      <c r="E23" s="548">
        <v>0.65303222578993159</v>
      </c>
      <c r="F23" s="550" t="s">
        <v>240</v>
      </c>
      <c r="G23" s="428">
        <v>12</v>
      </c>
    </row>
    <row r="24" spans="1:7" ht="14.25" customHeight="1">
      <c r="A24" s="546" t="s">
        <v>241</v>
      </c>
      <c r="B24" s="426">
        <v>16</v>
      </c>
      <c r="C24" s="553">
        <v>44022</v>
      </c>
      <c r="D24" s="427" t="s">
        <v>242</v>
      </c>
      <c r="E24" s="548">
        <v>0.17615686920676604</v>
      </c>
      <c r="F24" s="550" t="s">
        <v>240</v>
      </c>
      <c r="G24" s="428">
        <v>6</v>
      </c>
    </row>
    <row r="25" spans="1:7" ht="14.25" customHeight="1">
      <c r="A25" s="546" t="s">
        <v>245</v>
      </c>
      <c r="B25" s="426">
        <v>17</v>
      </c>
      <c r="C25" s="553">
        <v>44022</v>
      </c>
      <c r="D25" s="427" t="s">
        <v>246</v>
      </c>
      <c r="E25" s="548">
        <v>3.5406663068488209</v>
      </c>
      <c r="F25" s="550" t="s">
        <v>240</v>
      </c>
      <c r="G25" s="428">
        <v>4</v>
      </c>
    </row>
    <row r="26" spans="1:7" ht="14.25" customHeight="1">
      <c r="A26" s="546" t="s">
        <v>241</v>
      </c>
      <c r="B26" s="426">
        <v>18</v>
      </c>
      <c r="C26" s="553">
        <v>44025</v>
      </c>
      <c r="D26" s="427" t="s">
        <v>242</v>
      </c>
      <c r="E26" s="548">
        <v>0.20266879308888952</v>
      </c>
      <c r="F26" s="550" t="s">
        <v>240</v>
      </c>
      <c r="G26" s="428">
        <v>8</v>
      </c>
    </row>
    <row r="27" spans="1:7" ht="14.25" customHeight="1">
      <c r="A27" s="546" t="s">
        <v>245</v>
      </c>
      <c r="B27" s="426">
        <v>19</v>
      </c>
      <c r="C27" s="553">
        <v>44025</v>
      </c>
      <c r="D27" s="427" t="s">
        <v>246</v>
      </c>
      <c r="E27" s="548">
        <v>3.7652464934783172</v>
      </c>
      <c r="F27" s="550" t="s">
        <v>240</v>
      </c>
      <c r="G27" s="428">
        <v>6</v>
      </c>
    </row>
    <row r="28" spans="1:7" ht="14.25" customHeight="1">
      <c r="A28" s="546" t="s">
        <v>238</v>
      </c>
      <c r="B28" s="426">
        <v>20</v>
      </c>
      <c r="C28" s="553">
        <v>44022</v>
      </c>
      <c r="D28" s="427" t="s">
        <v>239</v>
      </c>
      <c r="E28" s="548">
        <v>0.65421572469126477</v>
      </c>
      <c r="F28" s="550" t="s">
        <v>240</v>
      </c>
      <c r="G28" s="428">
        <v>14</v>
      </c>
    </row>
    <row r="29" spans="1:7" ht="14.25" customHeight="1">
      <c r="A29" s="546" t="s">
        <v>247</v>
      </c>
      <c r="B29" s="426">
        <v>21</v>
      </c>
      <c r="C29" s="553">
        <v>44021</v>
      </c>
      <c r="D29" s="427" t="s">
        <v>239</v>
      </c>
      <c r="E29" s="548">
        <v>2.3199999999999998</v>
      </c>
      <c r="F29" s="550" t="s">
        <v>240</v>
      </c>
      <c r="G29" s="428">
        <v>8</v>
      </c>
    </row>
    <row r="30" spans="1:7" ht="14.25" customHeight="1">
      <c r="A30" s="546" t="s">
        <v>248</v>
      </c>
      <c r="B30" s="426">
        <v>22</v>
      </c>
      <c r="C30" s="553">
        <v>44021</v>
      </c>
      <c r="D30" s="427" t="s">
        <v>239</v>
      </c>
      <c r="E30" s="548">
        <v>0.55000000000000004</v>
      </c>
      <c r="F30" s="550" t="s">
        <v>240</v>
      </c>
      <c r="G30" s="428">
        <v>6</v>
      </c>
    </row>
    <row r="31" spans="1:7" ht="14.25" customHeight="1">
      <c r="A31" s="546" t="s">
        <v>247</v>
      </c>
      <c r="B31" s="426">
        <v>23</v>
      </c>
      <c r="C31" s="553">
        <v>44022</v>
      </c>
      <c r="D31" s="427" t="s">
        <v>239</v>
      </c>
      <c r="E31" s="548">
        <v>4.8499999999999996</v>
      </c>
      <c r="F31" s="550" t="s">
        <v>240</v>
      </c>
      <c r="G31" s="428">
        <v>10</v>
      </c>
    </row>
    <row r="32" spans="1:7" ht="14.25" customHeight="1">
      <c r="A32" s="546" t="s">
        <v>248</v>
      </c>
      <c r="B32" s="426">
        <v>24</v>
      </c>
      <c r="C32" s="553">
        <v>44022</v>
      </c>
      <c r="D32" s="427" t="s">
        <v>239</v>
      </c>
      <c r="E32" s="548">
        <v>0.56000000000000005</v>
      </c>
      <c r="F32" s="550" t="s">
        <v>240</v>
      </c>
      <c r="G32" s="428">
        <v>8</v>
      </c>
    </row>
    <row r="33" spans="1:7" ht="14.25" customHeight="1">
      <c r="A33" s="546" t="s">
        <v>248</v>
      </c>
      <c r="B33" s="426">
        <v>25</v>
      </c>
      <c r="C33" s="553">
        <v>44023</v>
      </c>
      <c r="D33" s="427" t="s">
        <v>239</v>
      </c>
      <c r="E33" s="548">
        <v>0.61</v>
      </c>
      <c r="F33" s="550" t="s">
        <v>240</v>
      </c>
      <c r="G33" s="428">
        <v>10</v>
      </c>
    </row>
    <row r="34" spans="1:7" ht="14.25" customHeight="1">
      <c r="A34" s="546" t="s">
        <v>247</v>
      </c>
      <c r="B34" s="426">
        <v>26</v>
      </c>
      <c r="C34" s="553">
        <v>44025</v>
      </c>
      <c r="D34" s="427" t="s">
        <v>239</v>
      </c>
      <c r="E34" s="548">
        <v>5.6</v>
      </c>
      <c r="F34" s="550" t="s">
        <v>240</v>
      </c>
      <c r="G34" s="428">
        <v>12</v>
      </c>
    </row>
    <row r="35" spans="1:7" ht="14.25" customHeight="1">
      <c r="A35" s="546" t="s">
        <v>248</v>
      </c>
      <c r="B35" s="426">
        <v>27</v>
      </c>
      <c r="C35" s="553">
        <v>44025</v>
      </c>
      <c r="D35" s="427" t="s">
        <v>239</v>
      </c>
      <c r="E35" s="548">
        <v>0.67</v>
      </c>
      <c r="F35" s="550" t="s">
        <v>240</v>
      </c>
      <c r="G35" s="428">
        <v>12</v>
      </c>
    </row>
    <row r="36" spans="1:7" ht="14.25" customHeight="1">
      <c r="A36" s="546" t="s">
        <v>247</v>
      </c>
      <c r="B36" s="426">
        <v>28</v>
      </c>
      <c r="C36" s="553">
        <v>44026</v>
      </c>
      <c r="D36" s="427" t="s">
        <v>239</v>
      </c>
      <c r="E36" s="548">
        <v>3.75</v>
      </c>
      <c r="F36" s="550" t="s">
        <v>240</v>
      </c>
      <c r="G36" s="428">
        <v>14</v>
      </c>
    </row>
    <row r="37" spans="1:7" ht="14.25" customHeight="1">
      <c r="A37" s="546" t="s">
        <v>238</v>
      </c>
      <c r="B37" s="426">
        <v>29</v>
      </c>
      <c r="C37" s="553">
        <v>44025</v>
      </c>
      <c r="D37" s="427" t="s">
        <v>239</v>
      </c>
      <c r="E37" s="548">
        <v>3.2607669166882296</v>
      </c>
      <c r="F37" s="550" t="s">
        <v>240</v>
      </c>
      <c r="G37" s="428">
        <v>16</v>
      </c>
    </row>
    <row r="38" spans="1:7" ht="14.25" customHeight="1">
      <c r="A38" s="546" t="s">
        <v>248</v>
      </c>
      <c r="B38" s="426">
        <v>30</v>
      </c>
      <c r="C38" s="553">
        <v>44026</v>
      </c>
      <c r="D38" s="427" t="s">
        <v>239</v>
      </c>
      <c r="E38" s="548">
        <v>0.53</v>
      </c>
      <c r="F38" s="550" t="s">
        <v>240</v>
      </c>
      <c r="G38" s="428">
        <v>14</v>
      </c>
    </row>
    <row r="39" spans="1:7" ht="14.25" customHeight="1">
      <c r="A39" s="546" t="s">
        <v>238</v>
      </c>
      <c r="B39" s="426">
        <v>31</v>
      </c>
      <c r="C39" s="553">
        <v>44039</v>
      </c>
      <c r="D39" s="427" t="s">
        <v>239</v>
      </c>
      <c r="E39" s="548">
        <v>0.97413929167736746</v>
      </c>
      <c r="F39" s="550" t="s">
        <v>240</v>
      </c>
      <c r="G39" s="428">
        <v>18</v>
      </c>
    </row>
    <row r="40" spans="1:7" ht="14.25" customHeight="1">
      <c r="A40" s="546" t="s">
        <v>238</v>
      </c>
      <c r="B40" s="426">
        <v>32</v>
      </c>
      <c r="C40" s="553">
        <v>44041</v>
      </c>
      <c r="D40" s="427" t="s">
        <v>239</v>
      </c>
      <c r="E40" s="548">
        <v>0.72716369878340181</v>
      </c>
      <c r="F40" s="550" t="s">
        <v>240</v>
      </c>
      <c r="G40" s="428">
        <v>20</v>
      </c>
    </row>
    <row r="41" spans="1:7" ht="14.25" customHeight="1">
      <c r="A41" s="546" t="s">
        <v>238</v>
      </c>
      <c r="B41" s="426">
        <v>33</v>
      </c>
      <c r="C41" s="553">
        <v>44042</v>
      </c>
      <c r="D41" s="427" t="s">
        <v>239</v>
      </c>
      <c r="E41" s="548">
        <v>1.0994028736593646</v>
      </c>
      <c r="F41" s="550" t="s">
        <v>251</v>
      </c>
      <c r="G41" s="428">
        <v>23</v>
      </c>
    </row>
    <row r="42" spans="1:7" ht="14.25" customHeight="1">
      <c r="A42" s="546" t="s">
        <v>238</v>
      </c>
      <c r="B42" s="426">
        <v>34</v>
      </c>
      <c r="C42" s="553">
        <v>44043</v>
      </c>
      <c r="D42" s="427" t="s">
        <v>239</v>
      </c>
      <c r="E42" s="548">
        <v>1.0999705377366087</v>
      </c>
      <c r="F42" s="550" t="s">
        <v>252</v>
      </c>
      <c r="G42" s="428">
        <v>26</v>
      </c>
    </row>
    <row r="43" spans="1:7" ht="14.25" customHeight="1">
      <c r="A43" s="546" t="s">
        <v>243</v>
      </c>
      <c r="B43" s="426">
        <v>35</v>
      </c>
      <c r="C43" s="553">
        <v>44041</v>
      </c>
      <c r="D43" s="427" t="s">
        <v>242</v>
      </c>
      <c r="E43" s="548">
        <v>2.6843261206185931E-3</v>
      </c>
      <c r="F43" s="550" t="s">
        <v>244</v>
      </c>
      <c r="G43" s="428">
        <v>4</v>
      </c>
    </row>
    <row r="44" spans="1:7" ht="14.25" customHeight="1">
      <c r="A44" s="546" t="s">
        <v>241</v>
      </c>
      <c r="B44" s="426">
        <v>36</v>
      </c>
      <c r="C44" s="553">
        <v>44041</v>
      </c>
      <c r="D44" s="427" t="s">
        <v>242</v>
      </c>
      <c r="E44" s="548">
        <v>0.55070926200119596</v>
      </c>
      <c r="F44" s="550" t="s">
        <v>240</v>
      </c>
      <c r="G44" s="428">
        <v>10</v>
      </c>
    </row>
    <row r="45" spans="1:7" ht="14.25" customHeight="1">
      <c r="A45" s="546" t="s">
        <v>245</v>
      </c>
      <c r="B45" s="426">
        <v>37</v>
      </c>
      <c r="C45" s="553">
        <v>44041</v>
      </c>
      <c r="D45" s="427" t="s">
        <v>246</v>
      </c>
      <c r="E45" s="548">
        <v>2.703297743777398</v>
      </c>
      <c r="F45" s="550" t="s">
        <v>240</v>
      </c>
      <c r="G45" s="428">
        <v>8</v>
      </c>
    </row>
    <row r="46" spans="1:7" ht="14.25" customHeight="1">
      <c r="A46" s="546" t="s">
        <v>243</v>
      </c>
      <c r="B46" s="426">
        <v>38</v>
      </c>
      <c r="C46" s="553">
        <v>44042</v>
      </c>
      <c r="D46" s="427" t="s">
        <v>242</v>
      </c>
      <c r="E46" s="548">
        <v>2.9115096920951516E-3</v>
      </c>
      <c r="F46" s="550" t="s">
        <v>244</v>
      </c>
      <c r="G46" s="428">
        <v>6</v>
      </c>
    </row>
    <row r="47" spans="1:7" ht="14.25" customHeight="1">
      <c r="A47" s="546" t="s">
        <v>241</v>
      </c>
      <c r="B47" s="426">
        <v>39</v>
      </c>
      <c r="C47" s="553">
        <v>44042</v>
      </c>
      <c r="D47" s="427" t="s">
        <v>242</v>
      </c>
      <c r="E47" s="548">
        <v>0.40164341113017532</v>
      </c>
      <c r="F47" s="550" t="s">
        <v>253</v>
      </c>
      <c r="G47" s="428">
        <v>14</v>
      </c>
    </row>
    <row r="48" spans="1:7" ht="14.25" customHeight="1">
      <c r="A48" s="546" t="s">
        <v>254</v>
      </c>
      <c r="B48" s="426">
        <v>40</v>
      </c>
      <c r="C48" s="553">
        <v>44042</v>
      </c>
      <c r="D48" s="427" t="s">
        <v>246</v>
      </c>
      <c r="E48" s="548">
        <v>0.70372002846344284</v>
      </c>
      <c r="F48" s="550" t="s">
        <v>244</v>
      </c>
      <c r="G48" s="428">
        <v>2</v>
      </c>
    </row>
    <row r="49" spans="1:7" ht="14.25" customHeight="1">
      <c r="A49" s="546" t="s">
        <v>245</v>
      </c>
      <c r="B49" s="426">
        <v>41</v>
      </c>
      <c r="C49" s="553">
        <v>44042</v>
      </c>
      <c r="D49" s="427" t="s">
        <v>246</v>
      </c>
      <c r="E49" s="548">
        <v>3.527342393988941</v>
      </c>
      <c r="F49" s="550" t="s">
        <v>240</v>
      </c>
      <c r="G49" s="428">
        <v>10</v>
      </c>
    </row>
    <row r="50" spans="1:7" ht="14.25" customHeight="1">
      <c r="A50" s="546" t="s">
        <v>243</v>
      </c>
      <c r="B50" s="426">
        <v>42</v>
      </c>
      <c r="C50" s="553">
        <v>44043</v>
      </c>
      <c r="D50" s="427" t="s">
        <v>242</v>
      </c>
      <c r="E50" s="548">
        <v>4.4469639950471844E-3</v>
      </c>
      <c r="F50" s="550" t="s">
        <v>244</v>
      </c>
      <c r="G50" s="428">
        <v>8</v>
      </c>
    </row>
    <row r="51" spans="1:7" ht="14.25" customHeight="1">
      <c r="A51" s="546" t="s">
        <v>241</v>
      </c>
      <c r="B51" s="426">
        <v>43</v>
      </c>
      <c r="C51" s="553">
        <v>44043</v>
      </c>
      <c r="D51" s="427" t="s">
        <v>242</v>
      </c>
      <c r="E51" s="548">
        <v>0.54681819370628615</v>
      </c>
      <c r="F51" s="550" t="s">
        <v>253</v>
      </c>
      <c r="G51" s="428">
        <v>18</v>
      </c>
    </row>
    <row r="52" spans="1:7" ht="14.25" customHeight="1">
      <c r="A52" s="546" t="s">
        <v>254</v>
      </c>
      <c r="B52" s="426">
        <v>44</v>
      </c>
      <c r="C52" s="553">
        <v>44043</v>
      </c>
      <c r="D52" s="427" t="s">
        <v>246</v>
      </c>
      <c r="E52" s="548">
        <v>0.50598413843733492</v>
      </c>
      <c r="F52" s="550" t="s">
        <v>244</v>
      </c>
      <c r="G52" s="428">
        <v>4</v>
      </c>
    </row>
    <row r="53" spans="1:7" ht="14.25" customHeight="1">
      <c r="A53" s="546" t="s">
        <v>245</v>
      </c>
      <c r="B53" s="426">
        <v>45</v>
      </c>
      <c r="C53" s="553">
        <v>44043</v>
      </c>
      <c r="D53" s="427" t="s">
        <v>246</v>
      </c>
      <c r="E53" s="548">
        <v>3.7953297506686328</v>
      </c>
      <c r="F53" s="550" t="s">
        <v>240</v>
      </c>
      <c r="G53" s="428">
        <v>12</v>
      </c>
    </row>
    <row r="54" spans="1:7" ht="14.25" customHeight="1">
      <c r="A54" s="546" t="s">
        <v>247</v>
      </c>
      <c r="B54" s="426">
        <v>46</v>
      </c>
      <c r="C54" s="553">
        <v>44041</v>
      </c>
      <c r="D54" s="427" t="s">
        <v>239</v>
      </c>
      <c r="E54" s="548">
        <v>2.6</v>
      </c>
      <c r="F54" s="550" t="s">
        <v>240</v>
      </c>
      <c r="G54" s="428">
        <v>16</v>
      </c>
    </row>
    <row r="55" spans="1:7" ht="14.25" customHeight="1">
      <c r="A55" s="546" t="s">
        <v>248</v>
      </c>
      <c r="B55" s="426">
        <v>47</v>
      </c>
      <c r="C55" s="553">
        <v>44041</v>
      </c>
      <c r="D55" s="427" t="s">
        <v>239</v>
      </c>
      <c r="E55" s="548">
        <v>0.31900000000000001</v>
      </c>
      <c r="F55" s="550" t="s">
        <v>240</v>
      </c>
      <c r="G55" s="428">
        <v>16</v>
      </c>
    </row>
    <row r="56" spans="1:7" ht="14.25" customHeight="1">
      <c r="A56" s="546" t="s">
        <v>247</v>
      </c>
      <c r="B56" s="426">
        <v>48</v>
      </c>
      <c r="C56" s="553">
        <v>44042</v>
      </c>
      <c r="D56" s="427" t="s">
        <v>239</v>
      </c>
      <c r="E56" s="548">
        <v>3.21</v>
      </c>
      <c r="F56" s="550" t="s">
        <v>251</v>
      </c>
      <c r="G56" s="428">
        <v>19</v>
      </c>
    </row>
    <row r="57" spans="1:7" ht="14.25" customHeight="1">
      <c r="A57" s="546" t="s">
        <v>248</v>
      </c>
      <c r="B57" s="426">
        <v>49</v>
      </c>
      <c r="C57" s="553">
        <v>44042</v>
      </c>
      <c r="D57" s="427" t="s">
        <v>239</v>
      </c>
      <c r="E57" s="548">
        <v>0.24299999999999999</v>
      </c>
      <c r="F57" s="550" t="s">
        <v>251</v>
      </c>
      <c r="G57" s="428">
        <v>19</v>
      </c>
    </row>
    <row r="58" spans="1:7" ht="14.25" customHeight="1">
      <c r="A58" s="546" t="s">
        <v>247</v>
      </c>
      <c r="B58" s="426">
        <v>50</v>
      </c>
      <c r="C58" s="553">
        <v>44043</v>
      </c>
      <c r="D58" s="427" t="s">
        <v>239</v>
      </c>
      <c r="E58" s="548">
        <v>4.08</v>
      </c>
      <c r="F58" s="550" t="s">
        <v>252</v>
      </c>
      <c r="G58" s="428">
        <v>22</v>
      </c>
    </row>
    <row r="59" spans="1:7" ht="14.25" customHeight="1">
      <c r="A59" s="546" t="s">
        <v>248</v>
      </c>
      <c r="B59" s="426">
        <v>51</v>
      </c>
      <c r="C59" s="553">
        <v>44043</v>
      </c>
      <c r="D59" s="427" t="s">
        <v>239</v>
      </c>
      <c r="E59" s="548">
        <v>0.61099999999999999</v>
      </c>
      <c r="F59" s="550" t="s">
        <v>252</v>
      </c>
      <c r="G59" s="428">
        <v>22</v>
      </c>
    </row>
    <row r="60" spans="1:7" ht="14.25" customHeight="1">
      <c r="A60" s="546" t="s">
        <v>247</v>
      </c>
      <c r="B60" s="426">
        <v>52</v>
      </c>
      <c r="C60" s="553">
        <v>44046</v>
      </c>
      <c r="D60" s="427" t="s">
        <v>239</v>
      </c>
      <c r="E60" s="548">
        <v>3.35</v>
      </c>
      <c r="F60" s="550" t="s">
        <v>240</v>
      </c>
      <c r="G60" s="428">
        <v>24</v>
      </c>
    </row>
    <row r="61" spans="1:7" ht="14.25" customHeight="1">
      <c r="A61" s="546" t="s">
        <v>248</v>
      </c>
      <c r="B61" s="426">
        <v>53</v>
      </c>
      <c r="C61" s="553">
        <v>44046</v>
      </c>
      <c r="D61" s="427" t="s">
        <v>239</v>
      </c>
      <c r="E61" s="548">
        <v>0.44</v>
      </c>
      <c r="F61" s="550" t="s">
        <v>240</v>
      </c>
      <c r="G61" s="428">
        <v>24</v>
      </c>
    </row>
    <row r="62" spans="1:7" ht="14.25" customHeight="1">
      <c r="A62" s="546" t="s">
        <v>241</v>
      </c>
      <c r="B62" s="426">
        <v>54</v>
      </c>
      <c r="C62" s="553">
        <v>44046</v>
      </c>
      <c r="D62" s="427" t="s">
        <v>242</v>
      </c>
      <c r="E62" s="548">
        <v>0.60808243104481741</v>
      </c>
      <c r="F62" s="550" t="s">
        <v>240</v>
      </c>
      <c r="G62" s="428">
        <v>20</v>
      </c>
    </row>
    <row r="63" spans="1:7" ht="14.25" customHeight="1">
      <c r="A63" s="546" t="s">
        <v>238</v>
      </c>
      <c r="B63" s="426">
        <v>55</v>
      </c>
      <c r="C63" s="553">
        <v>44057</v>
      </c>
      <c r="D63" s="427" t="s">
        <v>239</v>
      </c>
      <c r="E63" s="548">
        <v>2.854380904572813</v>
      </c>
      <c r="F63" s="550" t="s">
        <v>253</v>
      </c>
      <c r="G63" s="428">
        <v>30</v>
      </c>
    </row>
    <row r="64" spans="1:7" ht="14.25" customHeight="1">
      <c r="A64" s="546" t="s">
        <v>247</v>
      </c>
      <c r="B64" s="426">
        <v>56</v>
      </c>
      <c r="C64" s="553">
        <v>44057</v>
      </c>
      <c r="D64" s="427" t="s">
        <v>239</v>
      </c>
      <c r="E64" s="548">
        <v>5.16</v>
      </c>
      <c r="F64" s="550" t="s">
        <v>253</v>
      </c>
      <c r="G64" s="428">
        <v>28</v>
      </c>
    </row>
    <row r="65" spans="1:7" ht="14.25" customHeight="1">
      <c r="A65" s="546" t="s">
        <v>248</v>
      </c>
      <c r="B65" s="426">
        <v>57</v>
      </c>
      <c r="C65" s="553">
        <v>44057</v>
      </c>
      <c r="D65" s="427" t="s">
        <v>239</v>
      </c>
      <c r="E65" s="548">
        <v>2.06</v>
      </c>
      <c r="F65" s="550" t="s">
        <v>253</v>
      </c>
      <c r="G65" s="428">
        <v>28</v>
      </c>
    </row>
    <row r="66" spans="1:7" ht="14.25" customHeight="1">
      <c r="A66" s="546" t="s">
        <v>110</v>
      </c>
      <c r="B66" s="426">
        <v>58</v>
      </c>
      <c r="C66" s="553" t="s">
        <v>338</v>
      </c>
      <c r="D66" s="427" t="s">
        <v>339</v>
      </c>
      <c r="E66" s="548">
        <v>0.38195510546671452</v>
      </c>
      <c r="F66" s="550" t="s">
        <v>240</v>
      </c>
      <c r="G66" s="428">
        <v>2</v>
      </c>
    </row>
    <row r="67" spans="1:7" ht="14.25" customHeight="1">
      <c r="A67" s="546" t="s">
        <v>238</v>
      </c>
      <c r="B67" s="426">
        <v>59</v>
      </c>
      <c r="C67" s="553">
        <v>44060</v>
      </c>
      <c r="D67" s="427" t="s">
        <v>239</v>
      </c>
      <c r="E67" s="548">
        <v>3.9877592062911527</v>
      </c>
      <c r="F67" s="550" t="s">
        <v>252</v>
      </c>
      <c r="G67" s="428">
        <v>33</v>
      </c>
    </row>
    <row r="68" spans="1:7" ht="14.25" customHeight="1">
      <c r="A68" s="546" t="s">
        <v>247</v>
      </c>
      <c r="B68" s="426">
        <v>60</v>
      </c>
      <c r="C68" s="553">
        <v>44060</v>
      </c>
      <c r="D68" s="427" t="s">
        <v>239</v>
      </c>
      <c r="E68" s="548">
        <v>5.42</v>
      </c>
      <c r="F68" s="550" t="s">
        <v>252</v>
      </c>
      <c r="G68" s="428">
        <v>31</v>
      </c>
    </row>
    <row r="69" spans="1:7" ht="14.25" customHeight="1">
      <c r="A69" s="546" t="s">
        <v>248</v>
      </c>
      <c r="B69" s="426">
        <v>61</v>
      </c>
      <c r="C69" s="553">
        <v>44060</v>
      </c>
      <c r="D69" s="427" t="s">
        <v>239</v>
      </c>
      <c r="E69" s="548">
        <v>0.68</v>
      </c>
      <c r="F69" s="550" t="s">
        <v>252</v>
      </c>
      <c r="G69" s="428">
        <v>31</v>
      </c>
    </row>
    <row r="70" spans="1:7" ht="14.25" customHeight="1">
      <c r="A70" s="546" t="s">
        <v>110</v>
      </c>
      <c r="B70" s="426">
        <v>62</v>
      </c>
      <c r="C70" s="553">
        <v>44060</v>
      </c>
      <c r="D70" s="427" t="s">
        <v>339</v>
      </c>
      <c r="E70" s="548">
        <v>0.66040757306299658</v>
      </c>
      <c r="F70" s="550" t="s">
        <v>340</v>
      </c>
      <c r="G70" s="428">
        <v>4</v>
      </c>
    </row>
    <row r="71" spans="1:7" ht="14.25" customHeight="1">
      <c r="A71" s="546" t="s">
        <v>110</v>
      </c>
      <c r="B71" s="426">
        <v>63</v>
      </c>
      <c r="C71" s="553">
        <v>44061</v>
      </c>
      <c r="D71" s="427" t="s">
        <v>339</v>
      </c>
      <c r="E71" s="548">
        <v>8.4315267929227278E-2</v>
      </c>
      <c r="F71" s="550" t="s">
        <v>341</v>
      </c>
      <c r="G71" s="428">
        <v>5</v>
      </c>
    </row>
    <row r="72" spans="1:7" ht="14.25" customHeight="1">
      <c r="A72" s="546" t="s">
        <v>247</v>
      </c>
      <c r="B72" s="426">
        <v>64</v>
      </c>
      <c r="C72" s="553">
        <v>44061</v>
      </c>
      <c r="D72" s="427" t="s">
        <v>239</v>
      </c>
      <c r="E72" s="548">
        <v>6.07</v>
      </c>
      <c r="F72" s="550" t="s">
        <v>342</v>
      </c>
      <c r="G72" s="428">
        <v>35</v>
      </c>
    </row>
    <row r="73" spans="1:7" ht="14.25" customHeight="1">
      <c r="A73" s="546" t="s">
        <v>248</v>
      </c>
      <c r="B73" s="426">
        <v>65</v>
      </c>
      <c r="C73" s="553">
        <v>44061</v>
      </c>
      <c r="D73" s="427" t="s">
        <v>239</v>
      </c>
      <c r="E73" s="548">
        <v>1.0900000000000001</v>
      </c>
      <c r="F73" s="550" t="s">
        <v>342</v>
      </c>
      <c r="G73" s="428">
        <v>35</v>
      </c>
    </row>
    <row r="74" spans="1:7" ht="14.25" customHeight="1">
      <c r="A74" s="546" t="s">
        <v>243</v>
      </c>
      <c r="B74" s="426">
        <v>66</v>
      </c>
      <c r="C74" s="553">
        <v>44057</v>
      </c>
      <c r="D74" s="427" t="s">
        <v>242</v>
      </c>
      <c r="E74" s="548">
        <v>3.5143935297968199E-3</v>
      </c>
      <c r="F74" s="550" t="s">
        <v>340</v>
      </c>
      <c r="G74" s="428">
        <v>12</v>
      </c>
    </row>
    <row r="75" spans="1:7" ht="14.25" customHeight="1">
      <c r="A75" s="546" t="s">
        <v>241</v>
      </c>
      <c r="B75" s="426">
        <v>67</v>
      </c>
      <c r="C75" s="553">
        <v>44057</v>
      </c>
      <c r="D75" s="427" t="s">
        <v>242</v>
      </c>
      <c r="E75" s="548">
        <v>0.48305746408342076</v>
      </c>
      <c r="F75" s="550" t="s">
        <v>253</v>
      </c>
      <c r="G75" s="428">
        <v>24</v>
      </c>
    </row>
    <row r="76" spans="1:7" ht="14.25" customHeight="1">
      <c r="A76" s="546" t="s">
        <v>254</v>
      </c>
      <c r="B76" s="426">
        <v>68</v>
      </c>
      <c r="C76" s="553">
        <v>44057</v>
      </c>
      <c r="D76" s="427" t="s">
        <v>246</v>
      </c>
      <c r="E76" s="548">
        <v>0.3403662971957826</v>
      </c>
      <c r="F76" s="550" t="s">
        <v>340</v>
      </c>
      <c r="G76" s="428">
        <v>8</v>
      </c>
    </row>
    <row r="77" spans="1:7" ht="14.25" customHeight="1">
      <c r="A77" s="546" t="s">
        <v>245</v>
      </c>
      <c r="B77" s="426">
        <v>69</v>
      </c>
      <c r="C77" s="553">
        <v>44057</v>
      </c>
      <c r="D77" s="427" t="s">
        <v>246</v>
      </c>
      <c r="E77" s="548">
        <v>3.532358817103546</v>
      </c>
      <c r="F77" s="550" t="s">
        <v>253</v>
      </c>
      <c r="G77" s="428">
        <v>16</v>
      </c>
    </row>
    <row r="78" spans="1:7" ht="14.25" customHeight="1">
      <c r="A78" s="546" t="s">
        <v>243</v>
      </c>
      <c r="B78" s="426">
        <v>70</v>
      </c>
      <c r="C78" s="553">
        <v>44060</v>
      </c>
      <c r="D78" s="427" t="s">
        <v>242</v>
      </c>
      <c r="E78" s="548">
        <v>8.1305630342868723E-3</v>
      </c>
      <c r="F78" s="550" t="s">
        <v>340</v>
      </c>
      <c r="G78" s="428">
        <v>16</v>
      </c>
    </row>
    <row r="79" spans="1:7" ht="14.25" customHeight="1">
      <c r="A79" s="546" t="s">
        <v>241</v>
      </c>
      <c r="B79" s="426">
        <v>71</v>
      </c>
      <c r="C79" s="553">
        <v>44060</v>
      </c>
      <c r="D79" s="427" t="s">
        <v>242</v>
      </c>
      <c r="E79" s="548">
        <v>0.62492629135757327</v>
      </c>
      <c r="F79" s="550" t="s">
        <v>342</v>
      </c>
      <c r="G79" s="428">
        <v>28</v>
      </c>
    </row>
    <row r="80" spans="1:7" ht="14.25" customHeight="1">
      <c r="A80" s="546" t="s">
        <v>254</v>
      </c>
      <c r="B80" s="426">
        <v>72</v>
      </c>
      <c r="C80" s="553">
        <v>44060</v>
      </c>
      <c r="D80" s="427" t="s">
        <v>246</v>
      </c>
      <c r="E80" s="548">
        <v>0.59533208561115791</v>
      </c>
      <c r="F80" s="550" t="s">
        <v>340</v>
      </c>
      <c r="G80" s="428">
        <v>12</v>
      </c>
    </row>
    <row r="81" spans="1:7" ht="14.25" customHeight="1">
      <c r="A81" s="546" t="s">
        <v>245</v>
      </c>
      <c r="B81" s="426">
        <v>73</v>
      </c>
      <c r="C81" s="553">
        <v>44060</v>
      </c>
      <c r="D81" s="427" t="s">
        <v>246</v>
      </c>
      <c r="E81" s="548">
        <v>3.6070562349959765</v>
      </c>
      <c r="F81" s="550" t="s">
        <v>342</v>
      </c>
      <c r="G81" s="428">
        <v>20</v>
      </c>
    </row>
    <row r="82" spans="1:7" ht="14.25" customHeight="1">
      <c r="A82" s="546" t="s">
        <v>243</v>
      </c>
      <c r="B82" s="426">
        <v>74</v>
      </c>
      <c r="C82" s="553">
        <v>44061</v>
      </c>
      <c r="D82" s="427" t="s">
        <v>242</v>
      </c>
      <c r="E82" s="548">
        <v>-1.1943753209084676E-2</v>
      </c>
      <c r="F82" s="550" t="s">
        <v>340</v>
      </c>
      <c r="G82" s="428">
        <v>20</v>
      </c>
    </row>
    <row r="83" spans="1:7" ht="14.25" customHeight="1">
      <c r="A83" s="546" t="s">
        <v>241</v>
      </c>
      <c r="B83" s="426">
        <v>75</v>
      </c>
      <c r="C83" s="553">
        <v>44061</v>
      </c>
      <c r="D83" s="427" t="s">
        <v>242</v>
      </c>
      <c r="E83" s="548">
        <v>0.87264148782305384</v>
      </c>
      <c r="F83" s="550" t="s">
        <v>342</v>
      </c>
      <c r="G83" s="428">
        <v>32</v>
      </c>
    </row>
    <row r="84" spans="1:7" ht="14.25" customHeight="1">
      <c r="A84" s="546" t="s">
        <v>254</v>
      </c>
      <c r="B84" s="426">
        <v>76</v>
      </c>
      <c r="C84" s="553">
        <v>44061</v>
      </c>
      <c r="D84" s="427" t="s">
        <v>246</v>
      </c>
      <c r="E84" s="548">
        <v>0.81466310967002842</v>
      </c>
      <c r="F84" s="550" t="s">
        <v>340</v>
      </c>
      <c r="G84" s="428">
        <v>16</v>
      </c>
    </row>
    <row r="85" spans="1:7" ht="14.25" customHeight="1">
      <c r="A85" s="546" t="s">
        <v>245</v>
      </c>
      <c r="B85" s="426">
        <v>77</v>
      </c>
      <c r="C85" s="553">
        <v>44061</v>
      </c>
      <c r="D85" s="427" t="s">
        <v>246</v>
      </c>
      <c r="E85" s="548">
        <v>3.7440282784266508</v>
      </c>
      <c r="F85" s="550" t="s">
        <v>342</v>
      </c>
      <c r="G85" s="428">
        <v>24</v>
      </c>
    </row>
    <row r="86" spans="1:7" ht="14.25" customHeight="1">
      <c r="A86" s="546" t="s">
        <v>243</v>
      </c>
      <c r="B86" s="426">
        <v>78</v>
      </c>
      <c r="C86" s="553">
        <v>44062</v>
      </c>
      <c r="D86" s="427" t="s">
        <v>242</v>
      </c>
      <c r="E86" s="548">
        <v>-2.1560799552101249E-2</v>
      </c>
      <c r="F86" s="550" t="s">
        <v>340</v>
      </c>
      <c r="G86" s="428">
        <v>24</v>
      </c>
    </row>
    <row r="87" spans="1:7" ht="14.25" customHeight="1">
      <c r="A87" s="546" t="s">
        <v>241</v>
      </c>
      <c r="B87" s="426">
        <v>79</v>
      </c>
      <c r="C87" s="553">
        <v>44062</v>
      </c>
      <c r="D87" s="427" t="s">
        <v>242</v>
      </c>
      <c r="E87" s="548">
        <v>0.67758894843754369</v>
      </c>
      <c r="F87" s="550" t="s">
        <v>253</v>
      </c>
      <c r="G87" s="428">
        <v>36</v>
      </c>
    </row>
    <row r="88" spans="1:7" ht="14.25" customHeight="1">
      <c r="A88" s="546" t="s">
        <v>254</v>
      </c>
      <c r="B88" s="426">
        <v>80</v>
      </c>
      <c r="C88" s="553">
        <v>44062</v>
      </c>
      <c r="D88" s="427" t="s">
        <v>246</v>
      </c>
      <c r="E88" s="548">
        <v>0.74744128225655659</v>
      </c>
      <c r="F88" s="550" t="s">
        <v>340</v>
      </c>
      <c r="G88" s="428">
        <v>20</v>
      </c>
    </row>
    <row r="89" spans="1:7" ht="14.25" customHeight="1">
      <c r="A89" s="546" t="s">
        <v>245</v>
      </c>
      <c r="B89" s="426">
        <v>81</v>
      </c>
      <c r="C89" s="553">
        <v>44062</v>
      </c>
      <c r="D89" s="427" t="s">
        <v>246</v>
      </c>
      <c r="E89" s="548">
        <v>3.8289650431384628</v>
      </c>
      <c r="F89" s="550" t="s">
        <v>253</v>
      </c>
      <c r="G89" s="428">
        <v>28</v>
      </c>
    </row>
    <row r="90" spans="1:7" ht="14.25" customHeight="1">
      <c r="A90" s="546" t="s">
        <v>110</v>
      </c>
      <c r="B90" s="426">
        <v>82</v>
      </c>
      <c r="C90" s="553">
        <v>44062</v>
      </c>
      <c r="D90" s="427" t="s">
        <v>339</v>
      </c>
      <c r="E90" s="548">
        <v>0.30467900223224464</v>
      </c>
      <c r="F90" s="550" t="s">
        <v>240</v>
      </c>
      <c r="G90" s="428">
        <v>7</v>
      </c>
    </row>
    <row r="91" spans="1:7" ht="14.25" customHeight="1">
      <c r="A91" s="546" t="s">
        <v>238</v>
      </c>
      <c r="B91" s="426">
        <v>83</v>
      </c>
      <c r="C91" s="553">
        <v>44061</v>
      </c>
      <c r="D91" s="427" t="s">
        <v>239</v>
      </c>
      <c r="E91" s="548">
        <v>8.0637723870852867</v>
      </c>
      <c r="F91" s="550" t="s">
        <v>342</v>
      </c>
      <c r="G91" s="428">
        <v>37</v>
      </c>
    </row>
    <row r="92" spans="1:7" ht="14.25" customHeight="1">
      <c r="A92" s="546" t="s">
        <v>238</v>
      </c>
      <c r="B92" s="426">
        <v>84</v>
      </c>
      <c r="C92" s="553">
        <v>44062</v>
      </c>
      <c r="D92" s="427" t="s">
        <v>239</v>
      </c>
      <c r="E92" s="548">
        <v>4.6379533259022585</v>
      </c>
      <c r="F92" s="550" t="s">
        <v>240</v>
      </c>
      <c r="G92" s="428">
        <v>39</v>
      </c>
    </row>
    <row r="93" spans="1:7" ht="14.25" customHeight="1">
      <c r="A93" s="546" t="s">
        <v>247</v>
      </c>
      <c r="B93" s="426">
        <v>85</v>
      </c>
      <c r="C93" s="553">
        <v>44062</v>
      </c>
      <c r="D93" s="427" t="s">
        <v>239</v>
      </c>
      <c r="E93" s="548">
        <v>6.44</v>
      </c>
      <c r="F93" s="550" t="s">
        <v>240</v>
      </c>
      <c r="G93" s="428">
        <v>37</v>
      </c>
    </row>
    <row r="94" spans="1:7" ht="14.25" customHeight="1">
      <c r="A94" s="546" t="s">
        <v>248</v>
      </c>
      <c r="B94" s="426">
        <v>86</v>
      </c>
      <c r="C94" s="553">
        <v>44062</v>
      </c>
      <c r="D94" s="427" t="s">
        <v>239</v>
      </c>
      <c r="E94" s="548">
        <v>0.83</v>
      </c>
      <c r="F94" s="550" t="s">
        <v>240</v>
      </c>
      <c r="G94" s="428">
        <v>37</v>
      </c>
    </row>
    <row r="95" spans="1:7" ht="14.25" customHeight="1">
      <c r="A95" s="546" t="s">
        <v>238</v>
      </c>
      <c r="B95" s="426">
        <v>87</v>
      </c>
      <c r="C95" s="553">
        <v>44064</v>
      </c>
      <c r="D95" s="427" t="s">
        <v>239</v>
      </c>
      <c r="E95" s="548">
        <v>4.2462326480807189</v>
      </c>
      <c r="F95" s="550" t="s">
        <v>240</v>
      </c>
      <c r="G95" s="428">
        <v>41</v>
      </c>
    </row>
    <row r="96" spans="1:7" ht="14.25" customHeight="1">
      <c r="A96" s="546" t="s">
        <v>110</v>
      </c>
      <c r="B96" s="426">
        <v>88</v>
      </c>
      <c r="C96" s="553">
        <v>44063</v>
      </c>
      <c r="D96" s="427" t="s">
        <v>339</v>
      </c>
      <c r="E96" s="548">
        <v>0.25115609125783694</v>
      </c>
      <c r="F96" s="550" t="s">
        <v>240</v>
      </c>
      <c r="G96" s="428">
        <v>9</v>
      </c>
    </row>
    <row r="97" spans="1:7" ht="14.25" customHeight="1">
      <c r="A97" s="546" t="s">
        <v>243</v>
      </c>
      <c r="B97" s="426">
        <v>89</v>
      </c>
      <c r="C97" s="553">
        <v>44064</v>
      </c>
      <c r="D97" s="427" t="s">
        <v>242</v>
      </c>
      <c r="E97" s="548">
        <v>1.6726649026147327E-2</v>
      </c>
      <c r="F97" s="550" t="s">
        <v>244</v>
      </c>
      <c r="G97" s="428">
        <v>26</v>
      </c>
    </row>
    <row r="98" spans="1:7" ht="14.25" customHeight="1">
      <c r="A98" s="546" t="s">
        <v>241</v>
      </c>
      <c r="B98" s="426">
        <v>90</v>
      </c>
      <c r="C98" s="553">
        <v>44064</v>
      </c>
      <c r="D98" s="427" t="s">
        <v>242</v>
      </c>
      <c r="E98" s="548">
        <v>0.38677621589732009</v>
      </c>
      <c r="F98" s="550" t="s">
        <v>253</v>
      </c>
      <c r="G98" s="428">
        <v>40</v>
      </c>
    </row>
    <row r="99" spans="1:7" ht="14.25" customHeight="1">
      <c r="A99" s="546" t="s">
        <v>254</v>
      </c>
      <c r="B99" s="426">
        <v>91</v>
      </c>
      <c r="C99" s="553">
        <v>44064</v>
      </c>
      <c r="D99" s="427" t="s">
        <v>246</v>
      </c>
      <c r="E99" s="548">
        <v>0.36444113687432766</v>
      </c>
      <c r="F99" s="550" t="s">
        <v>244</v>
      </c>
      <c r="G99" s="428">
        <v>22</v>
      </c>
    </row>
    <row r="100" spans="1:7" ht="14.25" customHeight="1">
      <c r="A100" s="546" t="s">
        <v>245</v>
      </c>
      <c r="B100" s="426">
        <v>92</v>
      </c>
      <c r="C100" s="553">
        <v>44064</v>
      </c>
      <c r="D100" s="427" t="s">
        <v>246</v>
      </c>
      <c r="E100" s="548">
        <v>5.3244683282538627</v>
      </c>
      <c r="F100" s="550" t="s">
        <v>240</v>
      </c>
      <c r="G100" s="428">
        <v>30</v>
      </c>
    </row>
    <row r="101" spans="1:7" ht="14.25" customHeight="1">
      <c r="A101" s="546" t="s">
        <v>247</v>
      </c>
      <c r="B101" s="426">
        <v>93</v>
      </c>
      <c r="C101" s="553">
        <v>44064</v>
      </c>
      <c r="D101" s="427" t="s">
        <v>239</v>
      </c>
      <c r="E101" s="548">
        <v>7.49</v>
      </c>
      <c r="F101" s="550" t="s">
        <v>240</v>
      </c>
      <c r="G101" s="428">
        <v>39</v>
      </c>
    </row>
    <row r="102" spans="1:7" ht="14.25" customHeight="1">
      <c r="A102" s="546" t="s">
        <v>248</v>
      </c>
      <c r="B102" s="426">
        <v>94</v>
      </c>
      <c r="C102" s="553">
        <v>44064</v>
      </c>
      <c r="D102" s="427" t="s">
        <v>239</v>
      </c>
      <c r="E102" s="548">
        <v>1.2</v>
      </c>
      <c r="F102" s="550" t="s">
        <v>240</v>
      </c>
      <c r="G102" s="428">
        <v>39</v>
      </c>
    </row>
    <row r="103" spans="1:7" ht="14.25" customHeight="1">
      <c r="A103" s="546" t="s">
        <v>343</v>
      </c>
      <c r="B103" s="426">
        <v>95</v>
      </c>
      <c r="C103" s="553">
        <v>44060</v>
      </c>
      <c r="D103" s="427" t="s">
        <v>339</v>
      </c>
      <c r="E103" s="548">
        <v>2.2200000000000002</v>
      </c>
      <c r="F103" s="550" t="s">
        <v>344</v>
      </c>
      <c r="G103" s="428">
        <v>4</v>
      </c>
    </row>
    <row r="104" spans="1:7" ht="14.25" customHeight="1">
      <c r="A104" s="546" t="s">
        <v>345</v>
      </c>
      <c r="B104" s="426">
        <v>96</v>
      </c>
      <c r="C104" s="553">
        <v>44060</v>
      </c>
      <c r="D104" s="427" t="s">
        <v>339</v>
      </c>
      <c r="E104" s="548">
        <v>5.3</v>
      </c>
      <c r="F104" s="550" t="s">
        <v>344</v>
      </c>
      <c r="G104" s="428">
        <v>4</v>
      </c>
    </row>
    <row r="105" spans="1:7" ht="14.25" customHeight="1">
      <c r="A105" s="546" t="s">
        <v>343</v>
      </c>
      <c r="B105" s="426">
        <v>97</v>
      </c>
      <c r="C105" s="553">
        <v>44061</v>
      </c>
      <c r="D105" s="427" t="s">
        <v>339</v>
      </c>
      <c r="E105" s="548">
        <v>1.78</v>
      </c>
      <c r="F105" s="550" t="s">
        <v>344</v>
      </c>
      <c r="G105" s="428">
        <v>8</v>
      </c>
    </row>
    <row r="106" spans="1:7" ht="14.25" customHeight="1">
      <c r="A106" s="546" t="s">
        <v>345</v>
      </c>
      <c r="B106" s="426">
        <v>98</v>
      </c>
      <c r="C106" s="553">
        <v>44061</v>
      </c>
      <c r="D106" s="427" t="s">
        <v>339</v>
      </c>
      <c r="E106" s="548">
        <v>2.29</v>
      </c>
      <c r="F106" s="550" t="s">
        <v>344</v>
      </c>
      <c r="G106" s="428">
        <v>8</v>
      </c>
    </row>
    <row r="107" spans="1:7" ht="14.25" customHeight="1">
      <c r="A107" s="546" t="s">
        <v>346</v>
      </c>
      <c r="B107" s="426">
        <v>99</v>
      </c>
      <c r="C107" s="553">
        <v>44060</v>
      </c>
      <c r="D107" s="427" t="s">
        <v>339</v>
      </c>
      <c r="E107" s="548">
        <v>-17.089616186330144</v>
      </c>
      <c r="F107" s="550" t="s">
        <v>344</v>
      </c>
      <c r="G107" s="428">
        <v>4</v>
      </c>
    </row>
    <row r="108" spans="1:7" ht="14.25" customHeight="1">
      <c r="A108" s="546" t="s">
        <v>346</v>
      </c>
      <c r="B108" s="426">
        <v>100</v>
      </c>
      <c r="C108" s="553">
        <v>44061</v>
      </c>
      <c r="D108" s="427" t="s">
        <v>339</v>
      </c>
      <c r="E108" s="548">
        <v>29.720372228383138</v>
      </c>
      <c r="F108" s="550" t="s">
        <v>344</v>
      </c>
      <c r="G108" s="428">
        <v>8</v>
      </c>
    </row>
    <row r="109" spans="1:7" ht="14.25" customHeight="1">
      <c r="A109" s="546" t="s">
        <v>346</v>
      </c>
      <c r="B109" s="426">
        <v>101</v>
      </c>
      <c r="C109" s="553">
        <v>44062</v>
      </c>
      <c r="D109" s="427" t="s">
        <v>339</v>
      </c>
      <c r="E109" s="548">
        <v>10.760503335870698</v>
      </c>
      <c r="F109" s="550" t="s">
        <v>344</v>
      </c>
      <c r="G109" s="428">
        <v>12</v>
      </c>
    </row>
    <row r="110" spans="1:7" ht="14.25" customHeight="1">
      <c r="A110" s="546" t="s">
        <v>347</v>
      </c>
      <c r="B110" s="426">
        <v>102</v>
      </c>
      <c r="C110" s="553">
        <v>44063</v>
      </c>
      <c r="D110" s="427" t="s">
        <v>339</v>
      </c>
      <c r="E110" s="548">
        <v>14.91623568930865</v>
      </c>
      <c r="F110" s="550" t="s">
        <v>344</v>
      </c>
      <c r="G110" s="428">
        <v>16</v>
      </c>
    </row>
    <row r="111" spans="1:7" ht="14.25" customHeight="1">
      <c r="A111" s="546" t="s">
        <v>343</v>
      </c>
      <c r="B111" s="426">
        <v>103</v>
      </c>
      <c r="C111" s="553">
        <v>44062</v>
      </c>
      <c r="D111" s="427" t="s">
        <v>339</v>
      </c>
      <c r="E111" s="548">
        <v>1.84</v>
      </c>
      <c r="F111" s="550" t="s">
        <v>344</v>
      </c>
      <c r="G111" s="428">
        <v>12</v>
      </c>
    </row>
    <row r="112" spans="1:7" ht="14.25" customHeight="1">
      <c r="A112" s="546" t="s">
        <v>345</v>
      </c>
      <c r="B112" s="426">
        <v>104</v>
      </c>
      <c r="C112" s="553">
        <v>44062</v>
      </c>
      <c r="D112" s="427" t="s">
        <v>339</v>
      </c>
      <c r="E112" s="548">
        <v>5.89</v>
      </c>
      <c r="F112" s="550" t="s">
        <v>344</v>
      </c>
      <c r="G112" s="428">
        <v>12</v>
      </c>
    </row>
    <row r="113" spans="1:7" ht="14.25" customHeight="1">
      <c r="A113" s="546" t="s">
        <v>343</v>
      </c>
      <c r="B113" s="426">
        <v>105</v>
      </c>
      <c r="C113" s="553">
        <v>44063</v>
      </c>
      <c r="D113" s="427" t="s">
        <v>339</v>
      </c>
      <c r="E113" s="548">
        <v>2.34</v>
      </c>
      <c r="F113" s="550" t="s">
        <v>344</v>
      </c>
      <c r="G113" s="428">
        <v>16</v>
      </c>
    </row>
    <row r="114" spans="1:7" ht="14.25" customHeight="1">
      <c r="A114" s="546" t="s">
        <v>345</v>
      </c>
      <c r="B114" s="426">
        <v>106</v>
      </c>
      <c r="C114" s="553">
        <v>44063</v>
      </c>
      <c r="D114" s="427" t="s">
        <v>339</v>
      </c>
      <c r="E114" s="548">
        <v>4.78</v>
      </c>
      <c r="F114" s="550" t="s">
        <v>344</v>
      </c>
      <c r="G114" s="428">
        <v>16</v>
      </c>
    </row>
    <row r="115" spans="1:7" ht="14.25" customHeight="1">
      <c r="A115" s="546" t="s">
        <v>247</v>
      </c>
      <c r="B115" s="426">
        <v>107</v>
      </c>
      <c r="C115" s="553">
        <v>44070</v>
      </c>
      <c r="D115" s="427" t="s">
        <v>239</v>
      </c>
      <c r="E115" s="548">
        <v>7.12</v>
      </c>
      <c r="F115" s="550" t="s">
        <v>240</v>
      </c>
      <c r="G115" s="428">
        <v>41</v>
      </c>
    </row>
    <row r="116" spans="1:7" ht="14.25" customHeight="1">
      <c r="A116" s="546" t="s">
        <v>248</v>
      </c>
      <c r="B116" s="426">
        <v>108</v>
      </c>
      <c r="C116" s="553">
        <v>44070</v>
      </c>
      <c r="D116" s="427" t="s">
        <v>239</v>
      </c>
      <c r="E116" s="548">
        <v>0.84</v>
      </c>
      <c r="F116" s="550" t="s">
        <v>240</v>
      </c>
      <c r="G116" s="428">
        <v>41</v>
      </c>
    </row>
    <row r="117" spans="1:7" ht="14.25" customHeight="1">
      <c r="A117" s="546" t="s">
        <v>243</v>
      </c>
      <c r="B117" s="426">
        <v>109</v>
      </c>
      <c r="C117" s="553">
        <v>44070</v>
      </c>
      <c r="D117" s="427" t="s">
        <v>242</v>
      </c>
      <c r="E117" s="548">
        <v>2.3829604028014376E-2</v>
      </c>
      <c r="F117" s="550" t="s">
        <v>348</v>
      </c>
      <c r="G117" s="428">
        <v>29</v>
      </c>
    </row>
    <row r="118" spans="1:7" ht="14.25" customHeight="1">
      <c r="A118" s="546" t="s">
        <v>254</v>
      </c>
      <c r="B118" s="426">
        <v>110</v>
      </c>
      <c r="C118" s="553">
        <v>44070</v>
      </c>
      <c r="D118" s="427" t="s">
        <v>246</v>
      </c>
      <c r="E118" s="548">
        <v>0.36444113687432766</v>
      </c>
      <c r="F118" s="550" t="s">
        <v>244</v>
      </c>
      <c r="G118" s="428">
        <v>24</v>
      </c>
    </row>
    <row r="119" spans="1:7" ht="14.25" customHeight="1">
      <c r="A119" s="546" t="s">
        <v>245</v>
      </c>
      <c r="B119" s="426">
        <v>111</v>
      </c>
      <c r="C119" s="553">
        <v>44070</v>
      </c>
      <c r="D119" s="427" t="s">
        <v>246</v>
      </c>
      <c r="E119" s="548">
        <v>3.6722575752587105</v>
      </c>
      <c r="F119" s="550" t="s">
        <v>252</v>
      </c>
      <c r="G119" s="428">
        <v>33</v>
      </c>
    </row>
    <row r="120" spans="1:7" ht="14.25" customHeight="1">
      <c r="A120" s="546" t="s">
        <v>238</v>
      </c>
      <c r="B120" s="426">
        <v>112</v>
      </c>
      <c r="C120" s="553">
        <v>44070</v>
      </c>
      <c r="D120" s="427" t="s">
        <v>239</v>
      </c>
      <c r="E120" s="548">
        <v>0.62922827592359865</v>
      </c>
      <c r="F120" s="550" t="s">
        <v>240</v>
      </c>
      <c r="G120" s="428">
        <v>43</v>
      </c>
    </row>
    <row r="121" spans="1:7" ht="14.25" customHeight="1">
      <c r="A121" s="546" t="s">
        <v>238</v>
      </c>
      <c r="B121" s="426">
        <v>113</v>
      </c>
      <c r="C121" s="553">
        <v>44079</v>
      </c>
      <c r="D121" s="427" t="s">
        <v>239</v>
      </c>
      <c r="E121" s="548">
        <v>4.0996693379037161</v>
      </c>
      <c r="F121" s="550" t="s">
        <v>252</v>
      </c>
      <c r="G121" s="428">
        <v>47</v>
      </c>
    </row>
    <row r="122" spans="1:7" ht="14.25" customHeight="1">
      <c r="A122" s="546" t="s">
        <v>238</v>
      </c>
      <c r="B122" s="426">
        <v>114</v>
      </c>
      <c r="C122" s="553">
        <v>44080</v>
      </c>
      <c r="D122" s="427" t="s">
        <v>239</v>
      </c>
      <c r="E122" s="548">
        <v>4.2173957057670446</v>
      </c>
      <c r="F122" s="550" t="s">
        <v>252</v>
      </c>
      <c r="G122" s="428">
        <v>50</v>
      </c>
    </row>
    <row r="123" spans="1:7" ht="14.25" customHeight="1">
      <c r="A123" s="546" t="s">
        <v>350</v>
      </c>
      <c r="B123" s="426">
        <v>115</v>
      </c>
      <c r="C123" s="553">
        <v>44079</v>
      </c>
      <c r="D123" s="427" t="s">
        <v>339</v>
      </c>
      <c r="E123" s="548">
        <v>-21.3343964978076</v>
      </c>
      <c r="F123" s="550" t="s">
        <v>344</v>
      </c>
      <c r="G123" s="428">
        <v>20</v>
      </c>
    </row>
    <row r="124" spans="1:7" ht="14.25" customHeight="1">
      <c r="A124" s="546" t="s">
        <v>350</v>
      </c>
      <c r="B124" s="426">
        <v>116</v>
      </c>
      <c r="C124" s="553">
        <v>44080</v>
      </c>
      <c r="D124" s="427" t="s">
        <v>339</v>
      </c>
      <c r="E124" s="548">
        <v>-4.710705179765144</v>
      </c>
      <c r="F124" s="550" t="s">
        <v>344</v>
      </c>
      <c r="G124" s="428">
        <v>24</v>
      </c>
    </row>
    <row r="125" spans="1:7" ht="14.25" customHeight="1">
      <c r="A125" s="546" t="s">
        <v>350</v>
      </c>
      <c r="B125" s="426">
        <v>117</v>
      </c>
      <c r="C125" s="553">
        <v>44081</v>
      </c>
      <c r="D125" s="427" t="s">
        <v>339</v>
      </c>
      <c r="E125" s="548">
        <v>-4.4485812331972987</v>
      </c>
      <c r="F125" s="550" t="s">
        <v>344</v>
      </c>
      <c r="G125" s="428">
        <v>28</v>
      </c>
    </row>
    <row r="126" spans="1:7" ht="14.25" customHeight="1">
      <c r="A126" s="546" t="s">
        <v>243</v>
      </c>
      <c r="B126" s="426">
        <v>118</v>
      </c>
      <c r="C126" s="553">
        <v>44078</v>
      </c>
      <c r="D126" s="427" t="s">
        <v>242</v>
      </c>
      <c r="E126" s="548">
        <v>4.9206839192544862E-3</v>
      </c>
      <c r="F126" s="550" t="s">
        <v>348</v>
      </c>
      <c r="G126" s="428">
        <v>32</v>
      </c>
    </row>
    <row r="127" spans="1:7" ht="14.25" customHeight="1">
      <c r="A127" s="546" t="s">
        <v>241</v>
      </c>
      <c r="B127" s="426">
        <v>119</v>
      </c>
      <c r="C127" s="553">
        <v>44078</v>
      </c>
      <c r="D127" s="427" t="s">
        <v>242</v>
      </c>
      <c r="E127" s="548">
        <v>0.19002659816839002</v>
      </c>
      <c r="F127" s="550" t="s">
        <v>342</v>
      </c>
      <c r="G127" s="428">
        <v>44</v>
      </c>
    </row>
    <row r="128" spans="1:7" ht="14.25" customHeight="1">
      <c r="A128" s="546" t="s">
        <v>254</v>
      </c>
      <c r="B128" s="426">
        <v>120</v>
      </c>
      <c r="C128" s="553">
        <v>44078</v>
      </c>
      <c r="D128" s="427" t="s">
        <v>246</v>
      </c>
      <c r="E128" s="548">
        <v>0.16525999586400214</v>
      </c>
      <c r="F128" s="550" t="s">
        <v>244</v>
      </c>
      <c r="G128" s="428">
        <v>26</v>
      </c>
    </row>
    <row r="129" spans="1:7" ht="14.25" customHeight="1">
      <c r="A129" s="546" t="s">
        <v>245</v>
      </c>
      <c r="B129" s="426">
        <v>121</v>
      </c>
      <c r="C129" s="553">
        <v>44078</v>
      </c>
      <c r="D129" s="427" t="s">
        <v>246</v>
      </c>
      <c r="E129" s="548">
        <v>2.3945523872609296</v>
      </c>
      <c r="F129" s="550" t="s">
        <v>252</v>
      </c>
      <c r="G129" s="428">
        <v>37</v>
      </c>
    </row>
    <row r="130" spans="1:7" ht="14.25" customHeight="1">
      <c r="A130" s="546" t="s">
        <v>243</v>
      </c>
      <c r="B130" s="426">
        <v>122</v>
      </c>
      <c r="C130" s="553">
        <v>44082</v>
      </c>
      <c r="D130" s="427" t="s">
        <v>242</v>
      </c>
      <c r="E130" s="548">
        <v>5.4155346930986822E-3</v>
      </c>
      <c r="F130" s="550" t="s">
        <v>348</v>
      </c>
      <c r="G130" s="428">
        <v>35</v>
      </c>
    </row>
    <row r="131" spans="1:7" ht="14.25" customHeight="1">
      <c r="A131" s="546" t="s">
        <v>241</v>
      </c>
      <c r="B131" s="426">
        <v>123</v>
      </c>
      <c r="C131" s="553">
        <v>44082</v>
      </c>
      <c r="D131" s="427" t="s">
        <v>242</v>
      </c>
      <c r="E131" s="548">
        <v>4.1651728402507887E-2</v>
      </c>
      <c r="F131" s="550" t="s">
        <v>351</v>
      </c>
      <c r="G131" s="428">
        <v>48</v>
      </c>
    </row>
    <row r="132" spans="1:7" ht="14.25" customHeight="1">
      <c r="A132" s="546" t="s">
        <v>254</v>
      </c>
      <c r="B132" s="426">
        <v>124</v>
      </c>
      <c r="C132" s="553">
        <v>44082</v>
      </c>
      <c r="D132" s="427" t="s">
        <v>246</v>
      </c>
      <c r="E132" s="548">
        <v>0.67366887456407187</v>
      </c>
      <c r="F132" s="550" t="s">
        <v>348</v>
      </c>
      <c r="G132" s="428">
        <v>29</v>
      </c>
    </row>
    <row r="133" spans="1:7" ht="14.25" customHeight="1">
      <c r="A133" s="546" t="s">
        <v>245</v>
      </c>
      <c r="B133" s="426">
        <v>125</v>
      </c>
      <c r="C133" s="553">
        <v>44082</v>
      </c>
      <c r="D133" s="427" t="s">
        <v>246</v>
      </c>
      <c r="E133" s="548">
        <v>4.1417658049623904</v>
      </c>
      <c r="F133" s="550" t="s">
        <v>253</v>
      </c>
      <c r="G133" s="428">
        <v>41</v>
      </c>
    </row>
    <row r="134" spans="1:7" ht="14.25" customHeight="1">
      <c r="A134" s="546" t="s">
        <v>241</v>
      </c>
      <c r="B134" s="426">
        <v>126</v>
      </c>
      <c r="C134" s="553">
        <v>44083</v>
      </c>
      <c r="D134" s="427" t="s">
        <v>242</v>
      </c>
      <c r="E134" s="548">
        <v>0.28999999999999998</v>
      </c>
      <c r="F134" s="550" t="s">
        <v>240</v>
      </c>
      <c r="G134" s="428">
        <v>50</v>
      </c>
    </row>
    <row r="135" spans="1:7" ht="14.25" customHeight="1">
      <c r="A135" s="546" t="s">
        <v>343</v>
      </c>
      <c r="B135" s="426">
        <v>127</v>
      </c>
      <c r="C135" s="553">
        <v>44079</v>
      </c>
      <c r="D135" s="427" t="s">
        <v>339</v>
      </c>
      <c r="E135" s="548">
        <v>2.09</v>
      </c>
      <c r="F135" s="550" t="s">
        <v>344</v>
      </c>
      <c r="G135" s="428">
        <v>20</v>
      </c>
    </row>
    <row r="136" spans="1:7" ht="14.25" customHeight="1">
      <c r="A136" s="546" t="s">
        <v>345</v>
      </c>
      <c r="B136" s="426">
        <v>128</v>
      </c>
      <c r="C136" s="553">
        <v>44079</v>
      </c>
      <c r="D136" s="427" t="s">
        <v>339</v>
      </c>
      <c r="E136" s="548">
        <v>5.2</v>
      </c>
      <c r="F136" s="550" t="s">
        <v>344</v>
      </c>
      <c r="G136" s="428">
        <v>20</v>
      </c>
    </row>
    <row r="137" spans="1:7" ht="14.25" customHeight="1">
      <c r="A137" s="546" t="s">
        <v>343</v>
      </c>
      <c r="B137" s="426">
        <v>129</v>
      </c>
      <c r="C137" s="553">
        <v>44080</v>
      </c>
      <c r="D137" s="427" t="s">
        <v>339</v>
      </c>
      <c r="E137" s="548">
        <v>2.56</v>
      </c>
      <c r="F137" s="550" t="s">
        <v>344</v>
      </c>
      <c r="G137" s="428">
        <v>24</v>
      </c>
    </row>
    <row r="138" spans="1:7" ht="14.25" customHeight="1">
      <c r="A138" s="546" t="s">
        <v>345</v>
      </c>
      <c r="B138" s="426">
        <v>130</v>
      </c>
      <c r="C138" s="553">
        <v>44080</v>
      </c>
      <c r="D138" s="427" t="s">
        <v>339</v>
      </c>
      <c r="E138" s="548">
        <v>3.9</v>
      </c>
      <c r="F138" s="550" t="s">
        <v>344</v>
      </c>
      <c r="G138" s="428">
        <v>24</v>
      </c>
    </row>
    <row r="139" spans="1:7" ht="14.25" customHeight="1">
      <c r="A139" s="546" t="s">
        <v>343</v>
      </c>
      <c r="B139" s="426">
        <v>131</v>
      </c>
      <c r="C139" s="553">
        <v>44081</v>
      </c>
      <c r="D139" s="427" t="s">
        <v>339</v>
      </c>
      <c r="E139" s="548">
        <v>2.2799999999999998</v>
      </c>
      <c r="F139" s="550" t="s">
        <v>344</v>
      </c>
      <c r="G139" s="428">
        <v>28</v>
      </c>
    </row>
    <row r="140" spans="1:7" ht="14.25" customHeight="1">
      <c r="A140" s="546" t="s">
        <v>345</v>
      </c>
      <c r="B140" s="426">
        <v>132</v>
      </c>
      <c r="C140" s="553">
        <v>44081</v>
      </c>
      <c r="D140" s="427" t="s">
        <v>339</v>
      </c>
      <c r="E140" s="548">
        <v>4.07</v>
      </c>
      <c r="F140" s="550" t="s">
        <v>344</v>
      </c>
      <c r="G140" s="428">
        <v>28</v>
      </c>
    </row>
    <row r="141" spans="1:7" ht="14.25" customHeight="1">
      <c r="A141" s="546" t="s">
        <v>247</v>
      </c>
      <c r="B141" s="426">
        <v>133</v>
      </c>
      <c r="C141" s="553">
        <v>44079</v>
      </c>
      <c r="D141" s="427" t="s">
        <v>239</v>
      </c>
      <c r="E141" s="548">
        <v>7.63</v>
      </c>
      <c r="F141" s="550" t="s">
        <v>252</v>
      </c>
      <c r="G141" s="428">
        <v>44</v>
      </c>
    </row>
    <row r="142" spans="1:7" ht="14.25" customHeight="1">
      <c r="A142" s="546" t="s">
        <v>248</v>
      </c>
      <c r="B142" s="426">
        <v>134</v>
      </c>
      <c r="C142" s="553">
        <v>44079</v>
      </c>
      <c r="D142" s="427" t="s">
        <v>239</v>
      </c>
      <c r="E142" s="548">
        <v>0.64</v>
      </c>
      <c r="F142" s="550" t="s">
        <v>252</v>
      </c>
      <c r="G142" s="428">
        <v>44</v>
      </c>
    </row>
    <row r="143" spans="1:7" ht="14.25" customHeight="1">
      <c r="A143" s="546" t="s">
        <v>247</v>
      </c>
      <c r="B143" s="426">
        <v>135</v>
      </c>
      <c r="C143" s="553">
        <v>44080</v>
      </c>
      <c r="D143" s="427" t="s">
        <v>239</v>
      </c>
      <c r="E143" s="548">
        <v>8.7799999999999994</v>
      </c>
      <c r="F143" s="550" t="s">
        <v>252</v>
      </c>
      <c r="G143" s="428">
        <v>47</v>
      </c>
    </row>
    <row r="144" spans="1:7" ht="14.25" customHeight="1">
      <c r="A144" s="546" t="s">
        <v>248</v>
      </c>
      <c r="B144" s="426">
        <v>136</v>
      </c>
      <c r="C144" s="553">
        <v>44080</v>
      </c>
      <c r="D144" s="427" t="s">
        <v>239</v>
      </c>
      <c r="E144" s="548">
        <v>0.56000000000000005</v>
      </c>
      <c r="F144" s="550" t="s">
        <v>252</v>
      </c>
      <c r="G144" s="428">
        <v>47</v>
      </c>
    </row>
    <row r="145" spans="1:7" ht="14.25" customHeight="1">
      <c r="A145" s="546" t="s">
        <v>247</v>
      </c>
      <c r="B145" s="426">
        <v>137</v>
      </c>
      <c r="C145" s="553">
        <v>44081</v>
      </c>
      <c r="D145" s="427" t="s">
        <v>239</v>
      </c>
      <c r="E145" s="548">
        <v>7.11</v>
      </c>
      <c r="F145" s="550" t="s">
        <v>252</v>
      </c>
      <c r="G145" s="428">
        <v>50</v>
      </c>
    </row>
    <row r="146" spans="1:7" ht="14.25" customHeight="1">
      <c r="A146" s="546" t="s">
        <v>248</v>
      </c>
      <c r="B146" s="426">
        <v>138</v>
      </c>
      <c r="C146" s="553">
        <v>44081</v>
      </c>
      <c r="D146" s="427" t="s">
        <v>239</v>
      </c>
      <c r="E146" s="548">
        <v>0.66</v>
      </c>
      <c r="F146" s="550" t="s">
        <v>252</v>
      </c>
      <c r="G146" s="428">
        <v>50</v>
      </c>
    </row>
    <row r="147" spans="1:7" ht="14.25" customHeight="1">
      <c r="A147" s="546" t="s">
        <v>243</v>
      </c>
      <c r="B147" s="426">
        <v>139</v>
      </c>
      <c r="C147" s="553">
        <v>44090</v>
      </c>
      <c r="D147" s="427" t="s">
        <v>242</v>
      </c>
      <c r="E147" s="548">
        <v>-0.14960537146723596</v>
      </c>
      <c r="F147" s="550" t="s">
        <v>244</v>
      </c>
      <c r="G147" s="428">
        <v>37</v>
      </c>
    </row>
    <row r="148" spans="1:7" ht="14.25" customHeight="1">
      <c r="A148" s="546" t="s">
        <v>241</v>
      </c>
      <c r="B148" s="426">
        <v>140</v>
      </c>
      <c r="C148" s="553">
        <v>44090</v>
      </c>
      <c r="D148" s="427" t="s">
        <v>242</v>
      </c>
      <c r="E148" s="548">
        <v>0.46124666015400706</v>
      </c>
      <c r="F148" s="550" t="s">
        <v>240</v>
      </c>
      <c r="G148" s="428">
        <v>52</v>
      </c>
    </row>
    <row r="149" spans="1:7" ht="14.25" customHeight="1">
      <c r="A149" s="546" t="s">
        <v>243</v>
      </c>
      <c r="B149" s="426">
        <v>141</v>
      </c>
      <c r="C149" s="553">
        <v>44091</v>
      </c>
      <c r="D149" s="427" t="s">
        <v>242</v>
      </c>
      <c r="E149" s="548">
        <v>-0.17774939174320623</v>
      </c>
      <c r="F149" s="550" t="s">
        <v>348</v>
      </c>
      <c r="G149" s="428">
        <v>40</v>
      </c>
    </row>
    <row r="150" spans="1:7" ht="14.25" customHeight="1">
      <c r="A150" s="546" t="s">
        <v>241</v>
      </c>
      <c r="B150" s="426">
        <v>142</v>
      </c>
      <c r="C150" s="553">
        <v>44091</v>
      </c>
      <c r="D150" s="427" t="s">
        <v>242</v>
      </c>
      <c r="E150" s="548">
        <v>0.42998584542886831</v>
      </c>
      <c r="F150" s="550" t="s">
        <v>348</v>
      </c>
      <c r="G150" s="428">
        <v>55</v>
      </c>
    </row>
    <row r="151" spans="1:7" ht="14.25" customHeight="1">
      <c r="A151" s="546" t="s">
        <v>243</v>
      </c>
      <c r="B151" s="426">
        <v>143</v>
      </c>
      <c r="C151" s="553">
        <v>44092</v>
      </c>
      <c r="D151" s="427" t="s">
        <v>242</v>
      </c>
      <c r="E151" s="548">
        <v>-0.1738742965822366</v>
      </c>
      <c r="F151" s="550" t="s">
        <v>352</v>
      </c>
      <c r="G151" s="428">
        <v>42</v>
      </c>
    </row>
    <row r="152" spans="1:7" ht="14.25" customHeight="1">
      <c r="A152" s="546" t="s">
        <v>241</v>
      </c>
      <c r="B152" s="426">
        <v>144</v>
      </c>
      <c r="C152" s="553">
        <v>44092</v>
      </c>
      <c r="D152" s="427" t="s">
        <v>242</v>
      </c>
      <c r="E152" s="548">
        <v>0.45235961498710187</v>
      </c>
      <c r="F152" s="550" t="s">
        <v>352</v>
      </c>
      <c r="G152" s="428">
        <v>57</v>
      </c>
    </row>
    <row r="153" spans="1:7" ht="14.25" customHeight="1">
      <c r="A153" s="546" t="s">
        <v>353</v>
      </c>
      <c r="B153" s="426">
        <v>145</v>
      </c>
      <c r="C153" s="553">
        <v>44104</v>
      </c>
      <c r="D153" s="427" t="s">
        <v>339</v>
      </c>
      <c r="E153" s="548">
        <v>-14.386930855307975</v>
      </c>
      <c r="F153" s="550" t="s">
        <v>344</v>
      </c>
      <c r="G153" s="428">
        <v>32</v>
      </c>
    </row>
    <row r="154" spans="1:7" ht="14.25" customHeight="1">
      <c r="A154" s="546" t="s">
        <v>254</v>
      </c>
      <c r="B154" s="426">
        <v>146</v>
      </c>
      <c r="C154" s="553">
        <v>44103</v>
      </c>
      <c r="D154" s="427" t="s">
        <v>246</v>
      </c>
      <c r="E154" s="548">
        <v>0.60792338893481357</v>
      </c>
      <c r="F154" s="550" t="s">
        <v>340</v>
      </c>
      <c r="G154" s="428">
        <v>33</v>
      </c>
    </row>
    <row r="155" spans="1:7" ht="14.25" customHeight="1">
      <c r="A155" s="546" t="s">
        <v>245</v>
      </c>
      <c r="B155" s="426">
        <v>147</v>
      </c>
      <c r="C155" s="553">
        <v>44103</v>
      </c>
      <c r="D155" s="427" t="s">
        <v>246</v>
      </c>
      <c r="E155" s="548">
        <v>3.3815606810373011</v>
      </c>
      <c r="F155" s="550" t="s">
        <v>252</v>
      </c>
      <c r="G155" s="428">
        <v>44</v>
      </c>
    </row>
    <row r="156" spans="1:7" ht="14.25" customHeight="1">
      <c r="A156" s="546" t="s">
        <v>254</v>
      </c>
      <c r="B156" s="426">
        <v>148</v>
      </c>
      <c r="C156" s="553">
        <v>44104</v>
      </c>
      <c r="D156" s="427" t="s">
        <v>246</v>
      </c>
      <c r="E156" s="548">
        <v>0.81694009957919378</v>
      </c>
      <c r="F156" s="550" t="s">
        <v>340</v>
      </c>
      <c r="G156" s="428">
        <v>37</v>
      </c>
    </row>
    <row r="157" spans="1:7" ht="14.25" customHeight="1">
      <c r="A157" s="546" t="s">
        <v>245</v>
      </c>
      <c r="B157" s="426">
        <v>149</v>
      </c>
      <c r="C157" s="553">
        <v>44104</v>
      </c>
      <c r="D157" s="427" t="s">
        <v>246</v>
      </c>
      <c r="E157" s="548">
        <v>3.8856185626775375</v>
      </c>
      <c r="F157" s="550" t="s">
        <v>342</v>
      </c>
      <c r="G157" s="428">
        <v>48</v>
      </c>
    </row>
    <row r="158" spans="1:7" ht="14.25" customHeight="1">
      <c r="A158" s="546" t="s">
        <v>243</v>
      </c>
      <c r="B158" s="426">
        <v>150</v>
      </c>
      <c r="C158" s="553">
        <v>44104</v>
      </c>
      <c r="D158" s="427" t="s">
        <v>242</v>
      </c>
      <c r="E158" s="548">
        <v>-3.4773771539475737E-2</v>
      </c>
      <c r="F158" s="550" t="s">
        <v>340</v>
      </c>
      <c r="G158" s="428">
        <v>46</v>
      </c>
    </row>
    <row r="159" spans="1:7" ht="14.25" customHeight="1">
      <c r="A159" s="546" t="s">
        <v>343</v>
      </c>
      <c r="B159" s="426">
        <v>151</v>
      </c>
      <c r="C159" s="553">
        <v>44104</v>
      </c>
      <c r="D159" s="427" t="s">
        <v>339</v>
      </c>
      <c r="E159" s="548">
        <v>2.77</v>
      </c>
      <c r="F159" s="550" t="s">
        <v>344</v>
      </c>
      <c r="G159" s="428">
        <v>32</v>
      </c>
    </row>
    <row r="160" spans="1:7" ht="14.25" customHeight="1">
      <c r="A160" s="546" t="s">
        <v>345</v>
      </c>
      <c r="B160" s="426">
        <v>152</v>
      </c>
      <c r="C160" s="553">
        <v>44104</v>
      </c>
      <c r="D160" s="427" t="s">
        <v>339</v>
      </c>
      <c r="E160" s="548">
        <v>5.8</v>
      </c>
      <c r="F160" s="550" t="s">
        <v>344</v>
      </c>
      <c r="G160" s="428">
        <v>32</v>
      </c>
    </row>
    <row r="161" spans="1:7" ht="14.25" customHeight="1">
      <c r="A161" s="581"/>
      <c r="B161" s="582"/>
      <c r="C161" s="673"/>
      <c r="D161" s="584"/>
      <c r="E161" s="585"/>
      <c r="F161" s="673"/>
      <c r="G161" s="587"/>
    </row>
    <row r="162" spans="1:7" ht="14.25" customHeight="1">
      <c r="A162" s="581"/>
      <c r="B162" s="582"/>
      <c r="C162" s="583"/>
      <c r="D162" s="584"/>
      <c r="E162" s="585"/>
      <c r="F162" s="586"/>
      <c r="G162" s="587"/>
    </row>
    <row r="163" spans="1:7" ht="14.25" customHeight="1">
      <c r="A163" s="429"/>
    </row>
    <row r="164" spans="1:7" ht="14.25" customHeight="1">
      <c r="A164" s="434"/>
    </row>
    <row r="165" spans="1:7" ht="14.25" customHeight="1">
      <c r="A165" s="434"/>
    </row>
    <row r="166" spans="1:7" ht="14.25" customHeight="1">
      <c r="A166" s="430" t="s">
        <v>66</v>
      </c>
    </row>
    <row r="167" spans="1:7" ht="14.25" customHeight="1">
      <c r="A167" s="541" t="s">
        <v>255</v>
      </c>
    </row>
    <row r="168" spans="1:7" ht="14.25" customHeight="1">
      <c r="A168" s="508" t="s">
        <v>256</v>
      </c>
    </row>
    <row r="169" spans="1:7" ht="14.25" customHeight="1">
      <c r="A169" s="508"/>
    </row>
    <row r="170" spans="1:7" ht="14.25" customHeight="1">
      <c r="A170" s="509" t="s">
        <v>73</v>
      </c>
    </row>
    <row r="171" spans="1:7" ht="14.25" customHeight="1">
      <c r="A171" s="370"/>
    </row>
    <row r="172" spans="1:7" ht="13"/>
  </sheetData>
  <mergeCells count="1">
    <mergeCell ref="A7:G7"/>
  </mergeCells>
  <phoneticPr fontId="0" type="noConversion"/>
  <printOptions horizontalCentered="1"/>
  <pageMargins left="0" right="0" top="0.55000000000000004" bottom="0.17" header="0.3" footer="0.15"/>
  <pageSetup paperSize="5" scale="87" orientation="landscape" cellComments="atEnd" r:id="rId1"/>
  <headerFooter alignWithMargins="0">
    <oddHeader xml:space="preserve">&amp;C&amp;"Arial,Bold"
</oddHeader>
    <oddFooter>&amp;Rpage 8 of 11
&amp;A
&amp;D  &amp;T</oddFooter>
  </headerFooter>
  <customProperties>
    <customPr name="_pios_id" r:id="rId2"/>
  </customPropertie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P61"/>
  <sheetViews>
    <sheetView topLeftCell="A20" zoomScale="120" zoomScaleNormal="120" zoomScaleSheetLayoutView="75" workbookViewId="0">
      <selection activeCell="J51" sqref="J51"/>
    </sheetView>
  </sheetViews>
  <sheetFormatPr defaultColWidth="17" defaultRowHeight="11.5"/>
  <cols>
    <col min="1" max="1" width="46.26953125" style="215" customWidth="1"/>
    <col min="2" max="3" width="11.7265625" style="215" customWidth="1"/>
    <col min="4" max="4" width="15.54296875" style="215" customWidth="1"/>
    <col min="5" max="7" width="11.7265625" style="215" customWidth="1"/>
    <col min="8" max="8" width="14.7265625" style="215" customWidth="1"/>
    <col min="9" max="9" width="11.7265625" style="215" customWidth="1"/>
    <col min="10" max="10" width="11.7265625" style="216" customWidth="1"/>
    <col min="11" max="11" width="11.7265625" style="215" customWidth="1"/>
    <col min="12" max="12" width="12.26953125" style="215" customWidth="1"/>
    <col min="13" max="13" width="11.7265625" style="215" customWidth="1"/>
    <col min="14" max="14" width="12.7265625" style="215" customWidth="1"/>
    <col min="15" max="16" width="0" style="215" hidden="1" customWidth="1"/>
    <col min="17" max="16384" width="17" style="215"/>
  </cols>
  <sheetData>
    <row r="1" spans="1:16">
      <c r="A1" s="215" t="s">
        <v>57</v>
      </c>
      <c r="E1" s="213" t="s">
        <v>39</v>
      </c>
    </row>
    <row r="2" spans="1:16">
      <c r="E2" s="213" t="s">
        <v>257</v>
      </c>
    </row>
    <row r="3" spans="1:16">
      <c r="D3" s="217"/>
      <c r="E3" s="218" t="str">
        <f>'Program MW '!H3</f>
        <v>September 2020</v>
      </c>
      <c r="F3" s="217"/>
    </row>
    <row r="4" spans="1:16" ht="12" thickBot="1"/>
    <row r="5" spans="1:16">
      <c r="A5" s="219"/>
      <c r="B5" s="220"/>
      <c r="C5" s="220"/>
      <c r="D5" s="220"/>
      <c r="E5" s="220"/>
      <c r="F5" s="220"/>
      <c r="G5" s="220"/>
      <c r="H5" s="220"/>
      <c r="I5" s="220"/>
      <c r="J5" s="221"/>
      <c r="K5" s="220"/>
      <c r="L5" s="220"/>
      <c r="M5" s="220"/>
      <c r="N5" s="562"/>
    </row>
    <row r="6" spans="1:16" ht="23">
      <c r="A6" s="222" t="s">
        <v>258</v>
      </c>
      <c r="B6" s="532" t="s">
        <v>41</v>
      </c>
      <c r="C6" s="532" t="s">
        <v>42</v>
      </c>
      <c r="D6" s="532" t="s">
        <v>43</v>
      </c>
      <c r="E6" s="532" t="s">
        <v>44</v>
      </c>
      <c r="F6" s="532" t="s">
        <v>31</v>
      </c>
      <c r="G6" s="532" t="s">
        <v>45</v>
      </c>
      <c r="H6" s="532" t="s">
        <v>60</v>
      </c>
      <c r="I6" s="532" t="s">
        <v>75</v>
      </c>
      <c r="J6" s="533" t="s">
        <v>76</v>
      </c>
      <c r="K6" s="532" t="s">
        <v>62</v>
      </c>
      <c r="L6" s="532" t="s">
        <v>77</v>
      </c>
      <c r="M6" s="532" t="s">
        <v>63</v>
      </c>
      <c r="N6" s="563" t="s">
        <v>259</v>
      </c>
    </row>
    <row r="7" spans="1:16">
      <c r="A7" s="223"/>
      <c r="B7" s="224"/>
      <c r="C7" s="224"/>
      <c r="D7" s="224"/>
      <c r="E7" s="224"/>
      <c r="F7" s="224"/>
      <c r="G7" s="224"/>
      <c r="H7" s="525"/>
      <c r="I7" s="224"/>
      <c r="J7" s="225"/>
      <c r="K7" s="224"/>
      <c r="L7" s="224"/>
      <c r="M7" s="502"/>
      <c r="N7" s="564"/>
    </row>
    <row r="8" spans="1:16">
      <c r="A8" s="226" t="s">
        <v>260</v>
      </c>
      <c r="B8" s="224"/>
      <c r="C8" s="224"/>
      <c r="D8" s="224"/>
      <c r="E8" s="224"/>
      <c r="F8" s="224"/>
      <c r="G8" s="224"/>
      <c r="H8" s="525"/>
      <c r="I8" s="224"/>
      <c r="J8" s="225"/>
      <c r="K8" s="224"/>
      <c r="L8" s="224"/>
      <c r="M8" s="502"/>
      <c r="N8" s="565"/>
    </row>
    <row r="9" spans="1:16">
      <c r="A9" s="333" t="s">
        <v>261</v>
      </c>
      <c r="B9" s="399">
        <v>2.42</v>
      </c>
      <c r="C9" s="400">
        <v>4.0709999999999997</v>
      </c>
      <c r="D9" s="400">
        <v>10.975</v>
      </c>
      <c r="E9" s="400">
        <v>10.145</v>
      </c>
      <c r="F9" s="400">
        <v>10.202999999999999</v>
      </c>
      <c r="G9" s="400">
        <v>10.260999999999999</v>
      </c>
      <c r="H9" s="526">
        <v>13.167999999999999</v>
      </c>
      <c r="I9" s="400">
        <v>4.9809999999999999</v>
      </c>
      <c r="J9" s="400">
        <v>10.16</v>
      </c>
      <c r="K9" s="400">
        <v>0</v>
      </c>
      <c r="L9" s="400">
        <v>0</v>
      </c>
      <c r="M9" s="400">
        <v>0</v>
      </c>
      <c r="N9" s="566">
        <f t="shared" ref="N9:N33" si="0">SUM(B9:M9)</f>
        <v>76.384</v>
      </c>
      <c r="O9" s="400">
        <v>0</v>
      </c>
      <c r="P9" s="400">
        <v>0</v>
      </c>
    </row>
    <row r="10" spans="1:16" ht="13.5">
      <c r="A10" s="333" t="s">
        <v>262</v>
      </c>
      <c r="B10" s="331">
        <v>40.151000000000003</v>
      </c>
      <c r="C10" s="397">
        <v>45.033000000000001</v>
      </c>
      <c r="D10" s="397">
        <v>46.11</v>
      </c>
      <c r="E10" s="397">
        <v>47.1</v>
      </c>
      <c r="F10" s="397">
        <v>13.055</v>
      </c>
      <c r="G10" s="397">
        <v>78.293999999999997</v>
      </c>
      <c r="H10" s="527">
        <v>48.43</v>
      </c>
      <c r="I10" s="397">
        <v>37.692</v>
      </c>
      <c r="J10" s="397">
        <v>44.982999999999997</v>
      </c>
      <c r="K10" s="397">
        <v>0</v>
      </c>
      <c r="L10" s="397">
        <v>0</v>
      </c>
      <c r="M10" s="397">
        <v>0</v>
      </c>
      <c r="N10" s="566">
        <f t="shared" si="0"/>
        <v>400.84800000000001</v>
      </c>
    </row>
    <row r="11" spans="1:16" ht="14.25" customHeight="1">
      <c r="A11" s="333" t="s">
        <v>263</v>
      </c>
      <c r="B11" s="331">
        <v>1.5580000000000001</v>
      </c>
      <c r="C11" s="397">
        <v>7.5540000000000003</v>
      </c>
      <c r="D11" s="397">
        <v>12.093</v>
      </c>
      <c r="E11" s="397">
        <v>10.016</v>
      </c>
      <c r="F11" s="397">
        <v>5.6139999999999999</v>
      </c>
      <c r="G11" s="397">
        <v>7.6859999999999999</v>
      </c>
      <c r="H11" s="527">
        <v>11.066000000000001</v>
      </c>
      <c r="I11" s="397">
        <v>7.3049999999999997</v>
      </c>
      <c r="J11" s="397">
        <v>8.0129999999999999</v>
      </c>
      <c r="K11" s="397">
        <v>0</v>
      </c>
      <c r="L11" s="397">
        <v>0</v>
      </c>
      <c r="M11" s="397">
        <v>0</v>
      </c>
      <c r="N11" s="566">
        <f t="shared" si="0"/>
        <v>70.905000000000001</v>
      </c>
    </row>
    <row r="12" spans="1:16">
      <c r="A12" s="333" t="s">
        <v>264</v>
      </c>
      <c r="B12" s="331">
        <v>0</v>
      </c>
      <c r="C12" s="397">
        <v>0</v>
      </c>
      <c r="D12" s="397">
        <v>0</v>
      </c>
      <c r="E12" s="397">
        <v>0</v>
      </c>
      <c r="F12" s="397">
        <v>0</v>
      </c>
      <c r="G12" s="397">
        <v>0</v>
      </c>
      <c r="H12" s="527">
        <v>0</v>
      </c>
      <c r="I12" s="397">
        <v>0</v>
      </c>
      <c r="J12" s="397">
        <v>0</v>
      </c>
      <c r="K12" s="397">
        <v>0</v>
      </c>
      <c r="L12" s="397">
        <v>0</v>
      </c>
      <c r="M12" s="397">
        <v>0</v>
      </c>
      <c r="N12" s="566">
        <f t="shared" si="0"/>
        <v>0</v>
      </c>
    </row>
    <row r="13" spans="1:16">
      <c r="A13" s="333" t="s">
        <v>265</v>
      </c>
      <c r="B13" s="331">
        <v>12.635999999999999</v>
      </c>
      <c r="C13" s="397">
        <v>12.25</v>
      </c>
      <c r="D13" s="397">
        <v>11.862</v>
      </c>
      <c r="E13" s="397">
        <v>12.1</v>
      </c>
      <c r="F13" s="397">
        <v>11.029</v>
      </c>
      <c r="G13" s="397">
        <v>10.164</v>
      </c>
      <c r="H13" s="527">
        <v>13.281000000000001</v>
      </c>
      <c r="I13" s="397">
        <v>7.5270000000000001</v>
      </c>
      <c r="J13" s="397">
        <v>10.542999999999999</v>
      </c>
      <c r="K13" s="397">
        <v>0</v>
      </c>
      <c r="L13" s="397">
        <v>0</v>
      </c>
      <c r="M13" s="397">
        <v>0</v>
      </c>
      <c r="N13" s="566">
        <f t="shared" si="0"/>
        <v>101.392</v>
      </c>
    </row>
    <row r="14" spans="1:16">
      <c r="A14" s="333" t="s">
        <v>266</v>
      </c>
      <c r="B14" s="331">
        <v>4.7030000000000003</v>
      </c>
      <c r="C14" s="397">
        <v>2.9460000000000002</v>
      </c>
      <c r="D14" s="397">
        <v>3.258</v>
      </c>
      <c r="E14" s="397">
        <v>11.784000000000001</v>
      </c>
      <c r="F14" s="397">
        <v>3.01</v>
      </c>
      <c r="G14" s="397">
        <v>3.01</v>
      </c>
      <c r="H14" s="527">
        <v>8.8260000000000005</v>
      </c>
      <c r="I14" s="397">
        <v>5.6470000000000002</v>
      </c>
      <c r="J14" s="397">
        <v>24.146999999999998</v>
      </c>
      <c r="K14" s="397">
        <v>0</v>
      </c>
      <c r="L14" s="397">
        <v>0</v>
      </c>
      <c r="M14" s="397">
        <v>0</v>
      </c>
      <c r="N14" s="566">
        <f t="shared" si="0"/>
        <v>67.330999999999989</v>
      </c>
    </row>
    <row r="15" spans="1:16">
      <c r="A15" s="333" t="s">
        <v>267</v>
      </c>
      <c r="B15" s="331">
        <v>40.1</v>
      </c>
      <c r="C15" s="397">
        <v>64.043999999999997</v>
      </c>
      <c r="D15" s="397">
        <v>6.5949999999999998</v>
      </c>
      <c r="E15" s="397">
        <v>6.9660000000000002</v>
      </c>
      <c r="F15" s="397">
        <v>11.64</v>
      </c>
      <c r="G15" s="397">
        <v>67.468000000000004</v>
      </c>
      <c r="H15" s="527">
        <v>29.908999999999999</v>
      </c>
      <c r="I15" s="397">
        <v>16.457000000000001</v>
      </c>
      <c r="J15" s="397">
        <v>79.489999999999995</v>
      </c>
      <c r="K15" s="397">
        <v>0</v>
      </c>
      <c r="L15" s="397">
        <v>0</v>
      </c>
      <c r="M15" s="397">
        <v>0</v>
      </c>
      <c r="N15" s="566">
        <f t="shared" si="0"/>
        <v>322.66899999999998</v>
      </c>
    </row>
    <row r="16" spans="1:16">
      <c r="A16" s="333" t="s">
        <v>200</v>
      </c>
      <c r="B16" s="331">
        <v>12.237</v>
      </c>
      <c r="C16" s="397">
        <v>14.420999999999999</v>
      </c>
      <c r="D16" s="397">
        <v>18.376999999999999</v>
      </c>
      <c r="E16" s="397">
        <v>17.422999999999998</v>
      </c>
      <c r="F16" s="397">
        <v>15.94</v>
      </c>
      <c r="G16" s="397">
        <v>15.221</v>
      </c>
      <c r="H16" s="527">
        <v>19.05</v>
      </c>
      <c r="I16" s="397">
        <v>8.5389999999999997</v>
      </c>
      <c r="J16" s="397">
        <v>14.686999999999999</v>
      </c>
      <c r="K16" s="397">
        <v>0</v>
      </c>
      <c r="L16" s="397">
        <v>0</v>
      </c>
      <c r="M16" s="397">
        <v>0</v>
      </c>
      <c r="N16" s="566">
        <f t="shared" si="0"/>
        <v>135.89500000000001</v>
      </c>
    </row>
    <row r="17" spans="1:15">
      <c r="A17" s="333" t="s">
        <v>201</v>
      </c>
      <c r="B17" s="331">
        <v>19.221</v>
      </c>
      <c r="C17" s="397">
        <v>19.606000000000002</v>
      </c>
      <c r="D17" s="397">
        <v>19.474</v>
      </c>
      <c r="E17" s="397">
        <v>98.066999999999993</v>
      </c>
      <c r="F17" s="397">
        <v>65.554000000000002</v>
      </c>
      <c r="G17" s="397">
        <v>16.420999999999999</v>
      </c>
      <c r="H17" s="527">
        <v>25.366</v>
      </c>
      <c r="I17" s="397">
        <v>43.206000000000003</v>
      </c>
      <c r="J17" s="397">
        <v>17.190999999999999</v>
      </c>
      <c r="K17" s="397">
        <v>0</v>
      </c>
      <c r="L17" s="397">
        <v>0</v>
      </c>
      <c r="M17" s="397">
        <v>0</v>
      </c>
      <c r="N17" s="566">
        <f t="shared" si="0"/>
        <v>324.10599999999999</v>
      </c>
    </row>
    <row r="18" spans="1:15">
      <c r="A18" s="333" t="s">
        <v>268</v>
      </c>
      <c r="B18" s="331">
        <v>0</v>
      </c>
      <c r="C18" s="397">
        <v>0</v>
      </c>
      <c r="D18" s="397">
        <v>0</v>
      </c>
      <c r="E18" s="397">
        <v>0</v>
      </c>
      <c r="F18" s="397">
        <v>0</v>
      </c>
      <c r="G18" s="397">
        <v>0</v>
      </c>
      <c r="H18" s="527">
        <v>0</v>
      </c>
      <c r="I18" s="397">
        <v>0</v>
      </c>
      <c r="J18" s="397">
        <v>0</v>
      </c>
      <c r="K18" s="397">
        <v>0</v>
      </c>
      <c r="L18" s="397">
        <v>0</v>
      </c>
      <c r="M18" s="397">
        <v>0</v>
      </c>
      <c r="N18" s="566">
        <f t="shared" si="0"/>
        <v>0</v>
      </c>
    </row>
    <row r="19" spans="1:15" ht="13.5">
      <c r="A19" s="333" t="s">
        <v>269</v>
      </c>
      <c r="B19" s="331">
        <v>1.411</v>
      </c>
      <c r="C19" s="397">
        <v>1.6040000000000001</v>
      </c>
      <c r="D19" s="397">
        <v>74.418999999999997</v>
      </c>
      <c r="E19" s="397">
        <v>3.1349999999999998</v>
      </c>
      <c r="F19" s="397">
        <v>3.7890000000000001</v>
      </c>
      <c r="G19" s="397">
        <v>3.9350000000000001</v>
      </c>
      <c r="H19" s="527">
        <v>5.34</v>
      </c>
      <c r="I19" s="397">
        <v>3.0459999999999998</v>
      </c>
      <c r="J19" s="397">
        <v>2.2280000000000002</v>
      </c>
      <c r="K19" s="397">
        <v>0</v>
      </c>
      <c r="L19" s="397">
        <v>0</v>
      </c>
      <c r="M19" s="397">
        <v>0</v>
      </c>
      <c r="N19" s="566">
        <f t="shared" si="0"/>
        <v>98.907000000000011</v>
      </c>
    </row>
    <row r="20" spans="1:15" s="217" customFormat="1">
      <c r="A20" s="461" t="s">
        <v>161</v>
      </c>
      <c r="B20" s="331">
        <v>0</v>
      </c>
      <c r="C20" s="397">
        <v>0</v>
      </c>
      <c r="D20" s="397">
        <v>0</v>
      </c>
      <c r="E20" s="397">
        <v>0</v>
      </c>
      <c r="F20" s="397">
        <v>0</v>
      </c>
      <c r="G20" s="397">
        <v>0</v>
      </c>
      <c r="H20" s="527">
        <v>0</v>
      </c>
      <c r="I20" s="397">
        <v>0</v>
      </c>
      <c r="J20" s="397">
        <v>0</v>
      </c>
      <c r="K20" s="397">
        <v>0</v>
      </c>
      <c r="L20" s="397">
        <v>0</v>
      </c>
      <c r="M20" s="397">
        <v>0</v>
      </c>
      <c r="N20" s="567">
        <f t="shared" si="0"/>
        <v>0</v>
      </c>
    </row>
    <row r="21" spans="1:15">
      <c r="A21" s="461" t="s">
        <v>270</v>
      </c>
      <c r="B21" s="331">
        <v>0</v>
      </c>
      <c r="C21" s="397">
        <v>0.25700000000000001</v>
      </c>
      <c r="D21" s="397">
        <v>2.1309999999999998</v>
      </c>
      <c r="E21" s="397">
        <v>1.9430000000000001</v>
      </c>
      <c r="F21" s="397">
        <v>1.67</v>
      </c>
      <c r="G21" s="397">
        <v>1.8460000000000001</v>
      </c>
      <c r="H21" s="527">
        <v>2.226</v>
      </c>
      <c r="I21" s="397">
        <v>1.284</v>
      </c>
      <c r="J21" s="397">
        <v>0.34200000000000003</v>
      </c>
      <c r="K21" s="397">
        <v>0</v>
      </c>
      <c r="L21" s="397">
        <v>0</v>
      </c>
      <c r="M21" s="397">
        <v>0</v>
      </c>
      <c r="N21" s="566">
        <f t="shared" si="0"/>
        <v>11.699000000000002</v>
      </c>
    </row>
    <row r="22" spans="1:15" ht="14.5">
      <c r="A22" s="333" t="s">
        <v>271</v>
      </c>
      <c r="B22" s="331">
        <v>5.6070000000000002</v>
      </c>
      <c r="C22" s="397">
        <v>5.0679999999999996</v>
      </c>
      <c r="D22" s="397">
        <v>-1.2949999999999999</v>
      </c>
      <c r="E22" s="397">
        <v>12.69</v>
      </c>
      <c r="F22" s="397">
        <v>31.27</v>
      </c>
      <c r="G22" s="397">
        <v>131.03100000000001</v>
      </c>
      <c r="H22" s="527">
        <v>-12.682</v>
      </c>
      <c r="I22" s="397">
        <v>246.24600000000001</v>
      </c>
      <c r="J22" s="397">
        <v>418.86900000000003</v>
      </c>
      <c r="K22" s="397">
        <v>0</v>
      </c>
      <c r="L22" s="397">
        <v>0</v>
      </c>
      <c r="M22" s="397">
        <v>0</v>
      </c>
      <c r="N22" s="566">
        <f t="shared" si="0"/>
        <v>836.80400000000009</v>
      </c>
    </row>
    <row r="23" spans="1:15">
      <c r="A23" s="333" t="s">
        <v>272</v>
      </c>
      <c r="B23" s="331">
        <v>28.658000000000001</v>
      </c>
      <c r="C23" s="397">
        <v>29.536999999999999</v>
      </c>
      <c r="D23" s="397">
        <v>49.59</v>
      </c>
      <c r="E23" s="397">
        <v>50.043999999999997</v>
      </c>
      <c r="F23" s="397">
        <v>46.54</v>
      </c>
      <c r="G23" s="397">
        <v>48.784999999999997</v>
      </c>
      <c r="H23" s="527">
        <v>53.305999999999997</v>
      </c>
      <c r="I23" s="397">
        <v>23.317</v>
      </c>
      <c r="J23" s="397">
        <v>45.426000000000002</v>
      </c>
      <c r="K23" s="397">
        <v>0</v>
      </c>
      <c r="L23" s="397">
        <v>0</v>
      </c>
      <c r="M23" s="397">
        <v>0</v>
      </c>
      <c r="N23" s="566">
        <f t="shared" si="0"/>
        <v>375.20299999999997</v>
      </c>
    </row>
    <row r="24" spans="1:15" ht="13.5">
      <c r="A24" s="333" t="s">
        <v>273</v>
      </c>
      <c r="B24" s="331">
        <v>40.093000000000004</v>
      </c>
      <c r="C24" s="397">
        <v>309.64999999999998</v>
      </c>
      <c r="D24" s="397">
        <v>241.07599999999999</v>
      </c>
      <c r="E24" s="397">
        <v>-126.678</v>
      </c>
      <c r="F24" s="397">
        <v>120.194</v>
      </c>
      <c r="G24" s="397">
        <v>321.84899999999999</v>
      </c>
      <c r="H24" s="527">
        <v>107.306</v>
      </c>
      <c r="I24" s="397">
        <v>137.304</v>
      </c>
      <c r="J24" s="397">
        <v>102.59</v>
      </c>
      <c r="K24" s="397">
        <v>0</v>
      </c>
      <c r="L24" s="397">
        <v>0</v>
      </c>
      <c r="M24" s="397">
        <v>0</v>
      </c>
      <c r="N24" s="566">
        <f t="shared" si="0"/>
        <v>1253.384</v>
      </c>
    </row>
    <row r="25" spans="1:15" ht="13.5">
      <c r="A25" s="333" t="s">
        <v>274</v>
      </c>
      <c r="B25" s="331">
        <v>76.793999999999997</v>
      </c>
      <c r="C25" s="397">
        <v>100.941</v>
      </c>
      <c r="D25" s="397">
        <v>74.772999999999996</v>
      </c>
      <c r="E25" s="397">
        <v>-10.866</v>
      </c>
      <c r="F25" s="397">
        <v>87.84</v>
      </c>
      <c r="G25" s="397">
        <v>32.978000000000002</v>
      </c>
      <c r="H25" s="527">
        <v>38.279000000000003</v>
      </c>
      <c r="I25" s="397">
        <v>21.382999999999999</v>
      </c>
      <c r="J25" s="397">
        <v>29.306000000000001</v>
      </c>
      <c r="K25" s="397">
        <v>0</v>
      </c>
      <c r="L25" s="397">
        <v>0</v>
      </c>
      <c r="M25" s="397">
        <v>0</v>
      </c>
      <c r="N25" s="566">
        <f t="shared" si="0"/>
        <v>451.42799999999994</v>
      </c>
    </row>
    <row r="26" spans="1:15" s="228" customFormat="1">
      <c r="A26" s="333" t="s">
        <v>214</v>
      </c>
      <c r="B26" s="331">
        <v>0</v>
      </c>
      <c r="C26" s="397">
        <v>0</v>
      </c>
      <c r="D26" s="397">
        <v>0</v>
      </c>
      <c r="E26" s="397">
        <v>22.346</v>
      </c>
      <c r="F26" s="397">
        <v>0</v>
      </c>
      <c r="G26" s="397">
        <v>0</v>
      </c>
      <c r="H26" s="527">
        <v>0</v>
      </c>
      <c r="I26" s="397">
        <v>0</v>
      </c>
      <c r="J26" s="397">
        <v>0</v>
      </c>
      <c r="K26" s="397">
        <v>0</v>
      </c>
      <c r="L26" s="397">
        <v>0</v>
      </c>
      <c r="M26" s="397">
        <v>0</v>
      </c>
      <c r="N26" s="566">
        <f t="shared" si="0"/>
        <v>22.346</v>
      </c>
      <c r="O26" s="215"/>
    </row>
    <row r="27" spans="1:15" s="228" customFormat="1">
      <c r="A27" s="464" t="s">
        <v>275</v>
      </c>
      <c r="B27" s="331">
        <v>0</v>
      </c>
      <c r="C27" s="397">
        <v>7.3730000000000002</v>
      </c>
      <c r="D27" s="397">
        <v>19.39</v>
      </c>
      <c r="E27" s="397">
        <v>7.3730000000000002</v>
      </c>
      <c r="F27" s="397">
        <v>9.2159999999999993</v>
      </c>
      <c r="G27" s="397">
        <v>12.901999999999999</v>
      </c>
      <c r="H27" s="527">
        <v>0</v>
      </c>
      <c r="I27" s="397">
        <v>81.831999999999994</v>
      </c>
      <c r="J27" s="397">
        <v>0</v>
      </c>
      <c r="K27" s="397">
        <v>0</v>
      </c>
      <c r="L27" s="397">
        <v>0</v>
      </c>
      <c r="M27" s="397">
        <v>0</v>
      </c>
      <c r="N27" s="566">
        <f t="shared" si="0"/>
        <v>138.08600000000001</v>
      </c>
      <c r="O27" s="215"/>
    </row>
    <row r="28" spans="1:15" s="228" customFormat="1" ht="14.65" customHeight="1">
      <c r="A28" s="333" t="s">
        <v>276</v>
      </c>
      <c r="B28" s="331">
        <v>-64.463999999999999</v>
      </c>
      <c r="C28" s="397">
        <v>16.844999999999999</v>
      </c>
      <c r="D28" s="397">
        <v>38.131</v>
      </c>
      <c r="E28" s="397">
        <v>1.5489999999999999</v>
      </c>
      <c r="F28" s="397">
        <v>3.161</v>
      </c>
      <c r="G28" s="397">
        <v>8.1129999999999995</v>
      </c>
      <c r="H28" s="527">
        <v>1.6279999999999999</v>
      </c>
      <c r="I28" s="397">
        <v>5.8789999999999996</v>
      </c>
      <c r="J28" s="397">
        <v>2.5489999999999999</v>
      </c>
      <c r="K28" s="397">
        <v>0</v>
      </c>
      <c r="L28" s="397">
        <v>0</v>
      </c>
      <c r="M28" s="397">
        <v>0</v>
      </c>
      <c r="N28" s="566">
        <f t="shared" si="0"/>
        <v>13.390999999999998</v>
      </c>
    </row>
    <row r="29" spans="1:15" s="228" customFormat="1" ht="13.5">
      <c r="A29" s="333" t="s">
        <v>277</v>
      </c>
      <c r="B29" s="331">
        <v>-40.746000000000002</v>
      </c>
      <c r="C29" s="397">
        <v>0</v>
      </c>
      <c r="D29" s="397">
        <v>0</v>
      </c>
      <c r="E29" s="397">
        <v>38.137999999999998</v>
      </c>
      <c r="F29" s="397">
        <v>0</v>
      </c>
      <c r="G29" s="397">
        <v>3.577</v>
      </c>
      <c r="H29" s="527">
        <v>0</v>
      </c>
      <c r="I29" s="397">
        <v>0</v>
      </c>
      <c r="J29" s="397">
        <v>0</v>
      </c>
      <c r="K29" s="397">
        <v>0</v>
      </c>
      <c r="L29" s="397">
        <v>0</v>
      </c>
      <c r="M29" s="397">
        <v>0</v>
      </c>
      <c r="N29" s="566">
        <f t="shared" si="0"/>
        <v>0.96899999999999586</v>
      </c>
    </row>
    <row r="30" spans="1:15" s="228" customFormat="1" ht="13.5">
      <c r="A30" s="333" t="s">
        <v>278</v>
      </c>
      <c r="B30" s="331">
        <v>0</v>
      </c>
      <c r="C30" s="397">
        <v>0</v>
      </c>
      <c r="D30" s="397">
        <v>0</v>
      </c>
      <c r="E30" s="397">
        <v>0</v>
      </c>
      <c r="F30" s="397">
        <v>0</v>
      </c>
      <c r="G30" s="397">
        <v>0</v>
      </c>
      <c r="H30" s="527">
        <v>0</v>
      </c>
      <c r="I30" s="397">
        <v>0</v>
      </c>
      <c r="J30" s="397">
        <v>0</v>
      </c>
      <c r="K30" s="397">
        <v>0</v>
      </c>
      <c r="L30" s="397">
        <v>0</v>
      </c>
      <c r="M30" s="397">
        <v>0</v>
      </c>
      <c r="N30" s="566">
        <f t="shared" si="0"/>
        <v>0</v>
      </c>
    </row>
    <row r="31" spans="1:15" s="228" customFormat="1">
      <c r="A31" s="333" t="s">
        <v>279</v>
      </c>
      <c r="B31" s="331">
        <v>14.26</v>
      </c>
      <c r="C31" s="397">
        <v>38.618000000000002</v>
      </c>
      <c r="D31" s="397">
        <v>65.924999999999997</v>
      </c>
      <c r="E31" s="397">
        <v>60.545999999999999</v>
      </c>
      <c r="F31" s="397">
        <v>28.181999999999999</v>
      </c>
      <c r="G31" s="397">
        <v>27.408999999999999</v>
      </c>
      <c r="H31" s="527">
        <v>29.41</v>
      </c>
      <c r="I31" s="397">
        <v>24.716999999999999</v>
      </c>
      <c r="J31" s="397">
        <v>35.061</v>
      </c>
      <c r="K31" s="397">
        <v>0</v>
      </c>
      <c r="L31" s="397">
        <v>0</v>
      </c>
      <c r="M31" s="397">
        <v>0</v>
      </c>
      <c r="N31" s="566">
        <f t="shared" si="0"/>
        <v>324.12799999999993</v>
      </c>
    </row>
    <row r="32" spans="1:15" s="228" customFormat="1" ht="13.5">
      <c r="A32" s="333" t="s">
        <v>280</v>
      </c>
      <c r="B32" s="331">
        <v>0</v>
      </c>
      <c r="C32" s="397">
        <v>0</v>
      </c>
      <c r="D32" s="397">
        <v>0</v>
      </c>
      <c r="E32" s="397">
        <v>29.76</v>
      </c>
      <c r="F32" s="397">
        <v>-0.66800000000000004</v>
      </c>
      <c r="G32" s="397">
        <v>80.459000000000003</v>
      </c>
      <c r="H32" s="527">
        <v>0</v>
      </c>
      <c r="I32" s="397">
        <v>0</v>
      </c>
      <c r="J32" s="397">
        <v>124.857</v>
      </c>
      <c r="K32" s="397">
        <v>0</v>
      </c>
      <c r="L32" s="397">
        <v>0</v>
      </c>
      <c r="M32" s="397">
        <v>0</v>
      </c>
      <c r="N32" s="566">
        <f t="shared" si="0"/>
        <v>234.40800000000002</v>
      </c>
    </row>
    <row r="33" spans="1:15" s="228" customFormat="1" ht="13.5">
      <c r="A33" s="333" t="s">
        <v>281</v>
      </c>
      <c r="B33" s="401">
        <v>8.4019999999999992</v>
      </c>
      <c r="C33" s="402">
        <v>108.336</v>
      </c>
      <c r="D33" s="402">
        <v>349.84399999999999</v>
      </c>
      <c r="E33" s="402">
        <v>-87.331000000000003</v>
      </c>
      <c r="F33" s="402">
        <v>62.57</v>
      </c>
      <c r="G33" s="402">
        <v>74.480999999999995</v>
      </c>
      <c r="H33" s="528">
        <v>62.57</v>
      </c>
      <c r="I33" s="402">
        <v>62.57</v>
      </c>
      <c r="J33" s="402">
        <v>83.661000000000001</v>
      </c>
      <c r="K33" s="402">
        <v>0</v>
      </c>
      <c r="L33" s="402">
        <v>0</v>
      </c>
      <c r="M33" s="402">
        <v>0</v>
      </c>
      <c r="N33" s="566">
        <f t="shared" si="0"/>
        <v>725.10300000000007</v>
      </c>
    </row>
    <row r="34" spans="1:15" ht="12" thickBot="1">
      <c r="A34" s="341" t="s">
        <v>282</v>
      </c>
      <c r="B34" s="465">
        <f t="shared" ref="B34:M34" si="1">SUM(B9:B33)</f>
        <v>203.04099999999997</v>
      </c>
      <c r="C34" s="466">
        <f t="shared" si="1"/>
        <v>788.15400000000011</v>
      </c>
      <c r="D34" s="466">
        <f t="shared" si="1"/>
        <v>1042.7279999999998</v>
      </c>
      <c r="E34" s="466">
        <f t="shared" si="1"/>
        <v>216.25</v>
      </c>
      <c r="F34" s="466">
        <f t="shared" si="1"/>
        <v>529.80899999999997</v>
      </c>
      <c r="G34" s="466">
        <f t="shared" si="1"/>
        <v>955.88999999999987</v>
      </c>
      <c r="H34" s="529">
        <f t="shared" si="1"/>
        <v>456.47899999999998</v>
      </c>
      <c r="I34" s="466">
        <f t="shared" si="1"/>
        <v>738.93200000000013</v>
      </c>
      <c r="J34" s="466">
        <f t="shared" si="1"/>
        <v>1054.1030000000001</v>
      </c>
      <c r="K34" s="466">
        <f t="shared" si="1"/>
        <v>0</v>
      </c>
      <c r="L34" s="466">
        <f t="shared" si="1"/>
        <v>0</v>
      </c>
      <c r="M34" s="466">
        <f t="shared" si="1"/>
        <v>0</v>
      </c>
      <c r="N34" s="568">
        <f>SUM(N9:N33)</f>
        <v>5985.3859999999995</v>
      </c>
    </row>
    <row r="35" spans="1:15">
      <c r="A35" s="333"/>
      <c r="B35" s="331"/>
      <c r="C35" s="227"/>
      <c r="D35" s="227"/>
      <c r="E35" s="227"/>
      <c r="F35" s="227"/>
      <c r="G35" s="227"/>
      <c r="H35" s="530"/>
      <c r="I35" s="227"/>
      <c r="J35" s="227"/>
      <c r="K35" s="227"/>
      <c r="L35" s="227"/>
      <c r="M35" s="227"/>
      <c r="N35" s="566"/>
    </row>
    <row r="36" spans="1:15" s="228" customFormat="1">
      <c r="A36" s="332" t="s">
        <v>283</v>
      </c>
      <c r="B36" s="331"/>
      <c r="C36" s="227"/>
      <c r="D36" s="227"/>
      <c r="E36" s="227"/>
      <c r="F36" s="227"/>
      <c r="G36" s="227"/>
      <c r="H36" s="530"/>
      <c r="I36" s="227"/>
      <c r="J36" s="227"/>
      <c r="K36" s="227"/>
      <c r="L36" s="227"/>
      <c r="M36" s="227"/>
      <c r="N36" s="569"/>
      <c r="O36" s="215"/>
    </row>
    <row r="37" spans="1:15">
      <c r="A37" s="333" t="s">
        <v>261</v>
      </c>
      <c r="B37" s="399">
        <v>0</v>
      </c>
      <c r="C37" s="400">
        <v>0</v>
      </c>
      <c r="D37" s="400">
        <v>0</v>
      </c>
      <c r="E37" s="400">
        <v>0</v>
      </c>
      <c r="F37" s="400">
        <v>0</v>
      </c>
      <c r="G37" s="545">
        <v>0.02</v>
      </c>
      <c r="H37" s="526">
        <v>0</v>
      </c>
      <c r="I37" s="400">
        <v>0</v>
      </c>
      <c r="J37" s="400">
        <v>0</v>
      </c>
      <c r="K37" s="400">
        <v>0</v>
      </c>
      <c r="L37" s="400">
        <v>0</v>
      </c>
      <c r="M37" s="400">
        <v>0</v>
      </c>
      <c r="N37" s="566">
        <f t="shared" ref="N37:N46" si="2">SUM(B37:M37)</f>
        <v>0.02</v>
      </c>
    </row>
    <row r="38" spans="1:15" s="217" customFormat="1" ht="14.5">
      <c r="A38" s="334" t="s">
        <v>284</v>
      </c>
      <c r="B38" s="469">
        <v>4.1000000000000002E-2</v>
      </c>
      <c r="C38" s="397">
        <v>0.68400000000000005</v>
      </c>
      <c r="D38" s="397">
        <v>0</v>
      </c>
      <c r="E38" s="397">
        <v>0</v>
      </c>
      <c r="F38" s="397">
        <v>0</v>
      </c>
      <c r="G38" s="397">
        <v>0</v>
      </c>
      <c r="H38" s="527">
        <v>0.127</v>
      </c>
      <c r="I38" s="397">
        <v>0</v>
      </c>
      <c r="J38" s="397">
        <v>0</v>
      </c>
      <c r="K38" s="397">
        <v>0</v>
      </c>
      <c r="L38" s="397">
        <v>0</v>
      </c>
      <c r="M38" s="397">
        <v>0</v>
      </c>
      <c r="N38" s="566">
        <f t="shared" si="2"/>
        <v>0.85200000000000009</v>
      </c>
    </row>
    <row r="39" spans="1:15">
      <c r="A39" s="333" t="s">
        <v>189</v>
      </c>
      <c r="B39" s="331">
        <v>7.4930000000000003</v>
      </c>
      <c r="C39" s="397">
        <v>9.1129999999999995</v>
      </c>
      <c r="D39" s="397">
        <v>8.7270000000000003</v>
      </c>
      <c r="E39" s="397">
        <v>5.1609999999999996</v>
      </c>
      <c r="F39" s="397">
        <v>5.5590000000000002</v>
      </c>
      <c r="G39" s="397">
        <v>5.8609999999999998</v>
      </c>
      <c r="H39" s="527">
        <v>8.8420000000000005</v>
      </c>
      <c r="I39" s="397">
        <v>0</v>
      </c>
      <c r="J39" s="397">
        <v>8.5489999999999995</v>
      </c>
      <c r="K39" s="397">
        <v>0</v>
      </c>
      <c r="L39" s="397">
        <v>0</v>
      </c>
      <c r="M39" s="397">
        <v>0</v>
      </c>
      <c r="N39" s="566">
        <f t="shared" si="2"/>
        <v>59.304999999999993</v>
      </c>
    </row>
    <row r="40" spans="1:15">
      <c r="A40" s="333" t="s">
        <v>285</v>
      </c>
      <c r="B40" s="331">
        <v>0</v>
      </c>
      <c r="C40" s="397">
        <v>0</v>
      </c>
      <c r="D40" s="397">
        <v>0</v>
      </c>
      <c r="E40" s="397">
        <v>0</v>
      </c>
      <c r="F40" s="397">
        <v>0</v>
      </c>
      <c r="G40" s="397">
        <v>0</v>
      </c>
      <c r="H40" s="527">
        <v>29.338999999999999</v>
      </c>
      <c r="I40" s="397">
        <v>0</v>
      </c>
      <c r="J40" s="397">
        <v>107.94199999999999</v>
      </c>
      <c r="K40" s="397">
        <v>0</v>
      </c>
      <c r="L40" s="397">
        <v>0</v>
      </c>
      <c r="M40" s="397">
        <v>0</v>
      </c>
      <c r="N40" s="566">
        <f t="shared" si="2"/>
        <v>137.28100000000001</v>
      </c>
    </row>
    <row r="41" spans="1:15" ht="13.5">
      <c r="A41" s="333" t="s">
        <v>286</v>
      </c>
      <c r="B41" s="331">
        <v>20.731999999999999</v>
      </c>
      <c r="C41" s="397">
        <v>137.51900000000001</v>
      </c>
      <c r="D41" s="397">
        <v>154.41499999999999</v>
      </c>
      <c r="E41" s="397">
        <v>135.97900000000001</v>
      </c>
      <c r="F41" s="397">
        <v>12.586</v>
      </c>
      <c r="G41" s="397">
        <v>37.682000000000002</v>
      </c>
      <c r="H41" s="527">
        <v>-37.682000000000002</v>
      </c>
      <c r="I41" s="397">
        <v>198.59399999999999</v>
      </c>
      <c r="J41" s="397">
        <v>72.522000000000006</v>
      </c>
      <c r="K41" s="397">
        <v>0</v>
      </c>
      <c r="L41" s="397">
        <v>0</v>
      </c>
      <c r="M41" s="397">
        <v>0</v>
      </c>
      <c r="N41" s="566">
        <f t="shared" si="2"/>
        <v>732.34700000000009</v>
      </c>
    </row>
    <row r="42" spans="1:15">
      <c r="A42" s="334" t="s">
        <v>287</v>
      </c>
      <c r="B42" s="331">
        <v>20</v>
      </c>
      <c r="C42" s="397">
        <v>20.3</v>
      </c>
      <c r="D42" s="397">
        <v>5.65</v>
      </c>
      <c r="E42" s="397">
        <v>12.8</v>
      </c>
      <c r="F42" s="397">
        <v>26.1</v>
      </c>
      <c r="G42" s="397">
        <v>30.75</v>
      </c>
      <c r="H42" s="527">
        <v>27.3</v>
      </c>
      <c r="I42" s="397">
        <v>29.6</v>
      </c>
      <c r="J42" s="397">
        <v>21.5</v>
      </c>
      <c r="K42" s="397">
        <v>0</v>
      </c>
      <c r="L42" s="397">
        <v>0</v>
      </c>
      <c r="M42" s="397">
        <v>0</v>
      </c>
      <c r="N42" s="566">
        <f t="shared" si="2"/>
        <v>194</v>
      </c>
    </row>
    <row r="43" spans="1:15">
      <c r="A43" s="333" t="s">
        <v>201</v>
      </c>
      <c r="B43" s="331">
        <v>0</v>
      </c>
      <c r="C43" s="397">
        <v>0.27600000000000002</v>
      </c>
      <c r="D43" s="397">
        <v>0</v>
      </c>
      <c r="E43" s="397">
        <v>0</v>
      </c>
      <c r="F43" s="397">
        <v>0</v>
      </c>
      <c r="G43" s="397">
        <v>0</v>
      </c>
      <c r="H43" s="527">
        <v>0</v>
      </c>
      <c r="I43" s="397">
        <v>0</v>
      </c>
      <c r="J43" s="397">
        <v>0</v>
      </c>
      <c r="K43" s="397">
        <v>0</v>
      </c>
      <c r="L43" s="397">
        <v>0</v>
      </c>
      <c r="M43" s="397">
        <v>0</v>
      </c>
      <c r="N43" s="566">
        <f t="shared" si="2"/>
        <v>0.27600000000000002</v>
      </c>
    </row>
    <row r="44" spans="1:15">
      <c r="A44" s="333" t="s">
        <v>268</v>
      </c>
      <c r="B44" s="331">
        <v>0</v>
      </c>
      <c r="C44" s="397">
        <v>0</v>
      </c>
      <c r="D44" s="397">
        <v>0</v>
      </c>
      <c r="E44" s="397">
        <v>0</v>
      </c>
      <c r="F44" s="397">
        <v>0</v>
      </c>
      <c r="G44" s="397">
        <v>0</v>
      </c>
      <c r="H44" s="527">
        <v>0</v>
      </c>
      <c r="I44" s="397">
        <v>0</v>
      </c>
      <c r="J44" s="397">
        <v>0</v>
      </c>
      <c r="K44" s="397">
        <v>0</v>
      </c>
      <c r="L44" s="397">
        <v>0</v>
      </c>
      <c r="M44" s="397">
        <v>0</v>
      </c>
      <c r="N44" s="566">
        <f t="shared" si="2"/>
        <v>0</v>
      </c>
    </row>
    <row r="45" spans="1:15">
      <c r="A45" s="461" t="s">
        <v>288</v>
      </c>
      <c r="B45" s="331">
        <v>0</v>
      </c>
      <c r="C45" s="397">
        <v>0</v>
      </c>
      <c r="D45" s="397">
        <v>0</v>
      </c>
      <c r="E45" s="397">
        <v>0</v>
      </c>
      <c r="F45" s="397">
        <v>0</v>
      </c>
      <c r="G45" s="397">
        <v>0</v>
      </c>
      <c r="H45" s="527">
        <v>0</v>
      </c>
      <c r="I45" s="397">
        <v>0</v>
      </c>
      <c r="J45" s="397">
        <v>0</v>
      </c>
      <c r="K45" s="397">
        <v>0</v>
      </c>
      <c r="L45" s="397">
        <v>0</v>
      </c>
      <c r="M45" s="397">
        <v>0</v>
      </c>
      <c r="N45" s="566">
        <f t="shared" si="2"/>
        <v>0</v>
      </c>
    </row>
    <row r="46" spans="1:15">
      <c r="A46" s="333" t="s">
        <v>289</v>
      </c>
      <c r="B46" s="331">
        <v>0</v>
      </c>
      <c r="C46" s="397">
        <v>0</v>
      </c>
      <c r="D46" s="397">
        <v>0</v>
      </c>
      <c r="E46" s="397">
        <v>0</v>
      </c>
      <c r="F46" s="397">
        <v>0</v>
      </c>
      <c r="G46" s="397">
        <v>0</v>
      </c>
      <c r="H46" s="527">
        <v>0</v>
      </c>
      <c r="I46" s="397">
        <v>0</v>
      </c>
      <c r="J46" s="397">
        <v>0</v>
      </c>
      <c r="K46" s="397">
        <v>0</v>
      </c>
      <c r="L46" s="397">
        <v>0</v>
      </c>
      <c r="M46" s="397">
        <v>0</v>
      </c>
      <c r="N46" s="566">
        <f t="shared" si="2"/>
        <v>0</v>
      </c>
    </row>
    <row r="47" spans="1:15">
      <c r="A47" s="467" t="s">
        <v>290</v>
      </c>
      <c r="B47" s="573">
        <f t="shared" ref="B47:M47" si="3">SUM(B37:B46)</f>
        <v>48.265999999999998</v>
      </c>
      <c r="C47" s="574">
        <f t="shared" si="3"/>
        <v>167.89200000000002</v>
      </c>
      <c r="D47" s="574">
        <f t="shared" si="3"/>
        <v>168.792</v>
      </c>
      <c r="E47" s="574">
        <f t="shared" si="3"/>
        <v>153.94000000000003</v>
      </c>
      <c r="F47" s="574">
        <f t="shared" si="3"/>
        <v>44.245000000000005</v>
      </c>
      <c r="G47" s="574">
        <f t="shared" si="3"/>
        <v>74.313000000000002</v>
      </c>
      <c r="H47" s="575">
        <f t="shared" si="3"/>
        <v>27.925999999999998</v>
      </c>
      <c r="I47" s="574">
        <f t="shared" si="3"/>
        <v>228.19399999999999</v>
      </c>
      <c r="J47" s="574">
        <f t="shared" si="3"/>
        <v>210.51299999999998</v>
      </c>
      <c r="K47" s="574">
        <f t="shared" si="3"/>
        <v>0</v>
      </c>
      <c r="L47" s="574">
        <f t="shared" si="3"/>
        <v>0</v>
      </c>
      <c r="M47" s="574">
        <f t="shared" si="3"/>
        <v>0</v>
      </c>
      <c r="N47" s="576">
        <f>SUM(N37:N46)</f>
        <v>1124.0810000000001</v>
      </c>
    </row>
    <row r="48" spans="1:15" ht="20.25" customHeight="1" thickBot="1">
      <c r="A48" s="229" t="s">
        <v>291</v>
      </c>
      <c r="B48" s="577">
        <f t="shared" ref="B48:M48" si="4">B47+B34</f>
        <v>251.30699999999996</v>
      </c>
      <c r="C48" s="578">
        <f t="shared" si="4"/>
        <v>956.04600000000016</v>
      </c>
      <c r="D48" s="578">
        <f t="shared" si="4"/>
        <v>1211.5199999999998</v>
      </c>
      <c r="E48" s="578">
        <f t="shared" si="4"/>
        <v>370.19000000000005</v>
      </c>
      <c r="F48" s="578">
        <f t="shared" si="4"/>
        <v>574.05399999999997</v>
      </c>
      <c r="G48" s="578">
        <f t="shared" si="4"/>
        <v>1030.203</v>
      </c>
      <c r="H48" s="579">
        <f t="shared" si="4"/>
        <v>484.40499999999997</v>
      </c>
      <c r="I48" s="578">
        <f t="shared" si="4"/>
        <v>967.12600000000009</v>
      </c>
      <c r="J48" s="578">
        <f t="shared" si="4"/>
        <v>1264.616</v>
      </c>
      <c r="K48" s="578">
        <f t="shared" si="4"/>
        <v>0</v>
      </c>
      <c r="L48" s="578">
        <f t="shared" si="4"/>
        <v>0</v>
      </c>
      <c r="M48" s="578">
        <f t="shared" si="4"/>
        <v>0</v>
      </c>
      <c r="N48" s="580">
        <f>N47+N34</f>
        <v>7109.4669999999996</v>
      </c>
    </row>
    <row r="49" spans="1:14" ht="16.5" customHeight="1">
      <c r="A49" s="230"/>
      <c r="B49" s="335"/>
      <c r="C49" s="335"/>
      <c r="D49" s="335"/>
      <c r="E49" s="335"/>
      <c r="F49" s="335"/>
      <c r="G49" s="335"/>
      <c r="H49" s="529"/>
      <c r="I49" s="335"/>
      <c r="J49" s="572"/>
      <c r="K49" s="335"/>
      <c r="L49" s="335"/>
      <c r="M49" s="335"/>
      <c r="N49" s="570"/>
    </row>
    <row r="50" spans="1:14" ht="30.75" customHeight="1" thickBot="1">
      <c r="A50" s="231" t="s">
        <v>292</v>
      </c>
      <c r="B50" s="232">
        <f>B48+0.2</f>
        <v>251.50699999999995</v>
      </c>
      <c r="C50" s="233">
        <f>C48+0.961</f>
        <v>957.00700000000018</v>
      </c>
      <c r="D50" s="233">
        <f>D48+2.359</f>
        <v>1213.8789999999997</v>
      </c>
      <c r="E50" s="367">
        <f>E48+3.129</f>
        <v>373.31900000000007</v>
      </c>
      <c r="F50" s="233">
        <f>F48+2.518</f>
        <v>576.572</v>
      </c>
      <c r="G50" s="233">
        <f>G48+0.907</f>
        <v>1031.1099999999999</v>
      </c>
      <c r="H50" s="531">
        <f>H48+0.697</f>
        <v>485.10199999999998</v>
      </c>
      <c r="I50" s="233">
        <f>I48+0.627</f>
        <v>967.75300000000004</v>
      </c>
      <c r="J50" s="233">
        <f>J48+0.649</f>
        <v>1265.2649999999999</v>
      </c>
      <c r="K50" s="233">
        <v>0</v>
      </c>
      <c r="L50" s="233">
        <v>0</v>
      </c>
      <c r="M50" s="233">
        <v>0</v>
      </c>
      <c r="N50" s="571">
        <f>SUM(B50:M50)</f>
        <v>7121.5139999999992</v>
      </c>
    </row>
    <row r="51" spans="1:14" ht="12.75" customHeight="1">
      <c r="A51" s="265"/>
      <c r="B51" s="266"/>
      <c r="C51" s="266"/>
      <c r="D51" s="266"/>
      <c r="E51" s="266"/>
      <c r="F51" s="266"/>
      <c r="G51" s="266"/>
      <c r="H51" s="266"/>
      <c r="I51" s="266"/>
      <c r="J51" s="266"/>
      <c r="K51" s="266"/>
      <c r="L51" s="266"/>
      <c r="M51" s="266"/>
      <c r="N51" s="267"/>
    </row>
    <row r="52" spans="1:14" ht="12.75" customHeight="1">
      <c r="A52" s="478" t="s">
        <v>98</v>
      </c>
      <c r="B52" s="266"/>
      <c r="C52" s="266"/>
      <c r="D52" s="266"/>
      <c r="E52" s="266"/>
      <c r="F52" s="266"/>
      <c r="G52" s="266"/>
      <c r="H52" s="266"/>
      <c r="I52" s="266"/>
      <c r="J52" s="266"/>
      <c r="K52" s="266"/>
      <c r="L52" s="266"/>
      <c r="M52" s="266"/>
      <c r="N52" s="267"/>
    </row>
    <row r="53" spans="1:14" s="228" customFormat="1" ht="16.5">
      <c r="A53" s="453" t="s">
        <v>293</v>
      </c>
      <c r="G53" s="227"/>
      <c r="H53" s="227"/>
      <c r="J53" s="291"/>
    </row>
    <row r="54" spans="1:14" s="228" customFormat="1" ht="16.5" customHeight="1">
      <c r="A54" s="338" t="s">
        <v>177</v>
      </c>
      <c r="G54" s="227"/>
      <c r="H54" s="227"/>
      <c r="J54" s="291"/>
    </row>
    <row r="55" spans="1:14" s="228" customFormat="1" ht="16.5" customHeight="1">
      <c r="A55" s="338" t="s">
        <v>294</v>
      </c>
      <c r="G55" s="227"/>
      <c r="H55" s="227"/>
      <c r="J55" s="291"/>
    </row>
    <row r="56" spans="1:14" s="538" customFormat="1" ht="16.5">
      <c r="A56" s="338" t="s">
        <v>295</v>
      </c>
      <c r="J56" s="539"/>
    </row>
    <row r="57" spans="1:14" ht="16.5">
      <c r="A57" s="338" t="s">
        <v>296</v>
      </c>
      <c r="B57" s="130"/>
      <c r="C57" s="130"/>
      <c r="D57" s="130"/>
      <c r="E57" s="130"/>
      <c r="F57" s="130"/>
    </row>
    <row r="58" spans="1:14" s="217" customFormat="1" ht="16.5">
      <c r="A58" s="542" t="s">
        <v>297</v>
      </c>
      <c r="B58" s="201"/>
      <c r="C58" s="201"/>
      <c r="D58" s="201"/>
      <c r="E58" s="201"/>
      <c r="F58" s="201"/>
      <c r="J58" s="543"/>
    </row>
    <row r="59" spans="1:14" ht="16.5">
      <c r="A59" s="338" t="s">
        <v>223</v>
      </c>
    </row>
    <row r="60" spans="1:14" ht="16.5">
      <c r="A60" s="338" t="s">
        <v>298</v>
      </c>
    </row>
    <row r="61" spans="1:14" ht="14">
      <c r="A61" s="243" t="s">
        <v>73</v>
      </c>
    </row>
  </sheetData>
  <printOptions horizontalCentered="1"/>
  <pageMargins left="0" right="0" top="0.55000000000000004" bottom="0" header="0.3" footer="0.15"/>
  <pageSetup paperSize="5" scale="77" orientation="landscape" cellComments="atEnd" r:id="rId1"/>
  <headerFooter alignWithMargins="0">
    <oddHeader xml:space="preserve">&amp;C&amp;"Arial,Bold"
</oddHeader>
    <oddFooter>&amp;Rpage 9 of 11
&amp;A
&amp;D  &amp;T</oddFooter>
  </headerFooter>
  <customProperties>
    <customPr name="_pios_id" r:id="rId2"/>
  </customPropertie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2:S38"/>
  <sheetViews>
    <sheetView showGridLines="0" zoomScaleNormal="100" zoomScaleSheetLayoutView="75" workbookViewId="0">
      <selection activeCell="J12" sqref="J12"/>
    </sheetView>
  </sheetViews>
  <sheetFormatPr defaultColWidth="9.26953125" defaultRowHeight="12.5"/>
  <cols>
    <col min="1" max="1" width="39.453125" style="16" customWidth="1"/>
    <col min="2" max="2" width="11" style="16" customWidth="1"/>
    <col min="3" max="3" width="9.7265625" style="16" customWidth="1"/>
    <col min="4" max="4" width="15.54296875" style="16" customWidth="1"/>
    <col min="5" max="5" width="11.7265625" style="16" customWidth="1"/>
    <col min="6" max="8" width="11" style="16" customWidth="1"/>
    <col min="9" max="9" width="10.26953125" style="16" bestFit="1" customWidth="1"/>
    <col min="10" max="13" width="11" style="16" customWidth="1"/>
    <col min="14" max="14" width="15.7265625" style="16" bestFit="1" customWidth="1"/>
    <col min="15" max="15" width="9.7265625" style="16" bestFit="1" customWidth="1"/>
    <col min="16" max="16" width="9.26953125" style="16"/>
    <col min="17" max="17" width="22.26953125" style="16" customWidth="1"/>
    <col min="18" max="16384" width="9.26953125" style="16"/>
  </cols>
  <sheetData>
    <row r="2" spans="1:14" ht="13">
      <c r="E2" s="149" t="s">
        <v>39</v>
      </c>
    </row>
    <row r="3" spans="1:14" ht="13">
      <c r="C3" s="161"/>
      <c r="D3" s="161"/>
      <c r="E3" s="162" t="s">
        <v>299</v>
      </c>
      <c r="F3" s="161"/>
      <c r="G3" s="161"/>
    </row>
    <row r="4" spans="1:14" ht="13">
      <c r="A4" s="22"/>
      <c r="D4" s="161"/>
      <c r="E4" s="152" t="str">
        <f>'Program MW '!H3</f>
        <v>September 2020</v>
      </c>
      <c r="F4" s="161"/>
    </row>
    <row r="5" spans="1:14" ht="13">
      <c r="A5" s="470"/>
      <c r="E5" s="152"/>
    </row>
    <row r="6" spans="1:14" ht="13.5" thickBot="1">
      <c r="A6" s="22"/>
      <c r="E6" s="152"/>
    </row>
    <row r="7" spans="1:14" ht="32.25" customHeight="1">
      <c r="A7" s="23" t="s">
        <v>258</v>
      </c>
      <c r="B7" s="24" t="s">
        <v>41</v>
      </c>
      <c r="C7" s="24" t="s">
        <v>42</v>
      </c>
      <c r="D7" s="24" t="s">
        <v>43</v>
      </c>
      <c r="E7" s="24" t="s">
        <v>44</v>
      </c>
      <c r="F7" s="24" t="s">
        <v>31</v>
      </c>
      <c r="G7" s="24" t="s">
        <v>45</v>
      </c>
      <c r="H7" s="24" t="s">
        <v>60</v>
      </c>
      <c r="I7" s="24" t="s">
        <v>75</v>
      </c>
      <c r="J7" s="24" t="s">
        <v>76</v>
      </c>
      <c r="K7" s="24" t="s">
        <v>62</v>
      </c>
      <c r="L7" s="24" t="s">
        <v>77</v>
      </c>
      <c r="M7" s="24" t="s">
        <v>63</v>
      </c>
      <c r="N7" s="555" t="s">
        <v>300</v>
      </c>
    </row>
    <row r="8" spans="1:14" ht="16.5">
      <c r="A8" s="25" t="s">
        <v>301</v>
      </c>
      <c r="N8" s="345"/>
    </row>
    <row r="9" spans="1:14" ht="6" customHeight="1">
      <c r="A9" s="26"/>
      <c r="N9" s="345"/>
    </row>
    <row r="10" spans="1:14" ht="13">
      <c r="A10" s="26" t="s">
        <v>260</v>
      </c>
      <c r="N10" s="345"/>
    </row>
    <row r="11" spans="1:14" ht="14.25" customHeight="1">
      <c r="A11" s="27" t="s">
        <v>302</v>
      </c>
      <c r="B11" s="244">
        <v>2.2410000000000001</v>
      </c>
      <c r="C11" s="244">
        <v>2.25</v>
      </c>
      <c r="D11" s="244">
        <v>2.7269999999999999</v>
      </c>
      <c r="E11" s="244">
        <v>2.7210000000000001</v>
      </c>
      <c r="F11" s="244">
        <v>2.5259999999999998</v>
      </c>
      <c r="G11" s="244">
        <v>2.597</v>
      </c>
      <c r="H11" s="244">
        <v>2.6890000000000001</v>
      </c>
      <c r="I11" s="244">
        <v>2.2069999999999999</v>
      </c>
      <c r="J11" s="244">
        <v>1.829</v>
      </c>
      <c r="K11" s="244">
        <v>0</v>
      </c>
      <c r="L11" s="244">
        <v>0</v>
      </c>
      <c r="M11" s="244">
        <v>0</v>
      </c>
      <c r="N11" s="557">
        <f>SUM(B11:M11)</f>
        <v>21.786999999999999</v>
      </c>
    </row>
    <row r="12" spans="1:14">
      <c r="A12" s="27" t="s">
        <v>111</v>
      </c>
      <c r="B12" s="244">
        <v>0</v>
      </c>
      <c r="C12" s="244">
        <v>0</v>
      </c>
      <c r="D12" s="244">
        <v>0</v>
      </c>
      <c r="E12" s="244">
        <v>0</v>
      </c>
      <c r="F12" s="244">
        <v>0</v>
      </c>
      <c r="G12" s="244">
        <v>0</v>
      </c>
      <c r="H12" s="244">
        <v>0</v>
      </c>
      <c r="I12" s="244">
        <v>0</v>
      </c>
      <c r="J12" s="244">
        <v>0</v>
      </c>
      <c r="K12" s="244">
        <v>0</v>
      </c>
      <c r="L12" s="244">
        <v>0</v>
      </c>
      <c r="M12" s="244">
        <v>0</v>
      </c>
      <c r="N12" s="557">
        <f>SUM(B12:M12)</f>
        <v>0</v>
      </c>
    </row>
    <row r="13" spans="1:14">
      <c r="A13" s="27" t="s">
        <v>303</v>
      </c>
      <c r="B13" s="244">
        <v>0</v>
      </c>
      <c r="C13" s="244">
        <v>0</v>
      </c>
      <c r="D13" s="244">
        <v>0</v>
      </c>
      <c r="E13" s="244">
        <v>0</v>
      </c>
      <c r="F13" s="244">
        <v>0</v>
      </c>
      <c r="G13" s="244">
        <v>0</v>
      </c>
      <c r="H13" s="244">
        <v>0</v>
      </c>
      <c r="I13" s="244">
        <v>0</v>
      </c>
      <c r="J13" s="244">
        <v>0</v>
      </c>
      <c r="K13" s="244">
        <v>0</v>
      </c>
      <c r="L13" s="244">
        <v>0</v>
      </c>
      <c r="M13" s="244">
        <v>0</v>
      </c>
      <c r="N13" s="557">
        <f>SUM(B13:M13)</f>
        <v>0</v>
      </c>
    </row>
    <row r="14" spans="1:14" ht="13">
      <c r="A14" s="20" t="s">
        <v>304</v>
      </c>
      <c r="B14" s="245">
        <f t="shared" ref="B14:M14" si="0">SUM(B11:B13)</f>
        <v>2.2410000000000001</v>
      </c>
      <c r="C14" s="245">
        <f t="shared" si="0"/>
        <v>2.25</v>
      </c>
      <c r="D14" s="245">
        <f t="shared" si="0"/>
        <v>2.7269999999999999</v>
      </c>
      <c r="E14" s="245">
        <f t="shared" si="0"/>
        <v>2.7210000000000001</v>
      </c>
      <c r="F14" s="245">
        <f t="shared" si="0"/>
        <v>2.5259999999999998</v>
      </c>
      <c r="G14" s="245">
        <f t="shared" si="0"/>
        <v>2.597</v>
      </c>
      <c r="H14" s="245">
        <f t="shared" si="0"/>
        <v>2.6890000000000001</v>
      </c>
      <c r="I14" s="245">
        <f t="shared" si="0"/>
        <v>2.2069999999999999</v>
      </c>
      <c r="J14" s="245">
        <f t="shared" si="0"/>
        <v>1.829</v>
      </c>
      <c r="K14" s="245">
        <f t="shared" si="0"/>
        <v>0</v>
      </c>
      <c r="L14" s="245">
        <f t="shared" si="0"/>
        <v>0</v>
      </c>
      <c r="M14" s="245">
        <f t="shared" si="0"/>
        <v>0</v>
      </c>
      <c r="N14" s="558">
        <f>SUM(B14:M14)</f>
        <v>21.786999999999999</v>
      </c>
    </row>
    <row r="15" spans="1:14">
      <c r="A15" s="27"/>
      <c r="B15" s="244"/>
      <c r="C15" s="244"/>
      <c r="D15" s="244"/>
      <c r="E15" s="244"/>
      <c r="F15" s="244"/>
      <c r="G15" s="244"/>
      <c r="H15" s="244"/>
      <c r="I15" s="244"/>
      <c r="J15" s="244"/>
      <c r="K15" s="244"/>
      <c r="L15" s="244"/>
      <c r="M15" s="244"/>
      <c r="N15" s="557"/>
    </row>
    <row r="16" spans="1:14" ht="13">
      <c r="A16" s="26" t="s">
        <v>305</v>
      </c>
      <c r="B16" s="244"/>
      <c r="C16" s="244"/>
      <c r="D16" s="244"/>
      <c r="E16" s="244"/>
      <c r="F16" s="244"/>
      <c r="G16" s="244"/>
      <c r="H16" s="244"/>
      <c r="I16" s="244"/>
      <c r="J16" s="244"/>
      <c r="K16" s="244"/>
      <c r="L16" s="244"/>
      <c r="M16" s="244"/>
      <c r="N16" s="557"/>
    </row>
    <row r="17" spans="1:19" ht="15">
      <c r="A17" s="27" t="s">
        <v>306</v>
      </c>
      <c r="B17" s="244">
        <v>0</v>
      </c>
      <c r="C17" s="244">
        <v>0</v>
      </c>
      <c r="D17" s="244">
        <v>0</v>
      </c>
      <c r="E17" s="244">
        <v>0</v>
      </c>
      <c r="F17" s="244">
        <v>0</v>
      </c>
      <c r="G17" s="244">
        <v>0</v>
      </c>
      <c r="H17" s="250">
        <v>0</v>
      </c>
      <c r="I17" s="250">
        <v>0</v>
      </c>
      <c r="J17" s="250">
        <v>0</v>
      </c>
      <c r="K17" s="250">
        <v>0</v>
      </c>
      <c r="L17" s="250">
        <v>0</v>
      </c>
      <c r="M17" s="250">
        <v>0</v>
      </c>
      <c r="N17" s="557">
        <f>SUM(B17:M17)</f>
        <v>0</v>
      </c>
    </row>
    <row r="18" spans="1:19" ht="13">
      <c r="A18" s="20" t="s">
        <v>307</v>
      </c>
      <c r="B18" s="245">
        <f t="shared" ref="B18:M18" si="1">SUM(B17:B17)</f>
        <v>0</v>
      </c>
      <c r="C18" s="245">
        <f t="shared" si="1"/>
        <v>0</v>
      </c>
      <c r="D18" s="245">
        <f t="shared" si="1"/>
        <v>0</v>
      </c>
      <c r="E18" s="245">
        <f t="shared" si="1"/>
        <v>0</v>
      </c>
      <c r="F18" s="245">
        <f t="shared" si="1"/>
        <v>0</v>
      </c>
      <c r="G18" s="245">
        <f t="shared" si="1"/>
        <v>0</v>
      </c>
      <c r="H18" s="245">
        <f t="shared" si="1"/>
        <v>0</v>
      </c>
      <c r="I18" s="245">
        <f t="shared" si="1"/>
        <v>0</v>
      </c>
      <c r="J18" s="245">
        <f t="shared" si="1"/>
        <v>0</v>
      </c>
      <c r="K18" s="245">
        <f t="shared" si="1"/>
        <v>0</v>
      </c>
      <c r="L18" s="245">
        <f t="shared" si="1"/>
        <v>0</v>
      </c>
      <c r="M18" s="245">
        <f t="shared" si="1"/>
        <v>0</v>
      </c>
      <c r="N18" s="558">
        <f>SUM(B18:M18)</f>
        <v>0</v>
      </c>
    </row>
    <row r="19" spans="1:19" ht="13">
      <c r="A19" s="29"/>
      <c r="B19" s="244"/>
      <c r="C19" s="244"/>
      <c r="D19" s="244"/>
      <c r="E19" s="244"/>
      <c r="F19" s="244"/>
      <c r="G19" s="244"/>
      <c r="H19" s="244"/>
      <c r="I19" s="244"/>
      <c r="J19" s="244"/>
      <c r="K19" s="244"/>
      <c r="L19" s="244"/>
      <c r="M19" s="244"/>
      <c r="N19" s="557"/>
    </row>
    <row r="20" spans="1:19" ht="13">
      <c r="A20" s="26" t="s">
        <v>308</v>
      </c>
      <c r="B20" s="244" t="s">
        <v>57</v>
      </c>
      <c r="C20" s="244" t="s">
        <v>57</v>
      </c>
      <c r="D20" s="244" t="s">
        <v>57</v>
      </c>
      <c r="E20" s="244"/>
      <c r="F20" s="244" t="s">
        <v>57</v>
      </c>
      <c r="G20" s="251"/>
      <c r="H20" s="244" t="s">
        <v>57</v>
      </c>
      <c r="I20" s="244" t="s">
        <v>57</v>
      </c>
      <c r="J20" s="244" t="s">
        <v>57</v>
      </c>
      <c r="K20" s="244" t="s">
        <v>57</v>
      </c>
      <c r="L20" s="244" t="s">
        <v>57</v>
      </c>
      <c r="M20" s="244" t="s">
        <v>57</v>
      </c>
      <c r="N20" s="557" t="s">
        <v>57</v>
      </c>
    </row>
    <row r="21" spans="1:19">
      <c r="A21" s="27" t="s">
        <v>309</v>
      </c>
      <c r="B21" s="244">
        <v>0</v>
      </c>
      <c r="C21" s="244">
        <v>0</v>
      </c>
      <c r="D21" s="244">
        <v>0</v>
      </c>
      <c r="E21" s="244">
        <v>0</v>
      </c>
      <c r="F21" s="244">
        <v>0</v>
      </c>
      <c r="G21" s="244">
        <v>0</v>
      </c>
      <c r="H21" s="250">
        <v>0</v>
      </c>
      <c r="I21" s="250">
        <v>0</v>
      </c>
      <c r="J21" s="250">
        <v>0</v>
      </c>
      <c r="K21" s="250">
        <v>0</v>
      </c>
      <c r="L21" s="250">
        <v>0</v>
      </c>
      <c r="M21" s="250">
        <v>0</v>
      </c>
      <c r="N21" s="557">
        <f>SUM(B21:M21)</f>
        <v>0</v>
      </c>
    </row>
    <row r="22" spans="1:19" ht="13">
      <c r="A22" s="211" t="s">
        <v>310</v>
      </c>
      <c r="B22" s="245">
        <f t="shared" ref="B22:M22" si="2">SUM(B21:B21)</f>
        <v>0</v>
      </c>
      <c r="C22" s="245">
        <f t="shared" si="2"/>
        <v>0</v>
      </c>
      <c r="D22" s="245">
        <f t="shared" si="2"/>
        <v>0</v>
      </c>
      <c r="E22" s="245">
        <f t="shared" si="2"/>
        <v>0</v>
      </c>
      <c r="F22" s="245">
        <f t="shared" si="2"/>
        <v>0</v>
      </c>
      <c r="G22" s="245">
        <f t="shared" si="2"/>
        <v>0</v>
      </c>
      <c r="H22" s="245">
        <f t="shared" si="2"/>
        <v>0</v>
      </c>
      <c r="I22" s="245">
        <f t="shared" si="2"/>
        <v>0</v>
      </c>
      <c r="J22" s="245">
        <f t="shared" si="2"/>
        <v>0</v>
      </c>
      <c r="K22" s="245">
        <f t="shared" si="2"/>
        <v>0</v>
      </c>
      <c r="L22" s="245">
        <f t="shared" si="2"/>
        <v>0</v>
      </c>
      <c r="M22" s="245">
        <f t="shared" si="2"/>
        <v>0</v>
      </c>
      <c r="N22" s="558">
        <f>SUM(B22:M22)</f>
        <v>0</v>
      </c>
    </row>
    <row r="23" spans="1:19" ht="13">
      <c r="A23" s="31"/>
      <c r="B23" s="244"/>
      <c r="C23" s="244"/>
      <c r="D23" s="244"/>
      <c r="E23" s="244"/>
      <c r="F23" s="244"/>
      <c r="G23" s="246"/>
      <c r="H23" s="244"/>
      <c r="I23" s="246"/>
      <c r="J23" s="244"/>
      <c r="K23" s="244"/>
      <c r="L23" s="246"/>
      <c r="M23" s="244"/>
      <c r="N23" s="557"/>
    </row>
    <row r="24" spans="1:19" ht="13">
      <c r="A24" s="32" t="s">
        <v>283</v>
      </c>
      <c r="B24" s="244"/>
      <c r="C24" s="244"/>
      <c r="D24" s="244"/>
      <c r="E24" s="244"/>
      <c r="F24" s="244"/>
      <c r="G24" s="244"/>
      <c r="H24" s="244"/>
      <c r="I24" s="244"/>
      <c r="J24" s="244"/>
      <c r="K24" s="244"/>
      <c r="L24" s="244"/>
      <c r="M24" s="244"/>
      <c r="N24" s="557"/>
    </row>
    <row r="25" spans="1:19">
      <c r="A25" s="27" t="s">
        <v>110</v>
      </c>
      <c r="B25" s="244">
        <v>0</v>
      </c>
      <c r="C25" s="244">
        <v>0</v>
      </c>
      <c r="D25" s="244">
        <v>0</v>
      </c>
      <c r="E25" s="244">
        <v>0</v>
      </c>
      <c r="F25" s="244">
        <v>0</v>
      </c>
      <c r="G25" s="244">
        <v>0</v>
      </c>
      <c r="H25" s="250">
        <v>0</v>
      </c>
      <c r="I25" s="250">
        <v>0</v>
      </c>
      <c r="J25" s="250">
        <v>0</v>
      </c>
      <c r="K25" s="250">
        <v>0</v>
      </c>
      <c r="L25" s="250">
        <v>0</v>
      </c>
      <c r="M25" s="250">
        <v>0</v>
      </c>
      <c r="N25" s="557">
        <f>SUM(B25:M25)</f>
        <v>0</v>
      </c>
    </row>
    <row r="26" spans="1:19">
      <c r="A26" s="27" t="s">
        <v>111</v>
      </c>
      <c r="B26" s="244">
        <v>0</v>
      </c>
      <c r="C26" s="244">
        <v>0</v>
      </c>
      <c r="D26" s="244">
        <v>0</v>
      </c>
      <c r="E26" s="244">
        <v>0</v>
      </c>
      <c r="F26" s="244">
        <v>0</v>
      </c>
      <c r="G26" s="244">
        <v>0</v>
      </c>
      <c r="H26" s="250">
        <v>0</v>
      </c>
      <c r="I26" s="250">
        <v>0</v>
      </c>
      <c r="J26" s="250">
        <v>0</v>
      </c>
      <c r="K26" s="250">
        <v>0</v>
      </c>
      <c r="L26" s="250">
        <v>0</v>
      </c>
      <c r="M26" s="250">
        <v>0</v>
      </c>
      <c r="N26" s="557">
        <f>SUM(B26:M26)</f>
        <v>0</v>
      </c>
    </row>
    <row r="27" spans="1:19">
      <c r="A27" s="27" t="s">
        <v>303</v>
      </c>
      <c r="B27" s="244">
        <v>0</v>
      </c>
      <c r="C27" s="244">
        <v>0</v>
      </c>
      <c r="D27" s="244">
        <v>0</v>
      </c>
      <c r="E27" s="244">
        <v>0</v>
      </c>
      <c r="F27" s="244">
        <v>0</v>
      </c>
      <c r="G27" s="244">
        <v>0</v>
      </c>
      <c r="H27" s="250">
        <v>0</v>
      </c>
      <c r="I27" s="250">
        <v>0</v>
      </c>
      <c r="J27" s="250">
        <v>0</v>
      </c>
      <c r="K27" s="250">
        <v>0</v>
      </c>
      <c r="L27" s="250">
        <v>0</v>
      </c>
      <c r="M27" s="252">
        <v>0</v>
      </c>
      <c r="N27" s="557">
        <f>SUM(B27:M27)</f>
        <v>0</v>
      </c>
    </row>
    <row r="28" spans="1:19" ht="13">
      <c r="A28" s="33" t="s">
        <v>290</v>
      </c>
      <c r="B28" s="245">
        <f t="shared" ref="B28:H28" si="3">SUM(B25:B27)</f>
        <v>0</v>
      </c>
      <c r="C28" s="245">
        <f t="shared" si="3"/>
        <v>0</v>
      </c>
      <c r="D28" s="245">
        <f t="shared" si="3"/>
        <v>0</v>
      </c>
      <c r="E28" s="245">
        <f t="shared" si="3"/>
        <v>0</v>
      </c>
      <c r="F28" s="245">
        <f t="shared" si="3"/>
        <v>0</v>
      </c>
      <c r="G28" s="245">
        <f t="shared" si="3"/>
        <v>0</v>
      </c>
      <c r="H28" s="245">
        <f t="shared" si="3"/>
        <v>0</v>
      </c>
      <c r="I28" s="245">
        <f>SUM(I24:I27)</f>
        <v>0</v>
      </c>
      <c r="J28" s="245">
        <f>SUM(J25:J27)</f>
        <v>0</v>
      </c>
      <c r="K28" s="245">
        <f>SUM(K25:K27)</f>
        <v>0</v>
      </c>
      <c r="L28" s="245">
        <f>SUM(L25:L27)</f>
        <v>0</v>
      </c>
      <c r="M28" s="245">
        <f>SUM(M25:M27)</f>
        <v>0</v>
      </c>
      <c r="N28" s="558">
        <f>SUM(B28:M28)</f>
        <v>0</v>
      </c>
      <c r="O28" s="28"/>
    </row>
    <row r="29" spans="1:19" ht="10.5" customHeight="1">
      <c r="A29" s="34"/>
      <c r="B29" s="246"/>
      <c r="C29" s="246"/>
      <c r="D29" s="246"/>
      <c r="E29" s="246"/>
      <c r="F29" s="246"/>
      <c r="G29" s="246"/>
      <c r="H29" s="246"/>
      <c r="I29" s="246"/>
      <c r="J29" s="246"/>
      <c r="K29" s="246"/>
      <c r="L29" s="246"/>
      <c r="M29" s="246"/>
      <c r="N29" s="559"/>
    </row>
    <row r="30" spans="1:19" ht="15" customHeight="1">
      <c r="A30" s="20" t="s">
        <v>311</v>
      </c>
      <c r="B30" s="247">
        <v>0</v>
      </c>
      <c r="C30" s="247">
        <v>0</v>
      </c>
      <c r="D30" s="247">
        <v>0</v>
      </c>
      <c r="E30" s="247">
        <v>0</v>
      </c>
      <c r="F30" s="247">
        <v>0</v>
      </c>
      <c r="G30" s="247">
        <v>0</v>
      </c>
      <c r="H30" s="247">
        <v>0</v>
      </c>
      <c r="I30" s="247">
        <v>0</v>
      </c>
      <c r="J30" s="245">
        <v>0</v>
      </c>
      <c r="K30" s="245">
        <v>0</v>
      </c>
      <c r="L30" s="247">
        <v>0</v>
      </c>
      <c r="M30" s="247">
        <v>0</v>
      </c>
      <c r="N30" s="560">
        <f>SUM(B30:M30)</f>
        <v>0</v>
      </c>
      <c r="O30" s="30"/>
      <c r="P30" s="30"/>
      <c r="Q30" s="30"/>
      <c r="R30" s="30"/>
      <c r="S30" s="35"/>
    </row>
    <row r="31" spans="1:19" ht="28.5" customHeight="1" thickBot="1">
      <c r="A31" s="21" t="s">
        <v>312</v>
      </c>
      <c r="B31" s="248">
        <f t="shared" ref="B31:M31" si="4">B14+B18+B22+B28+B30</f>
        <v>2.2410000000000001</v>
      </c>
      <c r="C31" s="248">
        <f t="shared" si="4"/>
        <v>2.25</v>
      </c>
      <c r="D31" s="248">
        <f t="shared" si="4"/>
        <v>2.7269999999999999</v>
      </c>
      <c r="E31" s="248">
        <f t="shared" si="4"/>
        <v>2.7210000000000001</v>
      </c>
      <c r="F31" s="248">
        <f t="shared" si="4"/>
        <v>2.5259999999999998</v>
      </c>
      <c r="G31" s="248">
        <f t="shared" si="4"/>
        <v>2.597</v>
      </c>
      <c r="H31" s="248">
        <f t="shared" si="4"/>
        <v>2.6890000000000001</v>
      </c>
      <c r="I31" s="248">
        <f t="shared" si="4"/>
        <v>2.2069999999999999</v>
      </c>
      <c r="J31" s="248">
        <f t="shared" si="4"/>
        <v>1.829</v>
      </c>
      <c r="K31" s="248">
        <f t="shared" si="4"/>
        <v>0</v>
      </c>
      <c r="L31" s="248">
        <f t="shared" si="4"/>
        <v>0</v>
      </c>
      <c r="M31" s="248">
        <f t="shared" si="4"/>
        <v>0</v>
      </c>
      <c r="N31" s="561">
        <f>SUM(B31:M31)</f>
        <v>21.786999999999999</v>
      </c>
      <c r="O31" s="28"/>
    </row>
    <row r="32" spans="1:19" ht="12" customHeight="1">
      <c r="A32" s="36"/>
      <c r="B32" s="37"/>
      <c r="C32" s="37"/>
      <c r="D32" s="249"/>
      <c r="E32" s="37"/>
      <c r="F32" s="37"/>
      <c r="G32" s="37"/>
      <c r="H32" s="37"/>
      <c r="I32" s="249"/>
      <c r="J32" s="249"/>
      <c r="K32" s="249"/>
      <c r="L32" s="249"/>
      <c r="M32" s="249"/>
      <c r="N32" s="37"/>
    </row>
    <row r="33" spans="1:14" ht="14">
      <c r="A33" s="510"/>
    </row>
    <row r="34" spans="1:14" ht="12" customHeight="1">
      <c r="A34" s="243" t="s">
        <v>73</v>
      </c>
      <c r="B34" s="28"/>
      <c r="C34" s="28"/>
      <c r="D34" s="28"/>
      <c r="E34" s="28"/>
      <c r="F34" s="28"/>
      <c r="G34" s="28"/>
      <c r="H34" s="28"/>
      <c r="I34" s="28"/>
      <c r="J34" s="28"/>
      <c r="K34" s="28"/>
      <c r="L34" s="28"/>
      <c r="M34" s="28"/>
      <c r="N34" s="28"/>
    </row>
    <row r="35" spans="1:14" ht="14.25" customHeight="1">
      <c r="A35" s="697"/>
      <c r="B35" s="697"/>
      <c r="C35" s="697"/>
      <c r="D35" s="697"/>
      <c r="E35" s="697"/>
      <c r="F35" s="697"/>
      <c r="G35" s="697"/>
      <c r="H35" s="697"/>
      <c r="I35" s="697"/>
      <c r="J35" s="697"/>
      <c r="K35" s="697"/>
      <c r="L35" s="697"/>
      <c r="M35" s="697"/>
      <c r="N35" s="697"/>
    </row>
    <row r="38" spans="1:14">
      <c r="H38" s="28"/>
    </row>
  </sheetData>
  <mergeCells count="1">
    <mergeCell ref="A35:N35"/>
  </mergeCells>
  <printOptions horizontalCentered="1"/>
  <pageMargins left="0" right="0" top="0.55000000000000004" bottom="0.17" header="0.3" footer="0.15"/>
  <pageSetup paperSize="5" scale="93" orientation="landscape" cellComments="atEnd" r:id="rId1"/>
  <headerFooter alignWithMargins="0">
    <oddHeader xml:space="preserve">&amp;C&amp;"Arial,Bold"
</oddHeader>
    <oddFooter>&amp;Rpage 10 of 11
&amp;A
&amp;D  &amp;T</oddFooter>
  </headerFooter>
  <customProperties>
    <customPr name="_pios_id" r:id="rId2"/>
  </customPropertie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3:S46"/>
  <sheetViews>
    <sheetView showGridLines="0" zoomScaleNormal="100" zoomScaleSheetLayoutView="75" workbookViewId="0">
      <selection activeCell="J38" sqref="J38"/>
    </sheetView>
  </sheetViews>
  <sheetFormatPr defaultColWidth="9.26953125" defaultRowHeight="12.5"/>
  <cols>
    <col min="1" max="1" width="53.453125" style="16" customWidth="1"/>
    <col min="2" max="2" width="11" style="16" customWidth="1"/>
    <col min="3" max="3" width="9.7265625" style="16" customWidth="1"/>
    <col min="4" max="4" width="15.54296875" style="16" customWidth="1"/>
    <col min="5" max="5" width="11.7265625" style="16" customWidth="1"/>
    <col min="6" max="8" width="11" style="16" customWidth="1"/>
    <col min="9" max="9" width="10.26953125" style="16" bestFit="1" customWidth="1"/>
    <col min="10" max="10" width="11" style="16" customWidth="1"/>
    <col min="11" max="11" width="11.54296875" style="16" customWidth="1"/>
    <col min="12" max="12" width="11" style="16" customWidth="1"/>
    <col min="13" max="13" width="12.26953125" style="16" bestFit="1" customWidth="1"/>
    <col min="14" max="14" width="15.7265625" style="16" bestFit="1" customWidth="1"/>
    <col min="15" max="15" width="9.7265625" style="16" bestFit="1" customWidth="1"/>
    <col min="16" max="16" width="22.7265625" style="16" bestFit="1" customWidth="1"/>
    <col min="17" max="17" width="22.26953125" style="16" customWidth="1"/>
    <col min="18" max="16384" width="9.26953125" style="16"/>
  </cols>
  <sheetData>
    <row r="3" spans="1:16" ht="13">
      <c r="E3" s="149" t="s">
        <v>39</v>
      </c>
    </row>
    <row r="4" spans="1:16" ht="13">
      <c r="C4" s="161"/>
      <c r="D4" s="161"/>
      <c r="E4" s="162" t="s">
        <v>313</v>
      </c>
      <c r="F4" s="161"/>
      <c r="G4" s="161"/>
    </row>
    <row r="5" spans="1:16" ht="13">
      <c r="D5" s="161"/>
      <c r="E5" s="152" t="str">
        <f>'Program MW '!H3</f>
        <v>September 2020</v>
      </c>
      <c r="F5" s="161"/>
    </row>
    <row r="6" spans="1:16" ht="13">
      <c r="E6" s="152"/>
    </row>
    <row r="7" spans="1:16" ht="13.5" thickBot="1">
      <c r="A7" s="22"/>
    </row>
    <row r="8" spans="1:16" ht="32.25" customHeight="1" thickBot="1">
      <c r="A8" s="391" t="s">
        <v>258</v>
      </c>
      <c r="B8" s="353" t="s">
        <v>41</v>
      </c>
      <c r="C8" s="24" t="s">
        <v>42</v>
      </c>
      <c r="D8" s="24" t="s">
        <v>43</v>
      </c>
      <c r="E8" s="24" t="s">
        <v>44</v>
      </c>
      <c r="F8" s="24" t="s">
        <v>31</v>
      </c>
      <c r="G8" s="24" t="s">
        <v>45</v>
      </c>
      <c r="H8" s="24" t="s">
        <v>60</v>
      </c>
      <c r="I8" s="24" t="s">
        <v>75</v>
      </c>
      <c r="J8" s="24" t="s">
        <v>76</v>
      </c>
      <c r="K8" s="24" t="s">
        <v>62</v>
      </c>
      <c r="L8" s="24" t="s">
        <v>77</v>
      </c>
      <c r="M8" s="24" t="s">
        <v>63</v>
      </c>
      <c r="N8" s="555" t="s">
        <v>300</v>
      </c>
    </row>
    <row r="9" spans="1:16" ht="26">
      <c r="A9" s="392" t="s">
        <v>314</v>
      </c>
      <c r="B9" s="513"/>
      <c r="C9" s="251"/>
      <c r="M9" s="390"/>
      <c r="N9" s="556"/>
      <c r="P9" s="390"/>
    </row>
    <row r="10" spans="1:16" ht="6" customHeight="1">
      <c r="A10" s="342"/>
      <c r="B10" s="513"/>
      <c r="C10" s="251"/>
      <c r="M10" s="390"/>
      <c r="N10" s="345"/>
    </row>
    <row r="11" spans="1:16" ht="13">
      <c r="A11" s="342" t="s">
        <v>260</v>
      </c>
      <c r="B11" s="513"/>
      <c r="C11" s="251"/>
      <c r="M11" s="390"/>
      <c r="N11" s="345"/>
    </row>
    <row r="12" spans="1:16" ht="15">
      <c r="A12" s="343" t="s">
        <v>315</v>
      </c>
      <c r="B12" s="514">
        <v>0.624</v>
      </c>
      <c r="C12" s="514">
        <v>0</v>
      </c>
      <c r="D12" s="474">
        <v>9.1020000000000003</v>
      </c>
      <c r="E12" s="474">
        <v>-15.545</v>
      </c>
      <c r="F12" s="474">
        <v>6.4119999999999999</v>
      </c>
      <c r="G12" s="474">
        <v>0</v>
      </c>
      <c r="H12" s="474">
        <v>0</v>
      </c>
      <c r="I12" s="474">
        <v>0</v>
      </c>
      <c r="J12" s="474">
        <v>0</v>
      </c>
      <c r="K12" s="474">
        <v>0</v>
      </c>
      <c r="L12" s="474">
        <v>0</v>
      </c>
      <c r="M12" s="474">
        <v>0</v>
      </c>
      <c r="N12" s="557">
        <f t="shared" ref="N12:N17" si="0">SUM(B12:M12)</f>
        <v>0.59300000000000086</v>
      </c>
    </row>
    <row r="13" spans="1:16" ht="15">
      <c r="A13" s="343" t="s">
        <v>316</v>
      </c>
      <c r="B13" s="514">
        <v>41.542999999999999</v>
      </c>
      <c r="C13" s="514">
        <v>81.834000000000003</v>
      </c>
      <c r="D13" s="474">
        <v>59.106999999999999</v>
      </c>
      <c r="E13" s="474">
        <v>70.947999999999993</v>
      </c>
      <c r="F13" s="474">
        <v>83.474000000000004</v>
      </c>
      <c r="G13" s="474">
        <v>54.384</v>
      </c>
      <c r="H13" s="474">
        <v>26.027999999999999</v>
      </c>
      <c r="I13" s="474">
        <v>50.325000000000003</v>
      </c>
      <c r="J13" s="474">
        <v>20.411000000000001</v>
      </c>
      <c r="K13" s="474">
        <v>0</v>
      </c>
      <c r="L13" s="474">
        <v>0</v>
      </c>
      <c r="M13" s="474">
        <v>0</v>
      </c>
      <c r="N13" s="557">
        <f t="shared" si="0"/>
        <v>488.05400000000003</v>
      </c>
    </row>
    <row r="14" spans="1:16" ht="15">
      <c r="A14" s="343" t="s">
        <v>317</v>
      </c>
      <c r="B14" s="514">
        <v>0</v>
      </c>
      <c r="C14" s="514">
        <v>0</v>
      </c>
      <c r="D14" s="474">
        <v>0</v>
      </c>
      <c r="E14" s="474">
        <v>0</v>
      </c>
      <c r="F14" s="474">
        <v>0</v>
      </c>
      <c r="G14" s="474">
        <v>10.582000000000001</v>
      </c>
      <c r="H14" s="474">
        <v>-3.8650000000000002</v>
      </c>
      <c r="I14" s="474">
        <v>22.896000000000001</v>
      </c>
      <c r="J14" s="474">
        <v>-11.593999999999999</v>
      </c>
      <c r="K14" s="474">
        <v>0</v>
      </c>
      <c r="L14" s="474">
        <v>0</v>
      </c>
      <c r="M14" s="474">
        <v>0</v>
      </c>
      <c r="N14" s="557">
        <f t="shared" si="0"/>
        <v>18.018999999999998</v>
      </c>
    </row>
    <row r="15" spans="1:16" ht="15">
      <c r="A15" s="343" t="s">
        <v>318</v>
      </c>
      <c r="B15" s="514">
        <v>0</v>
      </c>
      <c r="C15" s="514">
        <v>0</v>
      </c>
      <c r="D15" s="474">
        <v>0</v>
      </c>
      <c r="E15" s="474">
        <v>21.759</v>
      </c>
      <c r="F15" s="474">
        <v>0</v>
      </c>
      <c r="G15" s="474">
        <v>0</v>
      </c>
      <c r="H15" s="474">
        <v>0</v>
      </c>
      <c r="I15" s="474">
        <v>0</v>
      </c>
      <c r="J15" s="474">
        <v>0</v>
      </c>
      <c r="K15" s="474">
        <v>0</v>
      </c>
      <c r="L15" s="474">
        <v>0</v>
      </c>
      <c r="M15" s="474">
        <v>0</v>
      </c>
      <c r="N15" s="557">
        <f t="shared" si="0"/>
        <v>21.759</v>
      </c>
    </row>
    <row r="16" spans="1:16" ht="15">
      <c r="A16" s="393" t="s">
        <v>319</v>
      </c>
      <c r="B16" s="514">
        <v>0</v>
      </c>
      <c r="C16" s="514">
        <v>0</v>
      </c>
      <c r="D16" s="474">
        <v>0</v>
      </c>
      <c r="E16" s="474">
        <v>0</v>
      </c>
      <c r="F16" s="474">
        <v>7.0780000000000003</v>
      </c>
      <c r="G16" s="474">
        <v>33.576999999999998</v>
      </c>
      <c r="H16" s="474">
        <v>11.531000000000001</v>
      </c>
      <c r="I16" s="474">
        <v>0</v>
      </c>
      <c r="J16" s="474">
        <v>38.470999999999997</v>
      </c>
      <c r="K16" s="474">
        <v>0</v>
      </c>
      <c r="L16" s="474">
        <v>0</v>
      </c>
      <c r="M16" s="474">
        <v>0</v>
      </c>
      <c r="N16" s="557">
        <f t="shared" si="0"/>
        <v>90.656999999999996</v>
      </c>
      <c r="O16" s="28"/>
    </row>
    <row r="17" spans="1:16" ht="13">
      <c r="A17" s="468" t="s">
        <v>304</v>
      </c>
      <c r="B17" s="515">
        <f t="shared" ref="B17:M17" si="1">SUM(B12:B16)</f>
        <v>42.167000000000002</v>
      </c>
      <c r="C17" s="516">
        <f t="shared" si="1"/>
        <v>81.834000000000003</v>
      </c>
      <c r="D17" s="245">
        <f t="shared" si="1"/>
        <v>68.209000000000003</v>
      </c>
      <c r="E17" s="245">
        <f t="shared" si="1"/>
        <v>77.161999999999992</v>
      </c>
      <c r="F17" s="245">
        <f t="shared" si="1"/>
        <v>96.964000000000013</v>
      </c>
      <c r="G17" s="245">
        <f t="shared" si="1"/>
        <v>98.543000000000006</v>
      </c>
      <c r="H17" s="245">
        <f t="shared" si="1"/>
        <v>33.693999999999996</v>
      </c>
      <c r="I17" s="245">
        <f t="shared" si="1"/>
        <v>73.221000000000004</v>
      </c>
      <c r="J17" s="245">
        <f t="shared" si="1"/>
        <v>47.287999999999997</v>
      </c>
      <c r="K17" s="245">
        <f t="shared" si="1"/>
        <v>0</v>
      </c>
      <c r="L17" s="245">
        <f t="shared" si="1"/>
        <v>0</v>
      </c>
      <c r="M17" s="245">
        <f t="shared" si="1"/>
        <v>0</v>
      </c>
      <c r="N17" s="558">
        <f t="shared" si="0"/>
        <v>619.08200000000011</v>
      </c>
    </row>
    <row r="18" spans="1:16">
      <c r="A18" s="345"/>
      <c r="B18" s="517"/>
      <c r="C18" s="30"/>
      <c r="D18" s="244"/>
      <c r="E18" s="244"/>
      <c r="F18" s="244"/>
      <c r="G18" s="244"/>
      <c r="H18" s="244"/>
      <c r="I18" s="244"/>
      <c r="J18" s="244" t="s">
        <v>57</v>
      </c>
      <c r="K18" s="244"/>
      <c r="L18" s="244"/>
      <c r="M18" s="474"/>
      <c r="N18" s="557"/>
      <c r="P18" s="386"/>
    </row>
    <row r="19" spans="1:16" ht="13">
      <c r="A19" s="342" t="s">
        <v>320</v>
      </c>
      <c r="B19" s="517"/>
      <c r="C19" s="30"/>
      <c r="D19" s="244"/>
      <c r="E19" s="244"/>
      <c r="F19" s="244"/>
      <c r="G19" s="244"/>
      <c r="H19" s="244"/>
      <c r="I19" s="244"/>
      <c r="J19" s="244"/>
      <c r="K19" s="244"/>
      <c r="L19" s="244"/>
      <c r="M19" s="474"/>
      <c r="N19" s="557"/>
      <c r="P19" s="386"/>
    </row>
    <row r="20" spans="1:16" ht="13">
      <c r="A20" s="343" t="s">
        <v>321</v>
      </c>
      <c r="B20" s="517">
        <v>43.341999999999999</v>
      </c>
      <c r="C20" s="30">
        <v>43.341999999999999</v>
      </c>
      <c r="D20" s="244">
        <v>43.341999999999999</v>
      </c>
      <c r="E20" s="244">
        <v>43.359000000000002</v>
      </c>
      <c r="F20" s="244">
        <v>43.359000000000002</v>
      </c>
      <c r="G20" s="244">
        <v>43.359000000000002</v>
      </c>
      <c r="H20" s="244">
        <v>43.359000000000002</v>
      </c>
      <c r="I20" s="244">
        <v>43.359000000000002</v>
      </c>
      <c r="J20" s="244">
        <v>43.359000000000002</v>
      </c>
      <c r="K20" s="244">
        <v>0</v>
      </c>
      <c r="L20" s="244">
        <v>0</v>
      </c>
      <c r="M20" s="474">
        <v>0</v>
      </c>
      <c r="N20" s="557">
        <f>SUM(B20:M20)</f>
        <v>390.17999999999995</v>
      </c>
      <c r="P20" s="386"/>
    </row>
    <row r="21" spans="1:16" ht="13">
      <c r="A21" s="343" t="s">
        <v>322</v>
      </c>
      <c r="B21" s="517">
        <v>19.079000000000001</v>
      </c>
      <c r="C21" s="30">
        <v>19.116</v>
      </c>
      <c r="D21" s="244">
        <v>19.033999999999999</v>
      </c>
      <c r="E21" s="244">
        <v>18.96</v>
      </c>
      <c r="F21" s="244">
        <v>18.879000000000001</v>
      </c>
      <c r="G21" s="244">
        <v>18.797000000000001</v>
      </c>
      <c r="H21" s="244">
        <v>18.716999999999999</v>
      </c>
      <c r="I21" s="244">
        <v>18.635000000000002</v>
      </c>
      <c r="J21" s="244">
        <v>18.553999999999998</v>
      </c>
      <c r="K21" s="244">
        <v>0</v>
      </c>
      <c r="L21" s="244">
        <v>0</v>
      </c>
      <c r="M21" s="474">
        <v>0</v>
      </c>
      <c r="N21" s="557">
        <f t="shared" ref="N21:N22" si="2">SUM(B21:M21)</f>
        <v>169.77099999999999</v>
      </c>
      <c r="P21" s="386"/>
    </row>
    <row r="22" spans="1:16" ht="13">
      <c r="A22" s="343" t="s">
        <v>323</v>
      </c>
      <c r="B22" s="517">
        <v>2.4089999999999998</v>
      </c>
      <c r="C22" s="30">
        <v>2.4089999999999998</v>
      </c>
      <c r="D22" s="244">
        <v>2.4089999999999998</v>
      </c>
      <c r="E22" s="244">
        <v>2.4089999999999998</v>
      </c>
      <c r="F22" s="244">
        <v>2.4089999999999998</v>
      </c>
      <c r="G22" s="244">
        <v>2.4089999999999998</v>
      </c>
      <c r="H22" s="244">
        <v>1.772</v>
      </c>
      <c r="I22" s="244">
        <v>1.772</v>
      </c>
      <c r="J22" s="244">
        <v>1.7729999999999999</v>
      </c>
      <c r="K22" s="244">
        <v>0</v>
      </c>
      <c r="L22" s="244">
        <v>0</v>
      </c>
      <c r="M22" s="474">
        <v>0</v>
      </c>
      <c r="N22" s="557">
        <f t="shared" si="2"/>
        <v>19.770999999999994</v>
      </c>
      <c r="P22" s="386"/>
    </row>
    <row r="23" spans="1:16" ht="13">
      <c r="A23" s="346" t="s">
        <v>324</v>
      </c>
      <c r="B23" s="517">
        <v>8.3109999999999999</v>
      </c>
      <c r="C23" s="30">
        <v>8.0380000000000003</v>
      </c>
      <c r="D23" s="244">
        <v>7.7649999999999997</v>
      </c>
      <c r="E23" s="244">
        <v>7.4930000000000003</v>
      </c>
      <c r="F23" s="244">
        <v>7.22</v>
      </c>
      <c r="G23" s="244">
        <v>6.9470000000000001</v>
      </c>
      <c r="H23" s="244">
        <v>6.6740000000000004</v>
      </c>
      <c r="I23" s="244">
        <v>6.4009999999999998</v>
      </c>
      <c r="J23" s="244">
        <v>6.1289999999999996</v>
      </c>
      <c r="K23" s="244">
        <v>0</v>
      </c>
      <c r="L23" s="244">
        <v>0</v>
      </c>
      <c r="M23" s="474">
        <v>0</v>
      </c>
      <c r="N23" s="557">
        <f>SUM(B23:M23)</f>
        <v>64.978000000000009</v>
      </c>
      <c r="P23" s="386"/>
    </row>
    <row r="24" spans="1:16" ht="13">
      <c r="A24" s="344" t="s">
        <v>307</v>
      </c>
      <c r="B24" s="518">
        <f>SUM(B20:B23)</f>
        <v>73.140999999999991</v>
      </c>
      <c r="C24" s="516">
        <f t="shared" ref="C24:M24" si="3">SUM(C20:C23)</f>
        <v>72.905000000000001</v>
      </c>
      <c r="D24" s="245">
        <f t="shared" si="3"/>
        <v>72.55</v>
      </c>
      <c r="E24" s="245">
        <f t="shared" si="3"/>
        <v>72.221000000000004</v>
      </c>
      <c r="F24" s="245">
        <f t="shared" si="3"/>
        <v>71.867000000000004</v>
      </c>
      <c r="G24" s="245">
        <f t="shared" si="3"/>
        <v>71.512000000000015</v>
      </c>
      <c r="H24" s="245">
        <f t="shared" si="3"/>
        <v>70.522000000000006</v>
      </c>
      <c r="I24" s="245">
        <f t="shared" si="3"/>
        <v>70.167000000000002</v>
      </c>
      <c r="J24" s="245">
        <f t="shared" si="3"/>
        <v>69.814999999999998</v>
      </c>
      <c r="K24" s="245">
        <f t="shared" si="3"/>
        <v>0</v>
      </c>
      <c r="L24" s="245">
        <f t="shared" si="3"/>
        <v>0</v>
      </c>
      <c r="M24" s="245">
        <f t="shared" si="3"/>
        <v>0</v>
      </c>
      <c r="N24" s="558">
        <f>SUM(B24:M24)</f>
        <v>644.70000000000005</v>
      </c>
      <c r="P24" s="386"/>
    </row>
    <row r="25" spans="1:16" ht="13">
      <c r="A25" s="346"/>
      <c r="B25" s="517"/>
      <c r="C25" s="30"/>
      <c r="D25" s="244"/>
      <c r="E25" s="244"/>
      <c r="F25" s="244"/>
      <c r="G25" s="244"/>
      <c r="H25" s="244"/>
      <c r="I25" s="244"/>
      <c r="J25" s="244"/>
      <c r="K25" s="244"/>
      <c r="L25" s="244"/>
      <c r="M25" s="474"/>
      <c r="N25" s="557"/>
      <c r="P25" s="386"/>
    </row>
    <row r="26" spans="1:16" ht="13">
      <c r="A26" s="342"/>
      <c r="B26" s="517" t="s">
        <v>57</v>
      </c>
      <c r="C26" s="30" t="s">
        <v>57</v>
      </c>
      <c r="D26" s="244" t="s">
        <v>57</v>
      </c>
      <c r="E26" s="244"/>
      <c r="F26" s="244" t="s">
        <v>57</v>
      </c>
      <c r="G26" s="251"/>
      <c r="H26" s="250" t="s">
        <v>57</v>
      </c>
      <c r="I26" s="250" t="s">
        <v>57</v>
      </c>
      <c r="J26" s="250" t="s">
        <v>57</v>
      </c>
      <c r="K26" s="250" t="s">
        <v>57</v>
      </c>
      <c r="L26" s="250" t="s">
        <v>57</v>
      </c>
      <c r="M26" s="554" t="s">
        <v>57</v>
      </c>
      <c r="N26" s="557" t="s">
        <v>57</v>
      </c>
      <c r="P26" s="386"/>
    </row>
    <row r="27" spans="1:16" ht="13">
      <c r="A27" s="342" t="s">
        <v>308</v>
      </c>
      <c r="B27" s="517">
        <v>0</v>
      </c>
      <c r="C27" s="30">
        <v>0</v>
      </c>
      <c r="D27" s="244">
        <v>0</v>
      </c>
      <c r="E27" s="244">
        <v>0</v>
      </c>
      <c r="F27" s="244">
        <v>0</v>
      </c>
      <c r="G27" s="244">
        <v>0</v>
      </c>
      <c r="H27" s="250">
        <v>0</v>
      </c>
      <c r="I27" s="250">
        <v>0</v>
      </c>
      <c r="J27" s="250">
        <v>0</v>
      </c>
      <c r="K27" s="250">
        <v>0</v>
      </c>
      <c r="L27" s="250">
        <v>0</v>
      </c>
      <c r="M27" s="554">
        <v>0</v>
      </c>
      <c r="N27" s="557">
        <f>SUM(B27:M27)</f>
        <v>0</v>
      </c>
      <c r="P27" s="386"/>
    </row>
    <row r="28" spans="1:16" ht="13">
      <c r="A28" s="347" t="s">
        <v>310</v>
      </c>
      <c r="B28" s="518">
        <f t="shared" ref="B28:H28" si="4">SUM(B27:B27)</f>
        <v>0</v>
      </c>
      <c r="C28" s="516">
        <f t="shared" si="4"/>
        <v>0</v>
      </c>
      <c r="D28" s="245">
        <f t="shared" si="4"/>
        <v>0</v>
      </c>
      <c r="E28" s="245">
        <f>SUM(E27:E27)</f>
        <v>0</v>
      </c>
      <c r="F28" s="245">
        <f t="shared" si="4"/>
        <v>0</v>
      </c>
      <c r="G28" s="245">
        <f t="shared" si="4"/>
        <v>0</v>
      </c>
      <c r="H28" s="245">
        <f t="shared" si="4"/>
        <v>0</v>
      </c>
      <c r="I28" s="245">
        <f>SUM(I27:I27)</f>
        <v>0</v>
      </c>
      <c r="J28" s="245">
        <f>SUM(J27:J27)</f>
        <v>0</v>
      </c>
      <c r="K28" s="245">
        <f>SUM(K27:K27)</f>
        <v>0</v>
      </c>
      <c r="L28" s="245">
        <f>SUM(L27:L27)</f>
        <v>0</v>
      </c>
      <c r="M28" s="245">
        <f>SUM(M27:M27)</f>
        <v>0</v>
      </c>
      <c r="N28" s="558">
        <f>SUM(B28:M28)</f>
        <v>0</v>
      </c>
      <c r="P28" s="386"/>
    </row>
    <row r="29" spans="1:16" ht="13">
      <c r="A29" s="348"/>
      <c r="B29" s="517"/>
      <c r="C29" s="30"/>
      <c r="D29" s="244"/>
      <c r="E29" s="244"/>
      <c r="F29" s="244"/>
      <c r="G29" s="246"/>
      <c r="H29" s="244"/>
      <c r="I29" s="246"/>
      <c r="J29" s="244"/>
      <c r="K29" s="244"/>
      <c r="L29" s="246"/>
      <c r="M29" s="474"/>
      <c r="N29" s="557"/>
    </row>
    <row r="30" spans="1:16" ht="13">
      <c r="A30" s="349"/>
      <c r="B30" s="517"/>
      <c r="C30" s="30"/>
      <c r="D30" s="244"/>
      <c r="E30" s="244"/>
      <c r="F30" s="244"/>
      <c r="G30" s="244"/>
      <c r="H30" s="244"/>
      <c r="I30" s="244"/>
      <c r="J30" s="244"/>
      <c r="K30" s="244"/>
      <c r="L30" s="244"/>
      <c r="M30" s="474"/>
      <c r="N30" s="557"/>
    </row>
    <row r="31" spans="1:16" ht="13">
      <c r="A31" s="349" t="s">
        <v>283</v>
      </c>
      <c r="B31" s="517">
        <v>0</v>
      </c>
      <c r="C31" s="30">
        <v>0</v>
      </c>
      <c r="D31" s="244">
        <v>0</v>
      </c>
      <c r="E31" s="244">
        <v>0</v>
      </c>
      <c r="F31" s="244">
        <v>0</v>
      </c>
      <c r="G31" s="244">
        <v>0</v>
      </c>
      <c r="H31" s="250">
        <v>0</v>
      </c>
      <c r="I31" s="250">
        <v>0</v>
      </c>
      <c r="J31" s="250">
        <v>0</v>
      </c>
      <c r="K31" s="250">
        <v>0</v>
      </c>
      <c r="L31" s="250">
        <v>0</v>
      </c>
      <c r="M31" s="554">
        <v>0</v>
      </c>
      <c r="N31" s="557">
        <f>SUM(B31:M31)</f>
        <v>0</v>
      </c>
    </row>
    <row r="32" spans="1:16">
      <c r="A32" s="345"/>
      <c r="B32" s="517"/>
      <c r="C32" s="30"/>
      <c r="D32" s="244"/>
      <c r="E32" s="244"/>
      <c r="F32" s="244"/>
      <c r="G32" s="244"/>
      <c r="H32" s="250"/>
      <c r="I32" s="250"/>
      <c r="J32" s="250"/>
      <c r="K32" s="250"/>
      <c r="L32" s="250"/>
      <c r="M32" s="252"/>
      <c r="N32" s="557" t="s">
        <v>57</v>
      </c>
    </row>
    <row r="33" spans="1:19" ht="13">
      <c r="A33" s="350" t="s">
        <v>290</v>
      </c>
      <c r="B33" s="518">
        <f t="shared" ref="B33:H33" si="5">SUM(B31:B32)</f>
        <v>0</v>
      </c>
      <c r="C33" s="516">
        <f t="shared" si="5"/>
        <v>0</v>
      </c>
      <c r="D33" s="245">
        <f t="shared" si="5"/>
        <v>0</v>
      </c>
      <c r="E33" s="245">
        <f t="shared" si="5"/>
        <v>0</v>
      </c>
      <c r="F33" s="245">
        <f t="shared" si="5"/>
        <v>0</v>
      </c>
      <c r="G33" s="245">
        <f t="shared" si="5"/>
        <v>0</v>
      </c>
      <c r="H33" s="245">
        <f t="shared" si="5"/>
        <v>0</v>
      </c>
      <c r="I33" s="245">
        <f>SUM(I30:I32)</f>
        <v>0</v>
      </c>
      <c r="J33" s="245">
        <f>SUM(J31:J32)</f>
        <v>0</v>
      </c>
      <c r="K33" s="245">
        <f>SUM(K31:K32)</f>
        <v>0</v>
      </c>
      <c r="L33" s="245">
        <f>SUM(L31:L32)</f>
        <v>0</v>
      </c>
      <c r="M33" s="245">
        <f>SUM(M31:M32)</f>
        <v>0</v>
      </c>
      <c r="N33" s="558">
        <f>SUM(B33:M33)</f>
        <v>0</v>
      </c>
      <c r="O33" s="28"/>
    </row>
    <row r="34" spans="1:19" ht="10.5" customHeight="1">
      <c r="A34" s="351"/>
      <c r="B34" s="519"/>
      <c r="C34" s="520"/>
      <c r="D34" s="246"/>
      <c r="E34" s="246"/>
      <c r="F34" s="246"/>
      <c r="G34" s="246"/>
      <c r="H34" s="246"/>
      <c r="I34" s="246"/>
      <c r="J34" s="246"/>
      <c r="K34" s="246"/>
      <c r="L34" s="246"/>
      <c r="M34" s="246"/>
      <c r="N34" s="559"/>
    </row>
    <row r="35" spans="1:19" ht="15" customHeight="1">
      <c r="A35" s="344" t="s">
        <v>311</v>
      </c>
      <c r="B35" s="521">
        <v>0</v>
      </c>
      <c r="C35" s="522">
        <v>0</v>
      </c>
      <c r="D35" s="247">
        <v>0</v>
      </c>
      <c r="E35" s="247">
        <v>0</v>
      </c>
      <c r="F35" s="247">
        <v>0</v>
      </c>
      <c r="G35" s="247">
        <v>0</v>
      </c>
      <c r="H35" s="247">
        <v>0</v>
      </c>
      <c r="I35" s="247">
        <v>0</v>
      </c>
      <c r="J35" s="245">
        <v>0</v>
      </c>
      <c r="K35" s="245">
        <v>0</v>
      </c>
      <c r="L35" s="247">
        <v>0</v>
      </c>
      <c r="M35" s="247">
        <v>0</v>
      </c>
      <c r="N35" s="560">
        <f>SUM(B35:M35)</f>
        <v>0</v>
      </c>
      <c r="O35" s="30"/>
      <c r="P35" s="30"/>
      <c r="Q35" s="30"/>
      <c r="R35" s="30"/>
      <c r="S35" s="35"/>
    </row>
    <row r="36" spans="1:19" ht="15" customHeight="1" thickBot="1">
      <c r="A36" s="352" t="s">
        <v>325</v>
      </c>
      <c r="B36" s="523">
        <f t="shared" ref="B36:L36" si="6">B17+B24+B28+B33+B35</f>
        <v>115.30799999999999</v>
      </c>
      <c r="C36" s="524">
        <f t="shared" si="6"/>
        <v>154.739</v>
      </c>
      <c r="D36" s="248">
        <f t="shared" si="6"/>
        <v>140.75900000000001</v>
      </c>
      <c r="E36" s="248">
        <f t="shared" si="6"/>
        <v>149.38299999999998</v>
      </c>
      <c r="F36" s="248">
        <f t="shared" si="6"/>
        <v>168.83100000000002</v>
      </c>
      <c r="G36" s="248">
        <f t="shared" si="6"/>
        <v>170.05500000000001</v>
      </c>
      <c r="H36" s="248">
        <f>H17+H24+H28+H33+H35</f>
        <v>104.21600000000001</v>
      </c>
      <c r="I36" s="248">
        <f t="shared" si="6"/>
        <v>143.38800000000001</v>
      </c>
      <c r="J36" s="248">
        <f t="shared" si="6"/>
        <v>117.10299999999999</v>
      </c>
      <c r="K36" s="248">
        <f t="shared" si="6"/>
        <v>0</v>
      </c>
      <c r="L36" s="248">
        <f t="shared" si="6"/>
        <v>0</v>
      </c>
      <c r="M36" s="248">
        <f>M17+M24+M28+M33+M35</f>
        <v>0</v>
      </c>
      <c r="N36" s="561">
        <f>SUM(B36:M36)</f>
        <v>1263.7820000000002</v>
      </c>
      <c r="O36" s="30"/>
      <c r="P36" s="30"/>
      <c r="Q36" s="30"/>
      <c r="R36" s="30"/>
      <c r="S36" s="35"/>
    </row>
    <row r="37" spans="1:19" ht="26.25" customHeight="1" thickBot="1">
      <c r="A37" s="352" t="s">
        <v>326</v>
      </c>
      <c r="B37" s="523">
        <f>B36+0.082</f>
        <v>115.38999999999999</v>
      </c>
      <c r="C37" s="524">
        <f>C36+0.254</f>
        <v>154.99299999999999</v>
      </c>
      <c r="D37" s="248">
        <f>D36+0.443</f>
        <v>141.20200000000003</v>
      </c>
      <c r="E37" s="248">
        <f>E36+0.584</f>
        <v>149.96699999999998</v>
      </c>
      <c r="F37" s="248">
        <f>F36+0.528</f>
        <v>169.35900000000001</v>
      </c>
      <c r="G37" s="248">
        <f>G36+0.19</f>
        <v>170.245</v>
      </c>
      <c r="H37" s="248">
        <f>H36+0.143</f>
        <v>104.35900000000001</v>
      </c>
      <c r="I37" s="248">
        <f>I36+0.126</f>
        <v>143.51400000000001</v>
      </c>
      <c r="J37" s="248">
        <f>J36+0.121</f>
        <v>117.22399999999999</v>
      </c>
      <c r="K37" s="248">
        <v>0</v>
      </c>
      <c r="L37" s="248">
        <v>0</v>
      </c>
      <c r="M37" s="248">
        <v>0</v>
      </c>
      <c r="N37" s="561">
        <f>SUM(B37:M37)</f>
        <v>1266.2529999999999</v>
      </c>
      <c r="O37" s="28"/>
    </row>
    <row r="38" spans="1:19" ht="13">
      <c r="A38" s="36"/>
      <c r="B38" s="37"/>
      <c r="C38" s="37"/>
      <c r="D38" s="37"/>
      <c r="E38" s="37"/>
      <c r="F38" s="37"/>
      <c r="G38" s="37"/>
      <c r="H38" s="37"/>
      <c r="I38" s="37"/>
      <c r="J38" s="37"/>
      <c r="K38" s="37"/>
      <c r="L38" s="37"/>
      <c r="M38" s="37"/>
      <c r="N38" s="37"/>
    </row>
    <row r="39" spans="1:19" ht="14">
      <c r="A39" s="480" t="s">
        <v>66</v>
      </c>
      <c r="B39" s="479"/>
      <c r="C39" s="479"/>
      <c r="D39" s="479"/>
      <c r="E39" s="479"/>
      <c r="F39" s="479"/>
      <c r="G39" s="479"/>
      <c r="H39" s="479"/>
      <c r="I39" s="479"/>
      <c r="J39" s="479"/>
      <c r="K39" s="479"/>
      <c r="L39" s="479"/>
      <c r="M39" s="479"/>
      <c r="N39" s="479"/>
    </row>
    <row r="40" spans="1:19" ht="16.5">
      <c r="A40" s="455" t="s">
        <v>327</v>
      </c>
      <c r="B40" s="456"/>
      <c r="C40" s="456"/>
      <c r="D40" s="456"/>
      <c r="E40" s="456"/>
      <c r="F40" s="456"/>
      <c r="G40" s="456"/>
      <c r="H40" s="456"/>
      <c r="I40" s="456"/>
      <c r="J40" s="456"/>
      <c r="K40" s="456"/>
      <c r="L40" s="456"/>
      <c r="M40" s="456"/>
      <c r="N40" s="456"/>
    </row>
    <row r="41" spans="1:19" ht="15" customHeight="1">
      <c r="A41" s="698" t="s">
        <v>328</v>
      </c>
      <c r="B41" s="698"/>
      <c r="C41" s="698"/>
      <c r="D41" s="698"/>
      <c r="E41" s="698"/>
      <c r="F41" s="698"/>
      <c r="G41" s="698"/>
      <c r="H41" s="698"/>
      <c r="I41" s="698"/>
      <c r="J41" s="698"/>
      <c r="K41" s="698"/>
      <c r="L41" s="698"/>
      <c r="M41" s="698"/>
      <c r="N41" s="698"/>
    </row>
    <row r="42" spans="1:19" ht="15" customHeight="1">
      <c r="A42" s="457" t="s">
        <v>329</v>
      </c>
      <c r="B42" s="591"/>
      <c r="C42" s="591"/>
      <c r="D42" s="591"/>
      <c r="E42" s="591"/>
      <c r="F42" s="591"/>
      <c r="G42" s="591"/>
      <c r="H42" s="591"/>
      <c r="I42" s="591"/>
      <c r="J42" s="591"/>
      <c r="K42" s="591"/>
      <c r="L42" s="591"/>
      <c r="M42" s="591"/>
      <c r="N42" s="591"/>
    </row>
    <row r="43" spans="1:19" ht="15" customHeight="1">
      <c r="A43" s="540" t="s">
        <v>330</v>
      </c>
      <c r="B43" s="591"/>
      <c r="C43" s="591"/>
      <c r="D43" s="591"/>
      <c r="E43" s="591"/>
      <c r="F43" s="591"/>
      <c r="G43" s="591"/>
      <c r="H43" s="591"/>
      <c r="I43" s="591"/>
      <c r="J43" s="591"/>
      <c r="K43" s="591"/>
      <c r="L43" s="591"/>
      <c r="M43" s="591"/>
      <c r="N43" s="591"/>
    </row>
    <row r="44" spans="1:19" ht="15" customHeight="1">
      <c r="A44" s="540" t="s">
        <v>354</v>
      </c>
      <c r="B44" s="591"/>
      <c r="C44" s="591"/>
      <c r="D44" s="591"/>
      <c r="E44" s="591"/>
      <c r="F44" s="591"/>
      <c r="G44" s="591"/>
      <c r="H44" s="591"/>
      <c r="I44" s="591"/>
      <c r="J44" s="591"/>
      <c r="K44" s="591"/>
      <c r="L44" s="591"/>
      <c r="M44" s="591"/>
      <c r="N44" s="591"/>
    </row>
    <row r="45" spans="1:19" ht="14.5">
      <c r="A45" s="243" t="s">
        <v>73</v>
      </c>
      <c r="E45" s="123"/>
    </row>
    <row r="46" spans="1:19">
      <c r="H46" s="28"/>
    </row>
  </sheetData>
  <mergeCells count="1">
    <mergeCell ref="A41:N41"/>
  </mergeCells>
  <printOptions horizontalCentered="1"/>
  <pageMargins left="0" right="0" top="0.55000000000000004" bottom="0.17" header="0.3" footer="0.15"/>
  <pageSetup paperSize="5" scale="86" orientation="landscape" cellComments="atEnd" r:id="rId1"/>
  <headerFooter alignWithMargins="0">
    <oddHeader xml:space="preserve">&amp;C&amp;"Arial,Bold"
</oddHeader>
    <oddFooter>&amp;Rpage 11 of 11
&amp;A
&amp;D  &amp;T</oddFooter>
  </headerFooter>
  <customProperties>
    <customPr name="_pios_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0"/>
    <pageSetUpPr fitToPage="1"/>
  </sheetPr>
  <dimension ref="A1:AE57"/>
  <sheetViews>
    <sheetView showGridLines="0" tabSelected="1" showRuler="0" topLeftCell="A18" zoomScaleNormal="100" zoomScaleSheetLayoutView="80" workbookViewId="0">
      <selection activeCell="H30" sqref="H30"/>
    </sheetView>
  </sheetViews>
  <sheetFormatPr defaultColWidth="9.26953125" defaultRowHeight="12.5"/>
  <cols>
    <col min="1" max="1" width="41.7265625" style="10" customWidth="1"/>
    <col min="2" max="2" width="11.26953125" style="10" customWidth="1"/>
    <col min="3" max="3" width="12.26953125" style="10" customWidth="1"/>
    <col min="4" max="4" width="12.7265625" style="10" customWidth="1"/>
    <col min="5" max="5" width="19.7265625" style="10" customWidth="1"/>
    <col min="6" max="6" width="10.26953125" style="10" customWidth="1"/>
    <col min="7" max="7" width="9.7265625" style="10" bestFit="1" customWidth="1"/>
    <col min="8" max="8" width="11.453125" style="10" customWidth="1"/>
    <col min="9" max="9" width="11.54296875" style="10" bestFit="1" customWidth="1"/>
    <col min="10" max="10" width="10.7265625" style="10" customWidth="1"/>
    <col min="11" max="14" width="12.54296875" style="10" customWidth="1"/>
    <col min="15" max="15" width="12.453125" style="10" customWidth="1"/>
    <col min="16" max="16" width="12.54296875" style="10" customWidth="1"/>
    <col min="17" max="17" width="10.7265625" style="10" customWidth="1"/>
    <col min="18" max="18" width="11" style="10" customWidth="1"/>
    <col min="19" max="19" width="11.26953125" style="10" customWidth="1"/>
    <col min="20" max="20" width="14.26953125" style="10" hidden="1" customWidth="1"/>
    <col min="21" max="21" width="9.7265625" style="10" customWidth="1"/>
    <col min="22" max="22" width="11.453125" style="10" customWidth="1"/>
    <col min="23" max="23" width="11" style="10" customWidth="1"/>
    <col min="24" max="25" width="9.7265625" style="10" customWidth="1"/>
    <col min="26" max="26" width="12.7265625" style="10" customWidth="1"/>
    <col min="27" max="27" width="8.7265625" style="10" bestFit="1" customWidth="1"/>
    <col min="28" max="28" width="10.54296875" style="10" customWidth="1"/>
    <col min="29" max="29" width="9.7265625" style="10" bestFit="1" customWidth="1"/>
    <col min="30" max="30" width="11.26953125" style="10" customWidth="1"/>
    <col min="31" max="31" width="9.7265625" style="10" bestFit="1" customWidth="1"/>
    <col min="32" max="32" width="10.7265625" style="10" customWidth="1"/>
    <col min="33" max="33" width="12.26953125" style="10" bestFit="1" customWidth="1"/>
    <col min="34" max="34" width="12.26953125" style="10" customWidth="1"/>
    <col min="35" max="35" width="9.54296875" style="10" bestFit="1" customWidth="1"/>
    <col min="36" max="36" width="11.26953125" style="10" customWidth="1"/>
    <col min="37" max="37" width="11.7265625" style="10" bestFit="1" customWidth="1"/>
    <col min="38" max="38" width="11.7265625" style="10" customWidth="1"/>
    <col min="39" max="16384" width="9.26953125" style="10"/>
  </cols>
  <sheetData>
    <row r="1" spans="1:31" ht="13">
      <c r="H1" s="149" t="s">
        <v>39</v>
      </c>
    </row>
    <row r="2" spans="1:31" ht="13">
      <c r="H2" s="149" t="s">
        <v>40</v>
      </c>
      <c r="Q2" s="12"/>
      <c r="R2" s="86"/>
    </row>
    <row r="3" spans="1:31" ht="13">
      <c r="C3" s="153"/>
      <c r="E3" s="153"/>
      <c r="G3" s="153"/>
      <c r="H3" s="152" t="s">
        <v>349</v>
      </c>
      <c r="I3" s="153"/>
    </row>
    <row r="4" spans="1:31" hidden="1">
      <c r="C4" s="10">
        <v>2</v>
      </c>
      <c r="D4" s="10">
        <f>C4</f>
        <v>2</v>
      </c>
      <c r="F4" s="10">
        <f>C4+1</f>
        <v>3</v>
      </c>
      <c r="G4" s="10">
        <f>F4</f>
        <v>3</v>
      </c>
      <c r="I4" s="10">
        <f>F4+1</f>
        <v>4</v>
      </c>
      <c r="J4" s="10">
        <f>I4</f>
        <v>4</v>
      </c>
      <c r="L4" s="10">
        <f>I4+1</f>
        <v>5</v>
      </c>
      <c r="M4" s="10">
        <f>L4</f>
        <v>5</v>
      </c>
      <c r="O4" s="10">
        <f>L4+1</f>
        <v>6</v>
      </c>
      <c r="P4" s="10">
        <f>O4</f>
        <v>6</v>
      </c>
      <c r="R4" s="10">
        <f>O4+1</f>
        <v>7</v>
      </c>
      <c r="S4" s="10">
        <f>R4</f>
        <v>7</v>
      </c>
    </row>
    <row r="5" spans="1:31" ht="13">
      <c r="C5" s="87"/>
    </row>
    <row r="6" spans="1:31" ht="13">
      <c r="A6" s="88"/>
      <c r="B6" s="89"/>
      <c r="C6" s="484" t="s">
        <v>41</v>
      </c>
      <c r="D6" s="89"/>
      <c r="E6" s="89"/>
      <c r="F6" s="89" t="s">
        <v>42</v>
      </c>
      <c r="G6" s="89"/>
      <c r="H6" s="89"/>
      <c r="I6" s="89" t="s">
        <v>43</v>
      </c>
      <c r="J6" s="89"/>
      <c r="K6" s="89"/>
      <c r="L6" s="89" t="s">
        <v>44</v>
      </c>
      <c r="M6" s="89"/>
      <c r="N6" s="89"/>
      <c r="O6" s="89" t="s">
        <v>31</v>
      </c>
      <c r="P6" s="89"/>
      <c r="Q6" s="89"/>
      <c r="R6" s="89" t="s">
        <v>45</v>
      </c>
      <c r="S6" s="89"/>
      <c r="T6" s="177"/>
    </row>
    <row r="7" spans="1:31" ht="42.5">
      <c r="A7" s="178" t="s">
        <v>46</v>
      </c>
      <c r="B7" s="199" t="s">
        <v>47</v>
      </c>
      <c r="C7" s="180" t="s">
        <v>48</v>
      </c>
      <c r="D7" s="170" t="s">
        <v>49</v>
      </c>
      <c r="E7" s="179" t="s">
        <v>47</v>
      </c>
      <c r="F7" s="180" t="s">
        <v>48</v>
      </c>
      <c r="G7" s="170" t="s">
        <v>49</v>
      </c>
      <c r="H7" s="181" t="s">
        <v>47</v>
      </c>
      <c r="I7" s="180" t="s">
        <v>48</v>
      </c>
      <c r="J7" s="170" t="s">
        <v>49</v>
      </c>
      <c r="K7" s="182" t="s">
        <v>6</v>
      </c>
      <c r="L7" s="180" t="s">
        <v>48</v>
      </c>
      <c r="M7" s="170" t="s">
        <v>49</v>
      </c>
      <c r="N7" s="182" t="s">
        <v>47</v>
      </c>
      <c r="O7" s="180" t="s">
        <v>48</v>
      </c>
      <c r="P7" s="170" t="s">
        <v>49</v>
      </c>
      <c r="Q7" s="181" t="s">
        <v>6</v>
      </c>
      <c r="R7" s="180" t="s">
        <v>48</v>
      </c>
      <c r="S7" s="170" t="s">
        <v>49</v>
      </c>
      <c r="T7" s="170" t="s">
        <v>50</v>
      </c>
    </row>
    <row r="8" spans="1:31" ht="13">
      <c r="A8" s="163" t="s">
        <v>51</v>
      </c>
      <c r="B8" s="183"/>
      <c r="C8" s="183"/>
      <c r="D8" s="184"/>
      <c r="E8" s="185"/>
      <c r="F8" s="183"/>
      <c r="G8" s="184"/>
      <c r="H8" s="185"/>
      <c r="I8" s="183"/>
      <c r="J8" s="183"/>
      <c r="K8" s="185"/>
      <c r="L8" s="183"/>
      <c r="M8" s="186"/>
      <c r="N8" s="185"/>
      <c r="O8" s="183"/>
      <c r="P8" s="186"/>
      <c r="Q8" s="185"/>
      <c r="R8" s="183"/>
      <c r="S8" s="186"/>
      <c r="T8" s="187"/>
    </row>
    <row r="9" spans="1:31">
      <c r="A9" s="85" t="s">
        <v>8</v>
      </c>
      <c r="B9" s="102">
        <v>4</v>
      </c>
      <c r="C9" s="361">
        <f>B9*(INDEX('Ex ante LI &amp; Eligibility Stats'!$A:$M,MATCH('Program MW '!$A9,'Ex ante LI &amp; Eligibility Stats'!$A:$A,0),MATCH('Program MW '!C$6,'Ex ante LI &amp; Eligibility Stats'!$A$8:$M$8,0))/1000)</f>
        <v>0.64924000000000004</v>
      </c>
      <c r="D9" s="357">
        <f>B9*(INDEX('Ex post LI &amp; Eligibility Stats'!$A:$N,MATCH($A9,'Ex post LI &amp; Eligibility Stats'!$A:$A,0),MATCH('Program MW '!C$6,'Ex post LI &amp; Eligibility Stats'!$A$8:$N$8,0))/1000)</f>
        <v>1.51572</v>
      </c>
      <c r="E9" s="14">
        <v>4</v>
      </c>
      <c r="F9" s="357">
        <f>E9*(INDEX('Ex ante LI &amp; Eligibility Stats'!$A:$M,MATCH('Program MW '!$A9,'Ex ante LI &amp; Eligibility Stats'!$A:$A,0),MATCH('Program MW '!F$6,'Ex ante LI &amp; Eligibility Stats'!$A$8:$M$8,0))/1000)</f>
        <v>0.43383999999999995</v>
      </c>
      <c r="G9" s="357">
        <f>E9*(INDEX('Ex post LI &amp; Eligibility Stats'!$A:$N,MATCH($A9,'Ex post LI &amp; Eligibility Stats'!$A:$A,0),MATCH('Program MW '!F$6,'Ex post LI &amp; Eligibility Stats'!$A$8:$N$8,0))/1000)</f>
        <v>1.51572</v>
      </c>
      <c r="H9" s="14">
        <v>4</v>
      </c>
      <c r="I9" s="357">
        <f>H9*(INDEX('Ex ante LI &amp; Eligibility Stats'!$A:$M,MATCH('Program MW '!$A9,'Ex ante LI &amp; Eligibility Stats'!$A:$A,0),MATCH('Program MW '!I$6,'Ex ante LI &amp; Eligibility Stats'!$A$8:$M$8,0))/1000)</f>
        <v>0.72393133544921873</v>
      </c>
      <c r="J9" s="357">
        <f>H9*(INDEX('Ex post LI &amp; Eligibility Stats'!$A:$N,MATCH($A9,'Ex post LI &amp; Eligibility Stats'!$A:$A,0),MATCH('Program MW '!I$6,'Ex post LI &amp; Eligibility Stats'!$A$8:$N$8,0))/1000)</f>
        <v>2.2938640136718749</v>
      </c>
      <c r="K9" s="14">
        <v>4</v>
      </c>
      <c r="L9" s="357">
        <f>K9*(INDEX('Ex ante LI &amp; Eligibility Stats'!$A:$M,MATCH('Program MW '!$A9,'Ex ante LI &amp; Eligibility Stats'!$A:$A,0),MATCH('Program MW '!L$6,'Ex ante LI &amp; Eligibility Stats'!$A$8:$M$8,0))/1000)</f>
        <v>0.64798333740234371</v>
      </c>
      <c r="M9" s="357">
        <f>K9*(INDEX('Ex post LI &amp; Eligibility Stats'!$A:$N,MATCH($A9,'Ex post LI &amp; Eligibility Stats'!$A:$A,0),MATCH('Program MW '!L$6,'Ex post LI &amp; Eligibility Stats'!$A$8:$N$8,0))/1000)</f>
        <v>2.2938640136718749</v>
      </c>
      <c r="N9" s="14">
        <v>4</v>
      </c>
      <c r="O9" s="357">
        <f>N9*(INDEX('Ex ante LI &amp; Eligibility Stats'!$A:$M,MATCH('Program MW '!$A9,'Ex ante LI &amp; Eligibility Stats'!$A:$A,0),MATCH('Program MW '!O$6,'Ex ante LI &amp; Eligibility Stats'!$A$8:$M$8,0))/1000)</f>
        <v>0.62296343994140624</v>
      </c>
      <c r="P9" s="357">
        <f>N9*(INDEX('Ex post LI &amp; Eligibility Stats'!$A:$N,MATCH($A9,'Ex post LI &amp; Eligibility Stats'!$A:$A,0),MATCH('Program MW '!O$6,'Ex post LI &amp; Eligibility Stats'!$A$8:$N$8,0))/1000)</f>
        <v>2.2938640136718749</v>
      </c>
      <c r="Q9" s="124">
        <v>4</v>
      </c>
      <c r="R9" s="357">
        <f>Q9*(INDEX('Ex ante LI &amp; Eligibility Stats'!$A:$M,MATCH('Program MW '!$A9,'Ex ante LI &amp; Eligibility Stats'!$A:$A,0),MATCH('Program MW '!R$6,'Ex ante LI &amp; Eligibility Stats'!$A$8:$M$8,0))/1000)</f>
        <v>0.76944903564453127</v>
      </c>
      <c r="S9" s="357">
        <f>Q9*(INDEX('Ex post LI &amp; Eligibility Stats'!$A:$N,MATCH($A9,'Ex post LI &amp; Eligibility Stats'!$A:$A,0),MATCH('Program MW '!R$6,'Ex post LI &amp; Eligibility Stats'!$A$8:$N$8,0))/1000)</f>
        <v>2.2938640136718749</v>
      </c>
      <c r="T9" s="4">
        <v>5276</v>
      </c>
    </row>
    <row r="10" spans="1:31" ht="13.5" thickBot="1">
      <c r="A10" s="188" t="s">
        <v>52</v>
      </c>
      <c r="B10" s="155">
        <f t="shared" ref="B10:Q10" si="0">SUM(B9:B9)</f>
        <v>4</v>
      </c>
      <c r="C10" s="172">
        <f t="shared" si="0"/>
        <v>0.64924000000000004</v>
      </c>
      <c r="D10" s="172">
        <f t="shared" si="0"/>
        <v>1.51572</v>
      </c>
      <c r="E10" s="1">
        <f t="shared" si="0"/>
        <v>4</v>
      </c>
      <c r="F10" s="234">
        <f t="shared" si="0"/>
        <v>0.43383999999999995</v>
      </c>
      <c r="G10" s="234">
        <f t="shared" si="0"/>
        <v>1.51572</v>
      </c>
      <c r="H10" s="1">
        <f t="shared" si="0"/>
        <v>4</v>
      </c>
      <c r="I10" s="234">
        <f t="shared" si="0"/>
        <v>0.72393133544921873</v>
      </c>
      <c r="J10" s="234">
        <f t="shared" si="0"/>
        <v>2.2938640136718749</v>
      </c>
      <c r="K10" s="1">
        <f>SUM(K9)</f>
        <v>4</v>
      </c>
      <c r="L10" s="234">
        <f t="shared" ref="L10:M10" si="1">SUM(L9:L9)</f>
        <v>0.64798333740234371</v>
      </c>
      <c r="M10" s="234">
        <f t="shared" si="1"/>
        <v>2.2938640136718749</v>
      </c>
      <c r="N10" s="1">
        <f t="shared" si="0"/>
        <v>4</v>
      </c>
      <c r="O10" s="234">
        <f t="shared" si="0"/>
        <v>0.62296343994140624</v>
      </c>
      <c r="P10" s="234">
        <f t="shared" si="0"/>
        <v>2.2938640136718749</v>
      </c>
      <c r="Q10" s="125">
        <f t="shared" si="0"/>
        <v>4</v>
      </c>
      <c r="R10" s="234">
        <f t="shared" ref="R10:S10" si="2">SUM(R9:R9)</f>
        <v>0.76944903564453127</v>
      </c>
      <c r="S10" s="234">
        <f t="shared" si="2"/>
        <v>2.2938640136718749</v>
      </c>
      <c r="T10" s="5"/>
    </row>
    <row r="11" spans="1:31" ht="13.5" thickTop="1">
      <c r="A11" s="163" t="s">
        <v>53</v>
      </c>
      <c r="B11" s="173"/>
      <c r="C11" s="171"/>
      <c r="D11" s="174"/>
      <c r="E11" s="189"/>
      <c r="F11" s="190"/>
      <c r="G11" s="191"/>
      <c r="H11" s="189"/>
      <c r="I11" s="192"/>
      <c r="J11" s="191"/>
      <c r="K11" s="189"/>
      <c r="L11" s="192"/>
      <c r="M11" s="191"/>
      <c r="N11" s="189"/>
      <c r="O11" s="362"/>
      <c r="P11" s="363"/>
      <c r="Q11" s="193"/>
      <c r="R11" s="192"/>
      <c r="S11" s="194"/>
      <c r="T11" s="187"/>
      <c r="Y11" s="6"/>
      <c r="Z11" s="6"/>
      <c r="AA11" s="6"/>
      <c r="AB11" s="6"/>
      <c r="AC11" s="6"/>
      <c r="AD11" s="6"/>
      <c r="AE11" s="6"/>
    </row>
    <row r="12" spans="1:31">
      <c r="A12" s="42" t="s">
        <v>11</v>
      </c>
      <c r="B12" s="159">
        <v>14325</v>
      </c>
      <c r="C12" s="357">
        <f>B12*(INDEX('Ex ante LI &amp; Eligibility Stats'!$A:$M,MATCH($A12,'Ex ante LI &amp; Eligibility Stats'!$A:$A,0),MATCH('Program MW '!C$6,'Ex ante LI &amp; Eligibility Stats'!$A$8:$M$8,0))/1000)</f>
        <v>0</v>
      </c>
      <c r="D12" s="356">
        <f>B12*(INDEX('Ex post LI &amp; Eligibility Stats'!$A:$N,MATCH($A12,'Ex post LI &amp; Eligibility Stats'!$A:$A,0),MATCH('Program MW '!C$6,'Ex post LI &amp; Eligibility Stats'!$A$8:$N$8,0))/1000)</f>
        <v>10.45725</v>
      </c>
      <c r="E12" s="159">
        <v>14319</v>
      </c>
      <c r="F12" s="355">
        <f>E12*(INDEX('Ex ante LI &amp; Eligibility Stats'!$A:$M,MATCH($A12,'Ex ante LI &amp; Eligibility Stats'!$A:$A,0),MATCH('Program MW '!F$6,'Ex ante LI &amp; Eligibility Stats'!$A$8:$M$8,0))/1000)</f>
        <v>0</v>
      </c>
      <c r="G12" s="356">
        <f>E12*(INDEX('Ex post LI &amp; Eligibility Stats'!$A:$N,MATCH($A12,'Ex post LI &amp; Eligibility Stats'!$A:$A,0),MATCH('Program MW '!F$6,'Ex post LI &amp; Eligibility Stats'!$A$8:$N$8,0))/1000)</f>
        <v>10.452869999999999</v>
      </c>
      <c r="H12" s="159">
        <v>14282</v>
      </c>
      <c r="I12" s="357">
        <f>H12*(INDEX('Ex ante LI &amp; Eligibility Stats'!$A:$M,MATCH('Program MW '!$A12,'Ex ante LI &amp; Eligibility Stats'!$A:$A,0),MATCH('Program MW '!I$6,'Ex ante LI &amp; Eligibility Stats'!$A$8:$M$8,0))/1000)</f>
        <v>2.0273027641999999</v>
      </c>
      <c r="J12" s="356">
        <f>H12*(INDEX('Ex post LI &amp; Eligibility Stats'!$A:$N,MATCH($A12,'Ex post LI &amp; Eligibility Stats'!$A:$A,0),MATCH('Program MW '!I$6,'Ex post LI &amp; Eligibility Stats'!$A$8:$N$8,0))/1000)</f>
        <v>10.42586</v>
      </c>
      <c r="K12" s="159">
        <v>14248</v>
      </c>
      <c r="L12" s="357">
        <f>K12*(INDEX('Ex ante LI &amp; Eligibility Stats'!$A:$M,MATCH('Program MW '!$A12,'Ex ante LI &amp; Eligibility Stats'!$A:$A,0),MATCH('Program MW '!L$6,'Ex ante LI &amp; Eligibility Stats'!$A$8:$M$8,0))/1000)</f>
        <v>1.9754780759999999</v>
      </c>
      <c r="M12" s="356">
        <f>K12*(INDEX('Ex post LI &amp; Eligibility Stats'!$A:$N,MATCH($A12,'Ex post LI &amp; Eligibility Stats'!$A:$A,0),MATCH('Program MW '!L$6,'Ex post LI &amp; Eligibility Stats'!$A$8:$N$8,0))/1000)</f>
        <v>10.40104</v>
      </c>
      <c r="N12" s="159">
        <v>14178</v>
      </c>
      <c r="O12" s="357">
        <f>N12*(INDEX('Ex ante LI &amp; Eligibility Stats'!$A:$M,MATCH('Program MW '!$A12,'Ex ante LI &amp; Eligibility Stats'!$A:$A,0),MATCH('Program MW '!O$6,'Ex ante LI &amp; Eligibility Stats'!$A$8:$M$8,0))/1000)</f>
        <v>1.9550086733999998</v>
      </c>
      <c r="P12" s="356">
        <f>N12*(INDEX('Ex post LI &amp; Eligibility Stats'!$A:$N,MATCH($A12,'Ex post LI &amp; Eligibility Stats'!$A:$A,0),MATCH('Program MW '!O$6,'Ex post LI &amp; Eligibility Stats'!$A$8:$N$8,0))/1000)</f>
        <v>10.34994</v>
      </c>
      <c r="Q12" s="159">
        <v>14095</v>
      </c>
      <c r="R12" s="357">
        <f>Q12*(INDEX('Ex ante LI &amp; Eligibility Stats'!$A:$M,MATCH('Program MW '!$A12,'Ex ante LI &amp; Eligibility Stats'!$A:$A,0),MATCH('Program MW '!R$6,'Ex ante LI &amp; Eligibility Stats'!$A$8:$M$8,0))/1000)</f>
        <v>1.9500192885000003</v>
      </c>
      <c r="S12" s="356">
        <f>Q12*(INDEX('Ex post LI &amp; Eligibility Stats'!$A:$N,MATCH($A12,'Ex post LI &amp; Eligibility Stats'!$A:$A,0),MATCH('Program MW '!R$6,'Ex post LI &amp; Eligibility Stats'!$A$8:$N$8,0))/1000)</f>
        <v>10.289349999999999</v>
      </c>
      <c r="T12" s="7">
        <v>138123</v>
      </c>
      <c r="U12" s="6"/>
      <c r="V12" s="6"/>
      <c r="W12" s="6"/>
      <c r="X12" s="6"/>
      <c r="Y12" s="6"/>
      <c r="Z12" s="6"/>
      <c r="AA12" s="6"/>
      <c r="AB12" s="6"/>
      <c r="AC12" s="6"/>
      <c r="AD12" s="6"/>
      <c r="AE12" s="6"/>
    </row>
    <row r="13" spans="1:31" ht="13.5">
      <c r="A13" s="209" t="s">
        <v>54</v>
      </c>
      <c r="B13" s="210">
        <v>0</v>
      </c>
      <c r="C13" s="357">
        <v>0</v>
      </c>
      <c r="D13" s="358">
        <v>0</v>
      </c>
      <c r="E13" s="210">
        <v>0</v>
      </c>
      <c r="F13" s="357">
        <v>0</v>
      </c>
      <c r="G13" s="358">
        <v>0</v>
      </c>
      <c r="H13" s="210">
        <v>0</v>
      </c>
      <c r="I13" s="357">
        <v>0</v>
      </c>
      <c r="J13" s="358">
        <v>0</v>
      </c>
      <c r="K13" s="210">
        <v>0</v>
      </c>
      <c r="L13" s="357">
        <v>0</v>
      </c>
      <c r="M13" s="358">
        <v>0</v>
      </c>
      <c r="N13" s="210">
        <v>0</v>
      </c>
      <c r="O13" s="357">
        <v>0</v>
      </c>
      <c r="P13" s="358">
        <v>0</v>
      </c>
      <c r="Q13" s="210">
        <v>0</v>
      </c>
      <c r="R13" s="357">
        <v>0</v>
      </c>
      <c r="S13" s="358">
        <v>0</v>
      </c>
      <c r="T13" s="4"/>
      <c r="U13" s="6"/>
      <c r="V13" s="6"/>
      <c r="W13" s="6"/>
      <c r="X13" s="6"/>
      <c r="Y13" s="6"/>
      <c r="Z13" s="6"/>
      <c r="AA13" s="6"/>
      <c r="AB13" s="6"/>
      <c r="AC13" s="6"/>
      <c r="AD13" s="6"/>
      <c r="AE13" s="6"/>
    </row>
    <row r="14" spans="1:31" ht="14.5">
      <c r="A14" s="164" t="s">
        <v>55</v>
      </c>
      <c r="B14" s="160">
        <v>1</v>
      </c>
      <c r="C14" s="357">
        <v>0</v>
      </c>
      <c r="D14" s="358">
        <v>0</v>
      </c>
      <c r="E14" s="160">
        <v>1</v>
      </c>
      <c r="F14" s="357">
        <v>0</v>
      </c>
      <c r="G14" s="358">
        <v>0</v>
      </c>
      <c r="H14" s="160">
        <v>2</v>
      </c>
      <c r="I14" s="357">
        <f>H14*(INDEX('Ex ante LI &amp; Eligibility Stats'!$A:$M,MATCH('Program MW '!$A14,'Ex ante LI &amp; Eligibility Stats'!$A:$A,0),MATCH('Program MW '!I$6,'Ex ante LI &amp; Eligibility Stats'!$A$8:$M$8,0))/1000)</f>
        <v>0</v>
      </c>
      <c r="J14" s="358">
        <f>H14*(INDEX('Ex post LI &amp; Eligibility Stats'!$A:$N,MATCH($A14,'Ex post LI &amp; Eligibility Stats'!$A:$A,0),MATCH('Program MW '!I$6,'Ex post LI &amp; Eligibility Stats'!$A$8:$N$8,0))/1000)</f>
        <v>2.632E-2</v>
      </c>
      <c r="K14" s="160">
        <v>2</v>
      </c>
      <c r="L14" s="357">
        <f>K14*(INDEX('Ex ante LI &amp; Eligibility Stats'!$A:$M,MATCH('Program MW '!$A14,'Ex ante LI &amp; Eligibility Stats'!$A:$A,0),MATCH('Program MW '!L$6,'Ex ante LI &amp; Eligibility Stats'!$A$8:$M$8,0))/1000)</f>
        <v>0</v>
      </c>
      <c r="M14" s="358">
        <f>K14*(INDEX('Ex post LI &amp; Eligibility Stats'!$A:$N,MATCH($A14,'Ex post LI &amp; Eligibility Stats'!$A:$A,0),MATCH('Program MW '!L$6,'Ex post LI &amp; Eligibility Stats'!$A$8:$N$8,0))/1000)</f>
        <v>2.632E-2</v>
      </c>
      <c r="N14" s="160">
        <v>2</v>
      </c>
      <c r="O14" s="357">
        <f>N14*(INDEX('Ex ante LI &amp; Eligibility Stats'!$A:$M,MATCH('Program MW '!$A14,'Ex ante LI &amp; Eligibility Stats'!$A:$A,0),MATCH('Program MW '!O$6,'Ex ante LI &amp; Eligibility Stats'!$A$8:$M$8,0))/1000)</f>
        <v>2.632E-2</v>
      </c>
      <c r="P14" s="358">
        <f>N14*(INDEX('Ex post LI &amp; Eligibility Stats'!$A:$N,MATCH($A14,'Ex post LI &amp; Eligibility Stats'!$A:$A,0),MATCH('Program MW '!O$6,'Ex post LI &amp; Eligibility Stats'!$A$8:$N$8,0))/1000)</f>
        <v>2.632E-2</v>
      </c>
      <c r="Q14" s="160">
        <v>2</v>
      </c>
      <c r="R14" s="357">
        <f>Q14*(INDEX('Ex ante LI &amp; Eligibility Stats'!$A:$M,MATCH('Program MW '!$A14,'Ex ante LI &amp; Eligibility Stats'!$A:$A,0),MATCH('Program MW '!R$6,'Ex ante LI &amp; Eligibility Stats'!$A$8:$M$8,0))/1000)</f>
        <v>2.632E-2</v>
      </c>
      <c r="S14" s="358">
        <f>Q14*(INDEX('Ex post LI &amp; Eligibility Stats'!$A:$N,MATCH($A14,'Ex post LI &amp; Eligibility Stats'!$A:$A,0),MATCH('Program MW '!R$6,'Ex post LI &amp; Eligibility Stats'!$A$8:$N$8,0))/1000)</f>
        <v>2.632E-2</v>
      </c>
      <c r="T14" s="4"/>
      <c r="U14" s="6"/>
      <c r="V14" s="6"/>
      <c r="W14" s="6"/>
      <c r="X14" s="6"/>
      <c r="Y14" s="6"/>
      <c r="Z14" s="6"/>
      <c r="AA14" s="6"/>
      <c r="AB14" s="6"/>
      <c r="AC14" s="6"/>
      <c r="AD14" s="6"/>
      <c r="AE14" s="6"/>
    </row>
    <row r="15" spans="1:31">
      <c r="A15" s="285" t="s">
        <v>17</v>
      </c>
      <c r="B15" s="160">
        <v>19267</v>
      </c>
      <c r="C15" s="357">
        <f>B15*(INDEX('Ex ante LI &amp; Eligibility Stats'!$A:$M,MATCH($A15,'Ex ante LI &amp; Eligibility Stats'!$A:$A,0),MATCH('Program MW '!C$6,'Ex ante LI &amp; Eligibility Stats'!$A$8:$M$8,0))/1000)</f>
        <v>0</v>
      </c>
      <c r="D15" s="358">
        <f>B15*(INDEX('Ex post LI &amp; Eligibility Stats'!$A:$N,MATCH($A15,'Ex post LI &amp; Eligibility Stats'!$A:$A,0),MATCH('Program MW '!C$6,'Ex post LI &amp; Eligibility Stats'!$A$8:$N$8,0))/1000)</f>
        <v>3.0827200000000001</v>
      </c>
      <c r="E15" s="160">
        <v>19389</v>
      </c>
      <c r="F15" s="357">
        <f>E15*(INDEX('Ex ante LI &amp; Eligibility Stats'!$A:$M,MATCH($A15,'Ex ante LI &amp; Eligibility Stats'!$A:$A,0),MATCH('Program MW '!F$6,'Ex ante LI &amp; Eligibility Stats'!$A$8:$M$8,0))/1000)</f>
        <v>0</v>
      </c>
      <c r="G15" s="358">
        <f>E15*(INDEX('Ex post LI &amp; Eligibility Stats'!$A:$N,MATCH($A15,'Ex post LI &amp; Eligibility Stats'!$A:$A,0),MATCH('Program MW '!F$6,'Ex post LI &amp; Eligibility Stats'!$A$8:$N$8,0))/1000)</f>
        <v>3.1022400000000001</v>
      </c>
      <c r="H15" s="160">
        <v>19514</v>
      </c>
      <c r="I15" s="357">
        <f>H15*(INDEX('Ex ante LI &amp; Eligibility Stats'!$A:$M,MATCH('Program MW '!$A15,'Ex ante LI &amp; Eligibility Stats'!$A:$A,0),MATCH('Program MW '!I$6,'Ex ante LI &amp; Eligibility Stats'!$A$8:$M$8,0))/1000)</f>
        <v>8.363872844347498E-4</v>
      </c>
      <c r="J15" s="358">
        <f>H15*(INDEX('Ex post LI &amp; Eligibility Stats'!$A:$N,MATCH($A15,'Ex post LI &amp; Eligibility Stats'!$A:$A,0),MATCH('Program MW '!I$6,'Ex post LI &amp; Eligibility Stats'!$A$8:$N$8,0))/1000)</f>
        <v>4.2930799999999998</v>
      </c>
      <c r="K15" s="160">
        <v>15350</v>
      </c>
      <c r="L15" s="357">
        <f>K15*(INDEX('Ex ante LI &amp; Eligibility Stats'!$A:$M,MATCH('Program MW '!$A15,'Ex ante LI &amp; Eligibility Stats'!$A:$A,0),MATCH('Program MW '!L$6,'Ex ante LI &amp; Eligibility Stats'!$A$8:$M$8,0))/1000)</f>
        <v>1.2928511034697294</v>
      </c>
      <c r="M15" s="358">
        <f>K15*(INDEX('Ex post LI &amp; Eligibility Stats'!$A:$N,MATCH($A15,'Ex post LI &amp; Eligibility Stats'!$A:$A,0),MATCH('Program MW '!L$6,'Ex post LI &amp; Eligibility Stats'!$A$8:$N$8,0))/1000)</f>
        <v>3.3770000000000002</v>
      </c>
      <c r="N15" s="210">
        <v>15648</v>
      </c>
      <c r="O15" s="357">
        <f>N15*(INDEX('Ex ante LI &amp; Eligibility Stats'!$A:$M,MATCH('Program MW '!$A15,'Ex ante LI &amp; Eligibility Stats'!$A:$A,0),MATCH('Program MW '!O$6,'Ex ante LI &amp; Eligibility Stats'!$A$8:$M$8,0))/1000)</f>
        <v>2.1029281368255615</v>
      </c>
      <c r="P15" s="358">
        <f>N15*(INDEX('Ex post LI &amp; Eligibility Stats'!$A:$N,MATCH($A15,'Ex post LI &amp; Eligibility Stats'!$A:$A,0),MATCH('Program MW '!O$6,'Ex post LI &amp; Eligibility Stats'!$A$8:$N$8,0))/1000)</f>
        <v>3.4425600000000003</v>
      </c>
      <c r="Q15" s="160">
        <v>14944</v>
      </c>
      <c r="R15" s="357">
        <f>Q15*(INDEX('Ex ante LI &amp; Eligibility Stats'!$A:$M,MATCH('Program MW '!$A15,'Ex ante LI &amp; Eligibility Stats'!$A:$A,0),MATCH('Program MW '!R$6,'Ex ante LI &amp; Eligibility Stats'!$A$8:$M$8,0))/1000)</f>
        <v>1.7535013246536255</v>
      </c>
      <c r="S15" s="358">
        <f>Q15*(INDEX('Ex post LI &amp; Eligibility Stats'!$A:$N,MATCH($A15,'Ex post LI &amp; Eligibility Stats'!$A:$A,0),MATCH('Program MW '!R$6,'Ex post LI &amp; Eligibility Stats'!$A$8:$N$8,0))/1000)</f>
        <v>3.2876799999999999</v>
      </c>
      <c r="T15" s="4">
        <v>663393.5</v>
      </c>
      <c r="U15" s="6"/>
      <c r="V15" s="6"/>
      <c r="W15" s="6"/>
      <c r="X15" s="6"/>
      <c r="Y15" s="6"/>
      <c r="Z15" s="6"/>
      <c r="AA15" s="6"/>
      <c r="AB15" s="6"/>
      <c r="AC15" s="6"/>
      <c r="AD15" s="6"/>
      <c r="AE15" s="6"/>
    </row>
    <row r="16" spans="1:31">
      <c r="A16" s="157" t="s">
        <v>20</v>
      </c>
      <c r="B16" s="160">
        <v>1621</v>
      </c>
      <c r="C16" s="357">
        <f>B16*(INDEX('Ex ante LI &amp; Eligibility Stats'!$A:$M,MATCH($A16,'Ex ante LI &amp; Eligibility Stats'!$A:$A,0),MATCH('Program MW '!C$6,'Ex ante LI &amp; Eligibility Stats'!$A$8:$M$8,0))/1000)</f>
        <v>0</v>
      </c>
      <c r="D16" s="358">
        <f>B16*(INDEX('Ex post LI &amp; Eligibility Stats'!$A:$N,MATCH($A16,'Ex post LI &amp; Eligibility Stats'!$A:$A,0),MATCH('Program MW '!C$6,'Ex post LI &amp; Eligibility Stats'!$A$8:$N$8,0))/1000)</f>
        <v>0.76186999999999994</v>
      </c>
      <c r="E16" s="160">
        <v>1632</v>
      </c>
      <c r="F16" s="357">
        <f>E16*(INDEX('Ex ante LI &amp; Eligibility Stats'!$A:$M,MATCH($A16,'Ex ante LI &amp; Eligibility Stats'!$A:$A,0),MATCH('Program MW '!F$6,'Ex ante LI &amp; Eligibility Stats'!$A$8:$M$8,0))/1000)</f>
        <v>0</v>
      </c>
      <c r="G16" s="358">
        <f>E16*(INDEX('Ex post LI &amp; Eligibility Stats'!$A:$N,MATCH($A16,'Ex post LI &amp; Eligibility Stats'!$A:$A,0),MATCH('Program MW '!F$6,'Ex post LI &amp; Eligibility Stats'!$A$8:$N$8,0))/1000)</f>
        <v>0.76703999999999994</v>
      </c>
      <c r="H16" s="160">
        <v>1633</v>
      </c>
      <c r="I16" s="357">
        <f>H16*(INDEX('Ex ante LI &amp; Eligibility Stats'!$A:$M,MATCH('Program MW '!$A16,'Ex ante LI &amp; Eligibility Stats'!$A:$A,0),MATCH('Program MW '!I$6,'Ex ante LI &amp; Eligibility Stats'!$A$8:$M$8,0))/1000)</f>
        <v>2.9353506870102137E-3</v>
      </c>
      <c r="J16" s="358">
        <f>H16*(INDEX('Ex post LI &amp; Eligibility Stats'!$A:$N,MATCH($A16,'Ex post LI &amp; Eligibility Stats'!$A:$A,0),MATCH('Program MW '!I$6,'Ex post LI &amp; Eligibility Stats'!$A$8:$N$8,0))/1000)</f>
        <v>0.58787999999999996</v>
      </c>
      <c r="K16" s="160">
        <v>960</v>
      </c>
      <c r="L16" s="357">
        <f>K16*(INDEX('Ex ante LI &amp; Eligibility Stats'!$A:$M,MATCH('Program MW '!$A16,'Ex ante LI &amp; Eligibility Stats'!$A:$A,0),MATCH('Program MW '!L$6,'Ex ante LI &amp; Eligibility Stats'!$A$8:$M$8,0))/1000)</f>
        <v>0.18351822853088379</v>
      </c>
      <c r="M16" s="358">
        <f>K16*(INDEX('Ex post LI &amp; Eligibility Stats'!$A:$N,MATCH($A16,'Ex post LI &amp; Eligibility Stats'!$A:$A,0),MATCH('Program MW '!L$6,'Ex post LI &amp; Eligibility Stats'!$A$8:$N$8,0))/1000)</f>
        <v>0.34559999999999996</v>
      </c>
      <c r="N16" s="210">
        <v>972</v>
      </c>
      <c r="O16" s="357">
        <f>N16*(INDEX('Ex ante LI &amp; Eligibility Stats'!$A:$M,MATCH('Program MW '!$A16,'Ex ante LI &amp; Eligibility Stats'!$A:$A,0),MATCH('Program MW '!O$6,'Ex ante LI &amp; Eligibility Stats'!$A$8:$M$8,0))/1000)</f>
        <v>0.26925267112255097</v>
      </c>
      <c r="P16" s="358">
        <f>N16*(INDEX('Ex post LI &amp; Eligibility Stats'!$A:$N,MATCH($A16,'Ex post LI &amp; Eligibility Stats'!$A:$A,0),MATCH('Program MW '!O$6,'Ex post LI &amp; Eligibility Stats'!$A$8:$N$8,0))/1000)</f>
        <v>0.34991999999999995</v>
      </c>
      <c r="Q16" s="160">
        <v>980</v>
      </c>
      <c r="R16" s="357">
        <f>Q16*(INDEX('Ex ante LI &amp; Eligibility Stats'!$A:$M,MATCH('Program MW '!$A16,'Ex ante LI &amp; Eligibility Stats'!$A:$A,0),MATCH('Program MW '!R$6,'Ex ante LI &amp; Eligibility Stats'!$A$8:$M$8,0))/1000)</f>
        <v>0.25252178430557248</v>
      </c>
      <c r="S16" s="358">
        <f>Q16*(INDEX('Ex post LI &amp; Eligibility Stats'!$A:$N,MATCH($A16,'Ex post LI &amp; Eligibility Stats'!$A:$A,0),MATCH('Program MW '!R$6,'Ex post LI &amp; Eligibility Stats'!$A$8:$N$8,0))/1000)</f>
        <v>0.35279999999999995</v>
      </c>
      <c r="T16" s="4"/>
      <c r="U16" s="6"/>
      <c r="V16" s="6"/>
      <c r="W16" s="6"/>
      <c r="X16" s="6"/>
      <c r="Y16" s="6"/>
      <c r="Z16" s="6"/>
      <c r="AA16" s="6"/>
      <c r="AB16" s="6"/>
      <c r="AC16" s="6"/>
      <c r="AD16" s="6"/>
      <c r="AE16" s="6"/>
    </row>
    <row r="17" spans="1:31">
      <c r="A17" s="285" t="s">
        <v>21</v>
      </c>
      <c r="B17" s="421">
        <v>8709</v>
      </c>
      <c r="C17" s="357">
        <f>B17*(INDEX('Ex ante LI &amp; Eligibility Stats'!$A:$M,MATCH($A17,'Ex ante LI &amp; Eligibility Stats'!$A:$A,0),MATCH('Program MW '!C$6,'Ex ante LI &amp; Eligibility Stats'!$A$8:$M$8,0))/1000)</f>
        <v>0</v>
      </c>
      <c r="D17" s="358">
        <f>B17*(INDEX('Ex post LI &amp; Eligibility Stats'!$A:$N,MATCH($A17,'Ex post LI &amp; Eligibility Stats'!$A:$A,0),MATCH('Program MW '!C$6,'Ex post LI &amp; Eligibility Stats'!$A$8:$N$8,0))/1000)</f>
        <v>2.1772499999999999</v>
      </c>
      <c r="E17" s="421">
        <v>8522</v>
      </c>
      <c r="F17" s="357">
        <f>E17*(INDEX('Ex ante LI &amp; Eligibility Stats'!$A:$M,MATCH($A17,'Ex ante LI &amp; Eligibility Stats'!$A:$A,0),MATCH('Program MW '!F$6,'Ex ante LI &amp; Eligibility Stats'!$A$8:$M$8,0))/1000)</f>
        <v>0</v>
      </c>
      <c r="G17" s="358">
        <f>E17*(INDEX('Ex post LI &amp; Eligibility Stats'!$A:$N,MATCH($A17,'Ex post LI &amp; Eligibility Stats'!$A:$A,0),MATCH('Program MW '!F$6,'Ex post LI &amp; Eligibility Stats'!$A$8:$N$8,0))/1000)</f>
        <v>2.1305000000000001</v>
      </c>
      <c r="H17" s="421">
        <v>8522</v>
      </c>
      <c r="I17" s="357">
        <f>H17*(INDEX('Ex ante LI &amp; Eligibility Stats'!$A:$M,MATCH('Program MW '!$A17,'Ex ante LI &amp; Eligibility Stats'!$A:$A,0),MATCH('Program MW '!I$6,'Ex ante LI &amp; Eligibility Stats'!$A$8:$M$8,0))/1000)</f>
        <v>0</v>
      </c>
      <c r="J17" s="358">
        <f>H17*(INDEX('Ex post LI &amp; Eligibility Stats'!$A:$N,MATCH($A17,'Ex post LI &amp; Eligibility Stats'!$A:$A,0),MATCH('Program MW '!I$6,'Ex post LI &amp; Eligibility Stats'!$A$8:$N$8,0))/1000)</f>
        <v>0.93742000000000003</v>
      </c>
      <c r="K17" s="421">
        <v>7855</v>
      </c>
      <c r="L17" s="357">
        <f>K17*(INDEX('Ex ante LI &amp; Eligibility Stats'!$A:$M,MATCH('Program MW '!$A17,'Ex ante LI &amp; Eligibility Stats'!$A:$A,0),MATCH('Program MW '!L$6,'Ex ante LI &amp; Eligibility Stats'!$A$8:$M$8,0))/1000)</f>
        <v>0</v>
      </c>
      <c r="M17" s="358">
        <f>K17*(INDEX('Ex post LI &amp; Eligibility Stats'!$A:$N,MATCH($A17,'Ex post LI &amp; Eligibility Stats'!$A:$A,0),MATCH('Program MW '!L$6,'Ex post LI &amp; Eligibility Stats'!$A$8:$N$8,0))/1000)</f>
        <v>0.86404999999999998</v>
      </c>
      <c r="N17" s="421">
        <v>8179</v>
      </c>
      <c r="O17" s="357">
        <f>N17*(INDEX('Ex ante LI &amp; Eligibility Stats'!$A:$M,MATCH('Program MW '!$A17,'Ex ante LI &amp; Eligibility Stats'!$A:$A,0),MATCH('Program MW '!O$6,'Ex ante LI &amp; Eligibility Stats'!$A$8:$M$8,0))/1000)</f>
        <v>0.2733356368</v>
      </c>
      <c r="P17" s="358">
        <f>N17*(INDEX('Ex post LI &amp; Eligibility Stats'!$A:$N,MATCH($A17,'Ex post LI &amp; Eligibility Stats'!$A:$A,0),MATCH('Program MW '!O$6,'Ex post LI &amp; Eligibility Stats'!$A$8:$N$8,0))/1000)</f>
        <v>0.89968999999999999</v>
      </c>
      <c r="Q17" s="421">
        <v>7938</v>
      </c>
      <c r="R17" s="357">
        <f>Q17*(INDEX('Ex ante LI &amp; Eligibility Stats'!$A:$M,MATCH('Program MW '!$A17,'Ex ante LI &amp; Eligibility Stats'!$A:$A,0),MATCH('Program MW '!R$6,'Ex ante LI &amp; Eligibility Stats'!$A$8:$M$8,0))/1000)</f>
        <v>2.34337698E-2</v>
      </c>
      <c r="S17" s="358">
        <f>Q17*(INDEX('Ex post LI &amp; Eligibility Stats'!$A:$N,MATCH($A17,'Ex post LI &amp; Eligibility Stats'!$A:$A,0),MATCH('Program MW '!R$6,'Ex post LI &amp; Eligibility Stats'!$A$8:$N$8,0))/1000)</f>
        <v>0.87318000000000007</v>
      </c>
      <c r="T17" s="4">
        <v>157189</v>
      </c>
      <c r="U17" s="6"/>
      <c r="V17" s="6"/>
      <c r="W17" s="6"/>
      <c r="X17" s="6"/>
      <c r="Y17" s="6"/>
      <c r="Z17" s="6"/>
      <c r="AA17" s="6"/>
      <c r="AB17" s="6"/>
      <c r="AC17" s="6"/>
      <c r="AD17" s="6"/>
      <c r="AE17" s="6"/>
    </row>
    <row r="18" spans="1:31">
      <c r="A18" s="285" t="s">
        <v>23</v>
      </c>
      <c r="B18" s="421">
        <v>3148</v>
      </c>
      <c r="C18" s="357">
        <f>B18*(INDEX('Ex ante LI &amp; Eligibility Stats'!$A:$M,MATCH($A18,'Ex ante LI &amp; Eligibility Stats'!$A:$A,0),MATCH('Program MW '!C$6,'Ex ante LI &amp; Eligibility Stats'!$A$8:$M$8,0))/1000)</f>
        <v>0</v>
      </c>
      <c r="D18" s="358">
        <f>B18*(INDEX('Ex post LI &amp; Eligibility Stats'!$A:$N,MATCH($A18,'Ex post LI &amp; Eligibility Stats'!$A:$A,0),MATCH('Program MW '!C$6,'Ex post LI &amp; Eligibility Stats'!$A$8:$N$8,0))/1000)</f>
        <v>0.37775999999999998</v>
      </c>
      <c r="E18" s="421">
        <v>3130</v>
      </c>
      <c r="F18" s="357">
        <f>E18*(INDEX('Ex ante LI &amp; Eligibility Stats'!$A:$M,MATCH($A18,'Ex ante LI &amp; Eligibility Stats'!$A:$A,0),MATCH('Program MW '!F$6,'Ex ante LI &amp; Eligibility Stats'!$A$8:$M$8,0))/1000)</f>
        <v>0</v>
      </c>
      <c r="G18" s="358">
        <f>E18*(INDEX('Ex post LI &amp; Eligibility Stats'!$A:$N,MATCH($A18,'Ex post LI &amp; Eligibility Stats'!$A:$A,0),MATCH('Program MW '!F$6,'Ex post LI &amp; Eligibility Stats'!$A$8:$N$8,0))/1000)</f>
        <v>0.37559999999999999</v>
      </c>
      <c r="H18" s="421">
        <v>3184</v>
      </c>
      <c r="I18" s="357">
        <f>H18*(INDEX('Ex ante LI &amp; Eligibility Stats'!$A:$M,MATCH('Program MW '!$A18,'Ex ante LI &amp; Eligibility Stats'!$A:$A,0),MATCH('Program MW '!I$6,'Ex ante LI &amp; Eligibility Stats'!$A$8:$M$8,0))/1000)</f>
        <v>0</v>
      </c>
      <c r="J18" s="358">
        <f>H18*(INDEX('Ex post LI &amp; Eligibility Stats'!$A:$N,MATCH($A18,'Ex post LI &amp; Eligibility Stats'!$A:$A,0),MATCH('Program MW '!I$6,'Ex post LI &amp; Eligibility Stats'!$A$8:$N$8,0))/1000)</f>
        <v>0.28655999999999998</v>
      </c>
      <c r="K18" s="421">
        <v>3184</v>
      </c>
      <c r="L18" s="357">
        <f>K18*(INDEX('Ex ante LI &amp; Eligibility Stats'!$A:$M,MATCH('Program MW '!$A18,'Ex ante LI &amp; Eligibility Stats'!$A:$A,0),MATCH('Program MW '!L$6,'Ex ante LI &amp; Eligibility Stats'!$A$8:$M$8,0))/1000)</f>
        <v>0.17300868959999999</v>
      </c>
      <c r="M18" s="358">
        <f>K18*(INDEX('Ex post LI &amp; Eligibility Stats'!$A:$N,MATCH($A18,'Ex post LI &amp; Eligibility Stats'!$A:$A,0),MATCH('Program MW '!L$6,'Ex post LI &amp; Eligibility Stats'!$A$8:$N$8,0))/1000)</f>
        <v>0.28655999999999998</v>
      </c>
      <c r="N18" s="421">
        <v>3039</v>
      </c>
      <c r="O18" s="357">
        <f>N18*(INDEX('Ex ante LI &amp; Eligibility Stats'!$A:$M,MATCH('Program MW '!$A18,'Ex ante LI &amp; Eligibility Stats'!$A:$A,0),MATCH('Program MW '!O$6,'Ex ante LI &amp; Eligibility Stats'!$A$8:$M$8,0))/1000)</f>
        <v>0.23546111219999999</v>
      </c>
      <c r="P18" s="358">
        <f>N18*(INDEX('Ex post LI &amp; Eligibility Stats'!$A:$N,MATCH($A18,'Ex post LI &amp; Eligibility Stats'!$A:$A,0),MATCH('Program MW '!O$6,'Ex post LI &amp; Eligibility Stats'!$A$8:$N$8,0))/1000)</f>
        <v>0.27350999999999998</v>
      </c>
      <c r="Q18" s="421">
        <v>3218</v>
      </c>
      <c r="R18" s="357">
        <f>Q18*(INDEX('Ex ante LI &amp; Eligibility Stats'!$A:$M,MATCH('Program MW '!$A18,'Ex ante LI &amp; Eligibility Stats'!$A:$A,0),MATCH('Program MW '!R$6,'Ex ante LI &amp; Eligibility Stats'!$A$8:$M$8,0))/1000)</f>
        <v>0.1919092916</v>
      </c>
      <c r="S18" s="358">
        <f>Q18*(INDEX('Ex post LI &amp; Eligibility Stats'!$A:$N,MATCH($A18,'Ex post LI &amp; Eligibility Stats'!$A:$A,0),MATCH('Program MW '!R$6,'Ex post LI &amp; Eligibility Stats'!$A$8:$N$8,0))/1000)</f>
        <v>0.28961999999999999</v>
      </c>
      <c r="T18" s="4">
        <v>157189</v>
      </c>
      <c r="U18" s="6"/>
      <c r="V18" s="6"/>
      <c r="W18" s="6"/>
      <c r="X18" s="6"/>
      <c r="Y18" s="6"/>
      <c r="Z18" s="6"/>
      <c r="AA18" s="6"/>
      <c r="AB18" s="6"/>
      <c r="AC18" s="6"/>
      <c r="AD18" s="6"/>
      <c r="AE18" s="6"/>
    </row>
    <row r="19" spans="1:31">
      <c r="A19" s="157" t="s">
        <v>24</v>
      </c>
      <c r="B19" s="160">
        <v>0</v>
      </c>
      <c r="C19" s="357">
        <f>B19*(INDEX('Ex ante LI &amp; Eligibility Stats'!$A:$M,MATCH($A19,'Ex ante LI &amp; Eligibility Stats'!$A:$A,0),MATCH('Program MW '!C$6,'Ex ante LI &amp; Eligibility Stats'!$A$8:$M$8,0))/1000)</f>
        <v>0</v>
      </c>
      <c r="D19" s="358">
        <f>B19*(INDEX('Ex post LI &amp; Eligibility Stats'!$A:$N,MATCH($A19,'Ex post LI &amp; Eligibility Stats'!$A:$A,0),MATCH('Program MW '!C$6,'Ex post LI &amp; Eligibility Stats'!$A$8:$N$8,0))/1000)</f>
        <v>0</v>
      </c>
      <c r="E19" s="160">
        <v>0</v>
      </c>
      <c r="F19" s="357">
        <f>E19*(INDEX('Ex ante LI &amp; Eligibility Stats'!$A:$M,MATCH($A19,'Ex ante LI &amp; Eligibility Stats'!$A:$A,0),MATCH('Program MW '!F$6,'Ex ante LI &amp; Eligibility Stats'!$A$8:$M$8,0))/1000)</f>
        <v>0</v>
      </c>
      <c r="G19" s="358">
        <f>E19*(INDEX('Ex post LI &amp; Eligibility Stats'!$A:$N,MATCH($A19,'Ex post LI &amp; Eligibility Stats'!$A:$A,0),MATCH('Program MW '!F$6,'Ex post LI &amp; Eligibility Stats'!$A$8:$N$8,0))/1000)</f>
        <v>0</v>
      </c>
      <c r="H19" s="160">
        <v>0</v>
      </c>
      <c r="I19" s="357">
        <f>H19*(INDEX('Ex ante LI &amp; Eligibility Stats'!$A:$M,MATCH('Program MW '!$A19,'Ex ante LI &amp; Eligibility Stats'!$A:$A,0),MATCH('Program MW '!I$6,'Ex ante LI &amp; Eligibility Stats'!$A$8:$M$8,0))/1000)</f>
        <v>0</v>
      </c>
      <c r="J19" s="358">
        <f>H19*(INDEX('Ex post LI &amp; Eligibility Stats'!$A:$N,MATCH($A19,'Ex post LI &amp; Eligibility Stats'!$A:$A,0),MATCH('Program MW '!I$6,'Ex post LI &amp; Eligibility Stats'!$A$8:$N$8,0))/1000)</f>
        <v>0</v>
      </c>
      <c r="K19" s="160">
        <v>0</v>
      </c>
      <c r="L19" s="357">
        <f>K19*(INDEX('Ex ante LI &amp; Eligibility Stats'!$A:$M,MATCH('Program MW '!$A19,'Ex ante LI &amp; Eligibility Stats'!$A:$A,0),MATCH('Program MW '!L$6,'Ex ante LI &amp; Eligibility Stats'!$A$8:$M$8,0))/1000)</f>
        <v>0</v>
      </c>
      <c r="M19" s="358">
        <f>K19*(INDEX('Ex post LI &amp; Eligibility Stats'!$A:$N,MATCH($A19,'Ex post LI &amp; Eligibility Stats'!$A:$A,0),MATCH('Program MW '!L$6,'Ex post LI &amp; Eligibility Stats'!$A$8:$N$8,0))/1000)</f>
        <v>0</v>
      </c>
      <c r="N19" s="160">
        <v>9</v>
      </c>
      <c r="O19" s="357">
        <f>N19*(INDEX('Ex ante LI &amp; Eligibility Stats'!$A:$M,MATCH('Program MW '!$A19,'Ex ante LI &amp; Eligibility Stats'!$A:$A,0),MATCH('Program MW '!O$6,'Ex ante LI &amp; Eligibility Stats'!$A$8:$M$8,0))/1000)</f>
        <v>0.16829999999999998</v>
      </c>
      <c r="P19" s="358">
        <f>N19*(INDEX('Ex post LI &amp; Eligibility Stats'!$A:$N,MATCH($A19,'Ex post LI &amp; Eligibility Stats'!$A:$A,0),MATCH('Program MW '!O$6,'Ex post LI &amp; Eligibility Stats'!$A$8:$N$8,0))/1000)</f>
        <v>0.23669999999999999</v>
      </c>
      <c r="Q19" s="160">
        <v>11</v>
      </c>
      <c r="R19" s="357">
        <f>Q19*(INDEX('Ex ante LI &amp; Eligibility Stats'!$A:$M,MATCH('Program MW '!$A19,'Ex ante LI &amp; Eligibility Stats'!$A:$A,0),MATCH('Program MW '!R$6,'Ex ante LI &amp; Eligibility Stats'!$A$8:$M$8,0))/1000)</f>
        <v>0.20861366189624328</v>
      </c>
      <c r="S19" s="358">
        <f>Q19*(INDEX('Ex post LI &amp; Eligibility Stats'!$A:$N,MATCH($A19,'Ex post LI &amp; Eligibility Stats'!$A:$A,0),MATCH('Program MW '!R$6,'Ex post LI &amp; Eligibility Stats'!$A$8:$N$8,0))/1000)</f>
        <v>0.2893</v>
      </c>
      <c r="T19" s="4">
        <v>18875</v>
      </c>
      <c r="U19" s="6"/>
      <c r="V19" s="6"/>
      <c r="W19" s="6"/>
      <c r="X19" s="6"/>
      <c r="Y19" s="6"/>
      <c r="Z19" s="6"/>
      <c r="AA19" s="6"/>
      <c r="AB19" s="6"/>
      <c r="AC19" s="6"/>
      <c r="AD19" s="6"/>
      <c r="AE19" s="6"/>
    </row>
    <row r="20" spans="1:31">
      <c r="A20" s="157" t="s">
        <v>25</v>
      </c>
      <c r="B20" s="160">
        <v>0</v>
      </c>
      <c r="C20" s="357">
        <f>B20*(INDEX('Ex ante LI &amp; Eligibility Stats'!$A:$M,MATCH($A20,'Ex ante LI &amp; Eligibility Stats'!$A:$A,0),MATCH('Program MW '!C$6,'Ex ante LI &amp; Eligibility Stats'!$A$8:$M$8,0))/1000)</f>
        <v>0</v>
      </c>
      <c r="D20" s="358">
        <f>B20*(INDEX('Ex post LI &amp; Eligibility Stats'!$A:$N,MATCH($A20,'Ex post LI &amp; Eligibility Stats'!$A:$A,0),MATCH('Program MW '!C$6,'Ex post LI &amp; Eligibility Stats'!$A$8:$N$8,0))/1000)</f>
        <v>0</v>
      </c>
      <c r="E20" s="160">
        <v>0</v>
      </c>
      <c r="F20" s="357">
        <f>E20*(INDEX('Ex ante LI &amp; Eligibility Stats'!$A:$M,MATCH($A20,'Ex ante LI &amp; Eligibility Stats'!$A:$A,0),MATCH('Program MW '!F$6,'Ex ante LI &amp; Eligibility Stats'!$A$8:$M$8,0))/1000)</f>
        <v>0</v>
      </c>
      <c r="G20" s="358">
        <f>E20*(INDEX('Ex post LI &amp; Eligibility Stats'!$A:$N,MATCH($A20,'Ex post LI &amp; Eligibility Stats'!$A:$A,0),MATCH('Program MW '!F$6,'Ex post LI &amp; Eligibility Stats'!$A$8:$N$8,0))/1000)</f>
        <v>0</v>
      </c>
      <c r="H20" s="160">
        <v>0</v>
      </c>
      <c r="I20" s="357">
        <f>H20*(INDEX('Ex ante LI &amp; Eligibility Stats'!$A:$M,MATCH('Program MW '!$A20,'Ex ante LI &amp; Eligibility Stats'!$A:$A,0),MATCH('Program MW '!I$6,'Ex ante LI &amp; Eligibility Stats'!$A$8:$M$8,0))/1000)</f>
        <v>0</v>
      </c>
      <c r="J20" s="358">
        <f>H20*(INDEX('Ex post LI &amp; Eligibility Stats'!$A:$N,MATCH($A20,'Ex post LI &amp; Eligibility Stats'!$A:$A,0),MATCH('Program MW '!I$6,'Ex post LI &amp; Eligibility Stats'!$A$8:$N$8,0))/1000)</f>
        <v>0</v>
      </c>
      <c r="K20" s="160">
        <v>0</v>
      </c>
      <c r="L20" s="357">
        <f>K20*(INDEX('Ex ante LI &amp; Eligibility Stats'!$A:$M,MATCH('Program MW '!$A20,'Ex ante LI &amp; Eligibility Stats'!$A:$A,0),MATCH('Program MW '!L$6,'Ex ante LI &amp; Eligibility Stats'!$A$8:$M$8,0))/1000)</f>
        <v>0</v>
      </c>
      <c r="M20" s="358">
        <f>K20*(INDEX('Ex post LI &amp; Eligibility Stats'!$A:$N,MATCH($A20,'Ex post LI &amp; Eligibility Stats'!$A:$A,0),MATCH('Program MW '!L$6,'Ex post LI &amp; Eligibility Stats'!$A$8:$N$8,0))/1000)</f>
        <v>0</v>
      </c>
      <c r="N20" s="160">
        <v>170</v>
      </c>
      <c r="O20" s="357">
        <f>N20*(INDEX('Ex ante LI &amp; Eligibility Stats'!$A:$M,MATCH('Program MW '!$A20,'Ex ante LI &amp; Eligibility Stats'!$A:$A,0),MATCH('Program MW '!O$6,'Ex ante LI &amp; Eligibility Stats'!$A$8:$M$8,0))/1000)</f>
        <v>2.8929656335198746</v>
      </c>
      <c r="P20" s="358">
        <f>N20*(INDEX('Ex post LI &amp; Eligibility Stats'!$A:$N,MATCH($A20,'Ex post LI &amp; Eligibility Stats'!$A:$A,0),MATCH('Program MW '!O$6,'Ex post LI &amp; Eligibility Stats'!$A$8:$N$8,0))/1000)</f>
        <v>3.3320000000000003</v>
      </c>
      <c r="Q20" s="160">
        <v>142</v>
      </c>
      <c r="R20" s="357">
        <f>Q20*(INDEX('Ex ante LI &amp; Eligibility Stats'!$A:$M,MATCH('Program MW '!$A20,'Ex ante LI &amp; Eligibility Stats'!$A:$A,0),MATCH('Program MW '!R$6,'Ex ante LI &amp; Eligibility Stats'!$A$8:$M$8,0))/1000)</f>
        <v>2.4164771762342481</v>
      </c>
      <c r="S20" s="358">
        <f>Q20*(INDEX('Ex post LI &amp; Eligibility Stats'!$A:$N,MATCH($A20,'Ex post LI &amp; Eligibility Stats'!$A:$A,0),MATCH('Program MW '!R$6,'Ex post LI &amp; Eligibility Stats'!$A$8:$N$8,0))/1000)</f>
        <v>2.7832000000000003</v>
      </c>
      <c r="T20" s="4">
        <v>18875</v>
      </c>
      <c r="U20" s="6"/>
      <c r="V20" s="6"/>
      <c r="W20" s="6"/>
      <c r="X20" s="6"/>
      <c r="Y20" s="6"/>
      <c r="Z20" s="6"/>
      <c r="AA20" s="6"/>
      <c r="AB20" s="6"/>
      <c r="AC20" s="6"/>
      <c r="AD20" s="6"/>
      <c r="AE20" s="6"/>
    </row>
    <row r="21" spans="1:31" s="153" customFormat="1">
      <c r="A21" s="285" t="s">
        <v>56</v>
      </c>
      <c r="B21" s="210">
        <v>90</v>
      </c>
      <c r="C21" s="357">
        <v>0</v>
      </c>
      <c r="D21" s="358">
        <v>0</v>
      </c>
      <c r="E21" s="210">
        <v>90</v>
      </c>
      <c r="F21" s="357" t="s">
        <v>57</v>
      </c>
      <c r="G21" s="358" t="s">
        <v>57</v>
      </c>
      <c r="H21" s="210">
        <v>92</v>
      </c>
      <c r="I21" s="357">
        <f>H21*(INDEX('Ex ante LI &amp; Eligibility Stats'!$A:$M,MATCH('Program MW '!$A21,'Ex ante LI &amp; Eligibility Stats'!$A:$A,0),MATCH('Program MW '!I$6,'Ex ante LI &amp; Eligibility Stats'!$A$8:$M$8,0))/1000)</f>
        <v>6.6880169510841365E-4</v>
      </c>
      <c r="J21" s="358">
        <f>H21*(INDEX('Ex post LI &amp; Eligibility Stats'!$A:$N,MATCH($A21,'Ex post LI &amp; Eligibility Stats'!$A:$A,0),MATCH('Program MW '!I$6,'Ex post LI &amp; Eligibility Stats'!$A$8:$N$8,0))/1000)</f>
        <v>0.15916</v>
      </c>
      <c r="K21" s="210">
        <v>92</v>
      </c>
      <c r="L21" s="357">
        <f>K21*(INDEX('Ex ante LI &amp; Eligibility Stats'!$A:$M,MATCH('Program MW '!$A21,'Ex ante LI &amp; Eligibility Stats'!$A:$A,0),MATCH('Program MW '!L$6,'Ex ante LI &amp; Eligibility Stats'!$A$8:$M$8,0))/1000)</f>
        <v>3.2941794395446779E-3</v>
      </c>
      <c r="M21" s="358">
        <f>K21*(INDEX('Ex post LI &amp; Eligibility Stats'!$A:$N,MATCH($A21,'Ex post LI &amp; Eligibility Stats'!$A:$A,0),MATCH('Program MW '!L$6,'Ex post LI &amp; Eligibility Stats'!$A$8:$N$8,0))/1000)</f>
        <v>0.15916</v>
      </c>
      <c r="N21" s="210">
        <v>92</v>
      </c>
      <c r="O21" s="357">
        <f>N21*(INDEX('Ex ante LI &amp; Eligibility Stats'!$A:$M,MATCH('Program MW '!$A21,'Ex ante LI &amp; Eligibility Stats'!$A:$A,0),MATCH('Program MW '!O$6,'Ex ante LI &amp; Eligibility Stats'!$A$8:$M$8,0))/1000)</f>
        <v>4.2480019181966779E-3</v>
      </c>
      <c r="P21" s="358">
        <f>N21*(INDEX('Ex post LI &amp; Eligibility Stats'!$A:$N,MATCH($A21,'Ex post LI &amp; Eligibility Stats'!$A:$A,0),MATCH('Program MW '!O$6,'Ex post LI &amp; Eligibility Stats'!$A$8:$N$8,0))/1000)</f>
        <v>0.15916</v>
      </c>
      <c r="Q21" s="210">
        <v>92</v>
      </c>
      <c r="R21" s="357">
        <f>Q21*(INDEX('Ex ante LI &amp; Eligibility Stats'!$A:$M,MATCH('Program MW '!$A21,'Ex ante LI &amp; Eligibility Stats'!$A:$A,0),MATCH('Program MW '!R$6,'Ex ante LI &amp; Eligibility Stats'!$A$8:$M$8,0))/1000)</f>
        <v>4.2323999702930451E-3</v>
      </c>
      <c r="S21" s="358">
        <f>Q21*(INDEX('Ex post LI &amp; Eligibility Stats'!$A:$N,MATCH($A21,'Ex post LI &amp; Eligibility Stats'!$A:$A,0),MATCH('Program MW '!R$6,'Ex post LI &amp; Eligibility Stats'!$A$8:$N$8,0))/1000)</f>
        <v>0.15916</v>
      </c>
      <c r="T21" s="471"/>
      <c r="U21" s="472"/>
      <c r="V21" s="472"/>
      <c r="W21" s="472"/>
      <c r="X21" s="472"/>
      <c r="Y21" s="472"/>
      <c r="Z21" s="472"/>
      <c r="AA21" s="472"/>
      <c r="AB21" s="472"/>
      <c r="AC21" s="472"/>
      <c r="AD21" s="472"/>
      <c r="AE21" s="472"/>
    </row>
    <row r="22" spans="1:31">
      <c r="A22" s="157" t="s">
        <v>26</v>
      </c>
      <c r="B22" s="160">
        <v>113358</v>
      </c>
      <c r="C22" s="357">
        <f>B22*(INDEX('Ex ante LI &amp; Eligibility Stats'!$A:$M,MATCH($A22,'Ex ante LI &amp; Eligibility Stats'!$A:$A,0),MATCH('Program MW '!C$6,'Ex ante LI &amp; Eligibility Stats'!$A$8:$M$8,0))/1000)</f>
        <v>1.13358</v>
      </c>
      <c r="D22" s="358">
        <f>B22*(INDEX('Ex post LI &amp; Eligibility Stats'!$A:$N,MATCH($A22,'Ex post LI &amp; Eligibility Stats'!$A:$A,0),MATCH('Program MW '!C$6,'Ex post LI &amp; Eligibility Stats'!$A$8:$N$8,0))/1000)</f>
        <v>3.4007399999999999</v>
      </c>
      <c r="E22" s="160">
        <v>113041</v>
      </c>
      <c r="F22" s="357">
        <f>E22*(INDEX('Ex ante LI &amp; Eligibility Stats'!$A:$M,MATCH($A22,'Ex ante LI &amp; Eligibility Stats'!$A:$A,0),MATCH('Program MW '!F$6,'Ex ante LI &amp; Eligibility Stats'!$A$8:$M$8,0))/1000)</f>
        <v>1.1304100000000001</v>
      </c>
      <c r="G22" s="358">
        <f>E22*(INDEX('Ex post LI &amp; Eligibility Stats'!$A:$N,MATCH($A22,'Ex post LI &amp; Eligibility Stats'!$A:$A,0),MATCH('Program MW '!F$6,'Ex post LI &amp; Eligibility Stats'!$A$8:$N$8,0))/1000)</f>
        <v>3.3912299999999997</v>
      </c>
      <c r="H22" s="160">
        <v>113021</v>
      </c>
      <c r="I22" s="357">
        <f>H22*(INDEX('Ex ante LI &amp; Eligibility Stats'!$A:$M,MATCH('Program MW '!$A22,'Ex ante LI &amp; Eligibility Stats'!$A:$A,0),MATCH('Program MW '!I$6,'Ex ante LI &amp; Eligibility Stats'!$A$8:$M$8,0))/1000)</f>
        <v>1.2958692341139539</v>
      </c>
      <c r="J22" s="358">
        <f>H22*(INDEX('Ex post LI &amp; Eligibility Stats'!$A:$N,MATCH($A22,'Ex post LI &amp; Eligibility Stats'!$A:$A,0),MATCH('Program MW '!I$6,'Ex post LI &amp; Eligibility Stats'!$A$8:$N$8,0))/1000)</f>
        <v>3.3906299999999998</v>
      </c>
      <c r="K22" s="160">
        <v>112866</v>
      </c>
      <c r="L22" s="357">
        <f>K22*(INDEX('Ex ante LI &amp; Eligibility Stats'!$A:$M,MATCH('Program MW '!$A22,'Ex ante LI &amp; Eligibility Stats'!$A:$A,0),MATCH('Program MW '!L$6,'Ex ante LI &amp; Eligibility Stats'!$A$8:$M$8,0))/1000)</f>
        <v>1.5787632344663143</v>
      </c>
      <c r="M22" s="358">
        <f>K22*(INDEX('Ex post LI &amp; Eligibility Stats'!$A:$N,MATCH($A22,'Ex post LI &amp; Eligibility Stats'!$A:$A,0),MATCH('Program MW '!L$6,'Ex post LI &amp; Eligibility Stats'!$A$8:$N$8,0))/1000)</f>
        <v>3.3859799999999995</v>
      </c>
      <c r="N22" s="160">
        <v>112745</v>
      </c>
      <c r="O22" s="357">
        <f>N22*(INDEX('Ex ante LI &amp; Eligibility Stats'!$A:$M,MATCH('Program MW '!$A22,'Ex ante LI &amp; Eligibility Stats'!$A:$A,0),MATCH('Program MW '!O$6,'Ex ante LI &amp; Eligibility Stats'!$A$8:$M$8,0))/1000)</f>
        <v>1.6670737564750016</v>
      </c>
      <c r="P22" s="358">
        <f>N22*(INDEX('Ex post LI &amp; Eligibility Stats'!$A:$N,MATCH($A22,'Ex post LI &amp; Eligibility Stats'!$A:$A,0),MATCH('Program MW '!O$6,'Ex post LI &amp; Eligibility Stats'!$A$8:$N$8,0))/1000)</f>
        <v>3.3823499999999997</v>
      </c>
      <c r="Q22" s="160">
        <v>112680</v>
      </c>
      <c r="R22" s="357">
        <f>Q22*(INDEX('Ex ante LI &amp; Eligibility Stats'!$A:$M,MATCH('Program MW '!$A22,'Ex ante LI &amp; Eligibility Stats'!$A:$A,0),MATCH('Program MW '!R$6,'Ex ante LI &amp; Eligibility Stats'!$A$8:$M$8,0))/1000)</f>
        <v>1.7073372121900321</v>
      </c>
      <c r="S22" s="358">
        <f>Q22*(INDEX('Ex post LI &amp; Eligibility Stats'!$A:$N,MATCH($A22,'Ex post LI &amp; Eligibility Stats'!$A:$A,0),MATCH('Program MW '!R$6,'Ex post LI &amp; Eligibility Stats'!$A$8:$N$8,0))/1000)</f>
        <v>3.3803999999999998</v>
      </c>
      <c r="T22" s="4"/>
      <c r="U22" s="6"/>
      <c r="V22" s="6"/>
      <c r="W22" s="6"/>
      <c r="X22" s="6"/>
      <c r="Y22" s="6"/>
      <c r="Z22" s="6"/>
      <c r="AA22" s="6"/>
      <c r="AB22" s="6"/>
      <c r="AC22" s="6"/>
      <c r="AD22" s="6"/>
      <c r="AE22" s="6"/>
    </row>
    <row r="23" spans="1:31">
      <c r="A23" s="235" t="s">
        <v>27</v>
      </c>
      <c r="B23" s="284">
        <v>14845</v>
      </c>
      <c r="C23" s="359">
        <f>B23*(INDEX('Ex ante LI &amp; Eligibility Stats'!$A:$M,MATCH($A23,'Ex ante LI &amp; Eligibility Stats'!$A:$A,0),MATCH('Program MW '!C$6,'Ex ante LI &amp; Eligibility Stats'!$A$8:$M$8,0))/1000)</f>
        <v>0.59379999999999999</v>
      </c>
      <c r="D23" s="360">
        <f>B23*(INDEX('Ex post LI &amp; Eligibility Stats'!$A:$N,MATCH($A23,'Ex post LI &amp; Eligibility Stats'!$A:$A,0),MATCH('Program MW '!C$6,'Ex post LI &amp; Eligibility Stats'!$A$8:$N$8,0))/1000)</f>
        <v>3.2659000000000002</v>
      </c>
      <c r="E23" s="284">
        <v>15413</v>
      </c>
      <c r="F23" s="357">
        <f>E23*(INDEX('Ex ante LI &amp; Eligibility Stats'!$A:$M,MATCH($A23,'Ex ante LI &amp; Eligibility Stats'!$A:$A,0),MATCH('Program MW '!F$6,'Ex ante LI &amp; Eligibility Stats'!$A$8:$M$8,0))/1000)</f>
        <v>0.61652000000000007</v>
      </c>
      <c r="G23" s="358">
        <f>E23*(INDEX('Ex post LI &amp; Eligibility Stats'!$A:$N,MATCH($A23,'Ex post LI &amp; Eligibility Stats'!$A:$A,0),MATCH('Program MW '!F$6,'Ex post LI &amp; Eligibility Stats'!$A$8:$N$8,0))/1000)</f>
        <v>3.39086</v>
      </c>
      <c r="H23" s="284">
        <v>15637</v>
      </c>
      <c r="I23" s="357">
        <f>H23*(INDEX('Ex ante LI &amp; Eligibility Stats'!$A:$M,MATCH('Program MW '!$A23,'Ex ante LI &amp; Eligibility Stats'!$A:$A,0),MATCH('Program MW '!I$6,'Ex ante LI &amp; Eligibility Stats'!$A$8:$M$8,0))/1000)</f>
        <v>0.19967582361400127</v>
      </c>
      <c r="J23" s="358">
        <f>H23*(INDEX('Ex post LI &amp; Eligibility Stats'!$A:$N,MATCH($A23,'Ex post LI &amp; Eligibility Stats'!$A:$A,0),MATCH('Program MW '!I$6,'Ex post LI &amp; Eligibility Stats'!$A$8:$N$8,0))/1000)</f>
        <v>3.44014</v>
      </c>
      <c r="K23" s="284">
        <v>16037</v>
      </c>
      <c r="L23" s="357">
        <f>K23*(INDEX('Ex ante LI &amp; Eligibility Stats'!$A:$M,MATCH('Program MW '!$A23,'Ex ante LI &amp; Eligibility Stats'!$A:$A,0),MATCH('Program MW '!L$6,'Ex ante LI &amp; Eligibility Stats'!$A$8:$M$8,0))/1000)</f>
        <v>0.19338366127759218</v>
      </c>
      <c r="M23" s="358">
        <f>K23*(INDEX('Ex post LI &amp; Eligibility Stats'!$A:$N,MATCH($A23,'Ex post LI &amp; Eligibility Stats'!$A:$A,0),MATCH('Program MW '!L$6,'Ex post LI &amp; Eligibility Stats'!$A$8:$N$8,0))/1000)</f>
        <v>3.5281400000000001</v>
      </c>
      <c r="N23" s="284">
        <v>16135</v>
      </c>
      <c r="O23" s="357">
        <f>N23*(INDEX('Ex ante LI &amp; Eligibility Stats'!$A:$M,MATCH('Program MW '!$A23,'Ex ante LI &amp; Eligibility Stats'!$A:$A,0),MATCH('Program MW '!O$6,'Ex ante LI &amp; Eligibility Stats'!$A$8:$M$8,0))/1000)</f>
        <v>0.31780898060649632</v>
      </c>
      <c r="P23" s="358">
        <f>N23*(INDEX('Ex post LI &amp; Eligibility Stats'!$A:$N,MATCH($A23,'Ex post LI &amp; Eligibility Stats'!$A:$A,0),MATCH('Program MW '!O$6,'Ex post LI &amp; Eligibility Stats'!$A$8:$N$8,0))/1000)</f>
        <v>3.5497000000000001</v>
      </c>
      <c r="Q23" s="284">
        <v>16151</v>
      </c>
      <c r="R23" s="357">
        <f>Q23*(INDEX('Ex ante LI &amp; Eligibility Stats'!$A:$M,MATCH('Program MW '!$A23,'Ex ante LI &amp; Eligibility Stats'!$A:$A,0),MATCH('Program MW '!R$6,'Ex ante LI &amp; Eligibility Stats'!$A$8:$M$8,0))/1000)</f>
        <v>2.6979194424897432</v>
      </c>
      <c r="S23" s="358">
        <f>Q23*(INDEX('Ex post LI &amp; Eligibility Stats'!$A:$N,MATCH($A23,'Ex post LI &amp; Eligibility Stats'!$A:$A,0),MATCH('Program MW '!R$6,'Ex post LI &amp; Eligibility Stats'!$A$8:$N$8,0))/1000)</f>
        <v>3.55322</v>
      </c>
      <c r="T23" s="4"/>
      <c r="U23" s="6"/>
      <c r="V23" s="6"/>
      <c r="W23" s="6"/>
      <c r="X23" s="6"/>
      <c r="Y23" s="6"/>
      <c r="Z23" s="6"/>
      <c r="AA23" s="6"/>
      <c r="AB23" s="6"/>
      <c r="AC23" s="6"/>
      <c r="AD23" s="6"/>
      <c r="AE23" s="6"/>
    </row>
    <row r="24" spans="1:31" ht="13.5" thickBot="1">
      <c r="A24" s="188" t="s">
        <v>58</v>
      </c>
      <c r="B24" s="158">
        <f t="shared" ref="B24:S24" si="3">SUM(B12:B23)</f>
        <v>175364</v>
      </c>
      <c r="C24" s="176">
        <f t="shared" si="3"/>
        <v>1.7273800000000001</v>
      </c>
      <c r="D24" s="175">
        <f t="shared" si="3"/>
        <v>23.523489999999995</v>
      </c>
      <c r="E24" s="1">
        <f t="shared" si="3"/>
        <v>175537</v>
      </c>
      <c r="F24" s="237">
        <f t="shared" si="3"/>
        <v>1.7469300000000003</v>
      </c>
      <c r="G24" s="238">
        <f t="shared" si="3"/>
        <v>23.610339999999997</v>
      </c>
      <c r="H24" s="1">
        <f t="shared" si="3"/>
        <v>175887</v>
      </c>
      <c r="I24" s="237">
        <f t="shared" si="3"/>
        <v>3.5272883615945085</v>
      </c>
      <c r="J24" s="238">
        <f t="shared" si="3"/>
        <v>23.547049999999999</v>
      </c>
      <c r="K24" s="1">
        <f t="shared" si="3"/>
        <v>170594</v>
      </c>
      <c r="L24" s="237">
        <f t="shared" ref="L24:M24" si="4">SUM(L12:L23)</f>
        <v>5.4002971727840645</v>
      </c>
      <c r="M24" s="238">
        <f t="shared" si="4"/>
        <v>22.373850000000001</v>
      </c>
      <c r="N24" s="1">
        <f t="shared" si="3"/>
        <v>171169</v>
      </c>
      <c r="O24" s="239">
        <f t="shared" si="3"/>
        <v>9.9127026028676823</v>
      </c>
      <c r="P24" s="242">
        <f t="shared" si="3"/>
        <v>26.001850000000001</v>
      </c>
      <c r="Q24" s="1">
        <f t="shared" si="3"/>
        <v>170253</v>
      </c>
      <c r="R24" s="253">
        <f t="shared" si="3"/>
        <v>11.232285351639758</v>
      </c>
      <c r="S24" s="254">
        <f t="shared" si="3"/>
        <v>25.284229999999997</v>
      </c>
      <c r="T24" s="5"/>
      <c r="U24" s="6"/>
      <c r="V24" s="6"/>
      <c r="W24" s="6"/>
      <c r="X24" s="6"/>
      <c r="Y24" s="6"/>
      <c r="Z24" s="6"/>
      <c r="AA24" s="6"/>
      <c r="AB24" s="6"/>
      <c r="AC24" s="6"/>
      <c r="AD24" s="6"/>
      <c r="AE24" s="6"/>
    </row>
    <row r="25" spans="1:31" ht="14" thickTop="1" thickBot="1">
      <c r="A25" s="195" t="s">
        <v>59</v>
      </c>
      <c r="B25" s="2">
        <f t="shared" ref="B25:S25" si="5">+B10+B24</f>
        <v>175368</v>
      </c>
      <c r="C25" s="176">
        <f t="shared" si="5"/>
        <v>2.37662</v>
      </c>
      <c r="D25" s="282">
        <f t="shared" si="5"/>
        <v>25.039209999999997</v>
      </c>
      <c r="E25" s="2">
        <f t="shared" si="5"/>
        <v>175541</v>
      </c>
      <c r="F25" s="176">
        <f t="shared" si="5"/>
        <v>2.1807700000000003</v>
      </c>
      <c r="G25" s="176">
        <f t="shared" si="5"/>
        <v>25.126059999999995</v>
      </c>
      <c r="H25" s="2">
        <f t="shared" si="5"/>
        <v>175891</v>
      </c>
      <c r="I25" s="176">
        <f t="shared" si="5"/>
        <v>4.2512196970437275</v>
      </c>
      <c r="J25" s="175">
        <f t="shared" si="5"/>
        <v>25.840914013671874</v>
      </c>
      <c r="K25" s="2">
        <f t="shared" si="5"/>
        <v>170598</v>
      </c>
      <c r="L25" s="176">
        <f t="shared" ref="L25:M25" si="6">+L10+L24</f>
        <v>6.0482805101864079</v>
      </c>
      <c r="M25" s="175">
        <f t="shared" si="6"/>
        <v>24.667714013671876</v>
      </c>
      <c r="N25" s="2">
        <f t="shared" si="5"/>
        <v>171173</v>
      </c>
      <c r="O25" s="240">
        <f t="shared" si="5"/>
        <v>10.535666042809089</v>
      </c>
      <c r="P25" s="175">
        <f t="shared" si="5"/>
        <v>28.295714013671876</v>
      </c>
      <c r="Q25" s="2">
        <f t="shared" si="5"/>
        <v>170257</v>
      </c>
      <c r="R25" s="256">
        <f t="shared" si="5"/>
        <v>12.001734387284289</v>
      </c>
      <c r="S25" s="255">
        <f t="shared" si="5"/>
        <v>27.578094013671873</v>
      </c>
      <c r="T25" s="8"/>
      <c r="U25" s="6"/>
      <c r="V25" s="6"/>
      <c r="W25" s="6"/>
      <c r="X25" s="6"/>
      <c r="Y25" s="6"/>
      <c r="Z25" s="6"/>
      <c r="AA25" s="6"/>
      <c r="AB25" s="6"/>
      <c r="AC25" s="6"/>
      <c r="AD25" s="6"/>
      <c r="AE25" s="6"/>
    </row>
    <row r="26" spans="1:31" ht="13.5" thickTop="1">
      <c r="A26" s="147"/>
      <c r="B26" s="92"/>
      <c r="C26" s="90"/>
      <c r="D26" s="91"/>
      <c r="E26" s="92"/>
      <c r="F26" s="90"/>
      <c r="G26" s="93"/>
      <c r="H26" s="92"/>
      <c r="I26" s="90"/>
      <c r="J26" s="93"/>
      <c r="K26" s="92"/>
      <c r="L26" s="90"/>
      <c r="M26" s="93"/>
      <c r="N26" s="92"/>
      <c r="O26" s="90"/>
      <c r="P26" s="93"/>
      <c r="Q26" s="92"/>
      <c r="R26" s="90"/>
      <c r="S26" s="93"/>
      <c r="T26" s="9"/>
      <c r="U26" s="6"/>
      <c r="V26" s="6"/>
      <c r="W26" s="6"/>
      <c r="X26" s="6"/>
      <c r="Y26" s="6"/>
      <c r="Z26" s="6"/>
      <c r="AA26" s="6"/>
      <c r="AB26" s="6"/>
      <c r="AC26" s="6"/>
      <c r="AD26" s="6"/>
      <c r="AE26" s="6"/>
    </row>
    <row r="27" spans="1:31">
      <c r="B27" s="41"/>
      <c r="C27" s="41"/>
      <c r="D27" s="41"/>
      <c r="E27" s="41"/>
      <c r="F27" s="41"/>
      <c r="G27" s="41"/>
      <c r="H27" s="41"/>
      <c r="I27" s="41"/>
      <c r="J27" s="41"/>
      <c r="K27" s="41"/>
      <c r="L27" s="41"/>
      <c r="M27" s="41"/>
      <c r="N27" s="41"/>
      <c r="O27" s="41"/>
      <c r="P27" s="41"/>
      <c r="Q27" s="41"/>
      <c r="R27" s="41"/>
      <c r="S27" s="41"/>
    </row>
    <row r="28" spans="1:31" hidden="1">
      <c r="B28" s="41"/>
      <c r="C28" s="41">
        <f>C4+6</f>
        <v>8</v>
      </c>
      <c r="D28" s="41">
        <f>D4+6</f>
        <v>8</v>
      </c>
      <c r="E28" s="41"/>
      <c r="F28" s="41">
        <f>F4+6</f>
        <v>9</v>
      </c>
      <c r="G28" s="41">
        <f>G4+6</f>
        <v>9</v>
      </c>
      <c r="H28" s="41"/>
      <c r="I28" s="41">
        <f>I4+6</f>
        <v>10</v>
      </c>
      <c r="J28" s="41">
        <f>J4+6</f>
        <v>10</v>
      </c>
      <c r="K28" s="41"/>
      <c r="L28" s="41">
        <f>L4+6</f>
        <v>11</v>
      </c>
      <c r="M28" s="41">
        <f>M4+6</f>
        <v>11</v>
      </c>
      <c r="N28" s="41"/>
      <c r="O28" s="41">
        <f>O4+6</f>
        <v>12</v>
      </c>
      <c r="P28" s="41">
        <f>P4+6</f>
        <v>12</v>
      </c>
      <c r="Q28" s="41"/>
      <c r="R28" s="41">
        <f>R4+6</f>
        <v>13</v>
      </c>
      <c r="S28" s="41">
        <f>S4+6</f>
        <v>13</v>
      </c>
    </row>
    <row r="29" spans="1:31" ht="13">
      <c r="A29" s="88"/>
      <c r="B29" s="431"/>
      <c r="C29" s="431" t="s">
        <v>60</v>
      </c>
      <c r="D29" s="270"/>
      <c r="E29" s="431"/>
      <c r="F29" s="431" t="s">
        <v>75</v>
      </c>
      <c r="G29" s="431"/>
      <c r="H29" s="431"/>
      <c r="I29" s="431" t="s">
        <v>76</v>
      </c>
      <c r="J29" s="431"/>
      <c r="K29" s="431"/>
      <c r="L29" s="431" t="s">
        <v>62</v>
      </c>
      <c r="M29" s="431"/>
      <c r="N29" s="431"/>
      <c r="O29" s="431" t="s">
        <v>77</v>
      </c>
      <c r="P29" s="431"/>
      <c r="Q29" s="431"/>
      <c r="R29" s="431" t="s">
        <v>63</v>
      </c>
      <c r="S29" s="431"/>
      <c r="T29" s="147"/>
      <c r="U29" s="147"/>
    </row>
    <row r="30" spans="1:31" ht="42.5">
      <c r="A30" s="163" t="s">
        <v>46</v>
      </c>
      <c r="B30" s="185" t="s">
        <v>6</v>
      </c>
      <c r="C30" s="180" t="s">
        <v>48</v>
      </c>
      <c r="D30" s="170" t="s">
        <v>49</v>
      </c>
      <c r="E30" s="185" t="s">
        <v>6</v>
      </c>
      <c r="F30" s="180" t="s">
        <v>48</v>
      </c>
      <c r="G30" s="170" t="s">
        <v>49</v>
      </c>
      <c r="H30" s="185" t="s">
        <v>6</v>
      </c>
      <c r="I30" s="180" t="s">
        <v>48</v>
      </c>
      <c r="J30" s="170" t="s">
        <v>49</v>
      </c>
      <c r="K30" s="185" t="s">
        <v>47</v>
      </c>
      <c r="L30" s="180" t="s">
        <v>64</v>
      </c>
      <c r="M30" s="170" t="s">
        <v>65</v>
      </c>
      <c r="N30" s="185" t="s">
        <v>6</v>
      </c>
      <c r="O30" s="180" t="s">
        <v>64</v>
      </c>
      <c r="P30" s="170" t="s">
        <v>65</v>
      </c>
      <c r="Q30" s="185" t="s">
        <v>6</v>
      </c>
      <c r="R30" s="180" t="s">
        <v>64</v>
      </c>
      <c r="S30" s="170" t="s">
        <v>65</v>
      </c>
      <c r="T30" s="170" t="s">
        <v>50</v>
      </c>
      <c r="V30" s="11"/>
    </row>
    <row r="31" spans="1:31" ht="13">
      <c r="A31" s="163" t="s">
        <v>51</v>
      </c>
      <c r="B31" s="185"/>
      <c r="C31" s="183"/>
      <c r="D31" s="186"/>
      <c r="E31" s="185"/>
      <c r="F31" s="183"/>
      <c r="G31" s="186"/>
      <c r="H31" s="185"/>
      <c r="I31" s="183"/>
      <c r="J31" s="183"/>
      <c r="K31" s="185"/>
      <c r="L31" s="183"/>
      <c r="M31" s="186"/>
      <c r="N31" s="185"/>
      <c r="O31" s="183"/>
      <c r="P31" s="186"/>
      <c r="Q31" s="185"/>
      <c r="R31" s="183"/>
      <c r="S31" s="186"/>
      <c r="T31" s="187"/>
    </row>
    <row r="32" spans="1:31">
      <c r="A32" s="85" t="s">
        <v>8</v>
      </c>
      <c r="B32" s="127">
        <v>4</v>
      </c>
      <c r="C32" s="357">
        <f>B32*(INDEX('Ex ante LI &amp; Eligibility Stats'!$A:$M,MATCH('Program MW '!$A32,'Ex ante LI &amp; Eligibility Stats'!$A:$A,0),MATCH('Program MW '!C$29,'Ex ante LI &amp; Eligibility Stats'!$A$8:$M$8,0))/1000)</f>
        <v>0.71939520263671874</v>
      </c>
      <c r="D32" s="357">
        <f>B32*(INDEX('Ex post LI &amp; Eligibility Stats'!$A:$N,MATCH($A32,'Ex post LI &amp; Eligibility Stats'!$A:$A,0),MATCH('Program MW '!C$29,'Ex post LI &amp; Eligibility Stats'!$A$8:$N$8,0))/1000)</f>
        <v>2.2938640136718749</v>
      </c>
      <c r="E32" s="124">
        <v>4</v>
      </c>
      <c r="F32" s="357">
        <f>E32*(INDEX('Ex ante LI &amp; Eligibility Stats'!$A:$M,MATCH('Program MW '!$A32,'Ex ante LI &amp; Eligibility Stats'!$A:$A,0),MATCH('Program MW '!F$29,'Ex ante LI &amp; Eligibility Stats'!$A$8:$M$8,0))/1000)</f>
        <v>0.71393469238281249</v>
      </c>
      <c r="G32" s="357">
        <f>E32*(INDEX('Ex post LI &amp; Eligibility Stats'!$A:$N,MATCH($A32,'Ex post LI &amp; Eligibility Stats'!$A:$A,0),MATCH('Program MW '!F$29,'Ex post LI &amp; Eligibility Stats'!$A$8:$N$8,0))/1000)</f>
        <v>2.2938640136718749</v>
      </c>
      <c r="H32" s="124">
        <v>4</v>
      </c>
      <c r="I32" s="357">
        <f>H32*(INDEX('Ex ante LI &amp; Eligibility Stats'!$A:$M,MATCH('Program MW '!$A32,'Ex ante LI &amp; Eligibility Stats'!$A:$A,0),MATCH('Program MW '!I$29,'Ex ante LI &amp; Eligibility Stats'!$A$8:$M$8,0))/1000)</f>
        <v>0.80517370605468752</v>
      </c>
      <c r="J32" s="357">
        <f>H32*(INDEX('Ex post LI &amp; Eligibility Stats'!$A:$N,MATCH($A32,'Ex post LI &amp; Eligibility Stats'!$A:$A,0),MATCH('Program MW '!I$29,'Ex post LI &amp; Eligibility Stats'!$A$8:$N$8,0))/1000)</f>
        <v>2.2938640136718749</v>
      </c>
      <c r="K32" s="126">
        <v>0</v>
      </c>
      <c r="L32" s="357">
        <f>K32*(INDEX('Ex ante LI &amp; Eligibility Stats'!$A:$M,MATCH('Program MW '!$A32,'Ex ante LI &amp; Eligibility Stats'!$A:$A,0),MATCH('Program MW '!L$29,'Ex ante LI &amp; Eligibility Stats'!$A$8:$M$8,0))/1000)</f>
        <v>0</v>
      </c>
      <c r="M32" s="357">
        <f>K32*(INDEX('Ex post LI &amp; Eligibility Stats'!$A:$N,MATCH($A32,'Ex post LI &amp; Eligibility Stats'!$A:$A,0),MATCH('Program MW '!L$29,'Ex post LI &amp; Eligibility Stats'!$A$8:$N$8,0))/1000)</f>
        <v>0</v>
      </c>
      <c r="N32" s="124">
        <v>0</v>
      </c>
      <c r="O32" s="357">
        <f>N32*(INDEX('Ex ante LI &amp; Eligibility Stats'!$A:$M,MATCH('Program MW '!$A32,'Ex ante LI &amp; Eligibility Stats'!$A:$A,0),MATCH('Program MW '!O$29,'Ex ante LI &amp; Eligibility Stats'!$A$8:$M$8,0))/1000)</f>
        <v>0</v>
      </c>
      <c r="P32" s="357">
        <f>N32*(INDEX('Ex post LI &amp; Eligibility Stats'!$A:$N,MATCH($A32,'Ex post LI &amp; Eligibility Stats'!$A:$A,0),MATCH('Program MW '!O$29,'Ex post LI &amp; Eligibility Stats'!$A$8:$N$8,0))/1000)</f>
        <v>0</v>
      </c>
      <c r="Q32" s="124">
        <v>0</v>
      </c>
      <c r="R32" s="357">
        <f>Q32*(INDEX('Ex ante LI &amp; Eligibility Stats'!$A:$M,MATCH('Program MW '!$A32,'Ex ante LI &amp; Eligibility Stats'!$A:$A,0),MATCH('Program MW '!R$29,'Ex ante LI &amp; Eligibility Stats'!$A$8:$M$8,0))/1000)</f>
        <v>0</v>
      </c>
      <c r="S32" s="357">
        <f>Q32*(INDEX('Ex post LI &amp; Eligibility Stats'!$A:$N,MATCH($A32,'Ex post LI &amp; Eligibility Stats'!$A:$A,0),MATCH('Program MW '!R$29,'Ex post LI &amp; Eligibility Stats'!$A$8:$N$8,0))/1000)</f>
        <v>0</v>
      </c>
      <c r="T32" s="4">
        <v>5276</v>
      </c>
    </row>
    <row r="33" spans="1:26" ht="13.5" thickBot="1">
      <c r="A33" s="188" t="s">
        <v>52</v>
      </c>
      <c r="B33" s="156">
        <f t="shared" ref="B33:K33" si="7">SUM(B32:B32)</f>
        <v>4</v>
      </c>
      <c r="C33" s="272">
        <f t="shared" si="7"/>
        <v>0.71939520263671874</v>
      </c>
      <c r="D33" s="273">
        <f t="shared" si="7"/>
        <v>2.2938640136718749</v>
      </c>
      <c r="E33" s="125">
        <f t="shared" si="7"/>
        <v>4</v>
      </c>
      <c r="F33" s="272">
        <f t="shared" ref="F33:G33" si="8">SUM(F32:F32)</f>
        <v>0.71393469238281249</v>
      </c>
      <c r="G33" s="273">
        <f t="shared" si="8"/>
        <v>2.2938640136718749</v>
      </c>
      <c r="H33" s="125">
        <f t="shared" si="7"/>
        <v>4</v>
      </c>
      <c r="I33" s="272">
        <f t="shared" si="7"/>
        <v>0.80517370605468752</v>
      </c>
      <c r="J33" s="273">
        <f t="shared" si="7"/>
        <v>2.2938640136718749</v>
      </c>
      <c r="K33" s="125">
        <f t="shared" si="7"/>
        <v>0</v>
      </c>
      <c r="L33" s="272">
        <f t="shared" ref="L33:M33" si="9">SUM(L32:L32)</f>
        <v>0</v>
      </c>
      <c r="M33" s="273">
        <f t="shared" si="9"/>
        <v>0</v>
      </c>
      <c r="N33" s="125">
        <f t="shared" ref="N33:Q33" si="10">SUM(N32:N32)</f>
        <v>0</v>
      </c>
      <c r="O33" s="272">
        <f t="shared" ref="O33:P33" si="11">SUM(O32:O32)</f>
        <v>0</v>
      </c>
      <c r="P33" s="273">
        <f t="shared" si="11"/>
        <v>0</v>
      </c>
      <c r="Q33" s="125">
        <f t="shared" si="10"/>
        <v>0</v>
      </c>
      <c r="R33" s="272">
        <f t="shared" ref="R33:S33" si="12">SUM(R32:R32)</f>
        <v>0</v>
      </c>
      <c r="S33" s="273">
        <f t="shared" si="12"/>
        <v>0</v>
      </c>
      <c r="T33" s="5"/>
    </row>
    <row r="34" spans="1:26" ht="13.5" thickTop="1">
      <c r="A34" s="163" t="s">
        <v>53</v>
      </c>
      <c r="B34" s="193"/>
      <c r="C34" s="192"/>
      <c r="D34" s="191"/>
      <c r="E34" s="193"/>
      <c r="F34" s="192"/>
      <c r="G34" s="191"/>
      <c r="H34" s="193"/>
      <c r="I34" s="192"/>
      <c r="J34" s="191"/>
      <c r="K34" s="193"/>
      <c r="L34" s="192"/>
      <c r="M34" s="191"/>
      <c r="N34" s="193"/>
      <c r="O34" s="192"/>
      <c r="P34" s="191"/>
      <c r="Q34" s="193"/>
      <c r="R34" s="192"/>
      <c r="S34" s="191"/>
      <c r="T34" s="187"/>
    </row>
    <row r="35" spans="1:26">
      <c r="A35" s="42" t="s">
        <v>11</v>
      </c>
      <c r="B35" s="159">
        <v>14095</v>
      </c>
      <c r="C35" s="357">
        <f>B35*(INDEX('Ex ante LI &amp; Eligibility Stats'!$A:$M,MATCH('Program MW '!$A35,'Ex ante LI &amp; Eligibility Stats'!$A:$A,0),MATCH('Program MW '!C$29,'Ex ante LI &amp; Eligibility Stats'!$A$8:$M$8,0))/1000)</f>
        <v>3.8359866684999999</v>
      </c>
      <c r="D35" s="356">
        <f>B35*(INDEX('Ex post LI &amp; Eligibility Stats'!$A:$N,MATCH($A35,'Ex post LI &amp; Eligibility Stats'!$A:$A,0),MATCH('Program MW '!C$29,'Ex post LI &amp; Eligibility Stats'!$A$8:$N$8,0))/1000)</f>
        <v>10.289349999999999</v>
      </c>
      <c r="E35" s="159">
        <v>14837</v>
      </c>
      <c r="F35" s="357">
        <f>E35*(INDEX('Ex ante LI &amp; Eligibility Stats'!$A:$M,MATCH('Program MW '!$A35,'Ex ante LI &amp; Eligibility Stats'!$A:$A,0),MATCH('Program MW '!F$29,'Ex ante LI &amp; Eligibility Stats'!$A$8:$M$8,0))/1000)</f>
        <v>2.2824810526999997</v>
      </c>
      <c r="G35" s="356">
        <f>E35*(INDEX('Ex post LI &amp; Eligibility Stats'!$A:$N,MATCH($A35,'Ex post LI &amp; Eligibility Stats'!$A:$A,0),MATCH('Program MW '!F$29,'Ex post LI &amp; Eligibility Stats'!$A$8:$N$8,0))/1000)</f>
        <v>10.831009999999999</v>
      </c>
      <c r="H35" s="159">
        <v>14592</v>
      </c>
      <c r="I35" s="357">
        <f>H35*(INDEX('Ex ante LI &amp; Eligibility Stats'!$A:$M,MATCH('Program MW '!$A35,'Ex ante LI &amp; Eligibility Stats'!$A:$A,0),MATCH('Program MW '!I$29,'Ex ante LI &amp; Eligibility Stats'!$A$8:$M$8,0))/1000)</f>
        <v>5.2552533504000003</v>
      </c>
      <c r="J35" s="356">
        <f>H35*(INDEX('Ex post LI &amp; Eligibility Stats'!$A:$N,MATCH($A35,'Ex post LI &amp; Eligibility Stats'!$A:$A,0),MATCH('Program MW '!I$29,'Ex post LI &amp; Eligibility Stats'!$A$8:$N$8,0))/1000)</f>
        <v>10.65216</v>
      </c>
      <c r="K35" s="159">
        <v>0</v>
      </c>
      <c r="L35" s="357">
        <f>K35*(INDEX('Ex ante LI &amp; Eligibility Stats'!$A:$M,MATCH('Program MW '!$A35,'Ex ante LI &amp; Eligibility Stats'!$A:$A,0),MATCH('Program MW '!L$29,'Ex ante LI &amp; Eligibility Stats'!$A$8:$M$8,0))/1000)</f>
        <v>0</v>
      </c>
      <c r="M35" s="356">
        <f>K35*(INDEX('Ex post LI &amp; Eligibility Stats'!$A:$N,MATCH($A35,'Ex post LI &amp; Eligibility Stats'!$A:$A,0),MATCH('Program MW '!L$29,'Ex post LI &amp; Eligibility Stats'!$A$8:$N$8,0))/1000)</f>
        <v>0</v>
      </c>
      <c r="N35" s="159">
        <v>0</v>
      </c>
      <c r="O35" s="357">
        <f>N35*(INDEX('Ex ante LI &amp; Eligibility Stats'!$A:$M,MATCH('Program MW '!$A35,'Ex ante LI &amp; Eligibility Stats'!$A:$A,0),MATCH('Program MW '!O$29,'Ex ante LI &amp; Eligibility Stats'!$A$8:$M$8,0))/1000)</f>
        <v>0</v>
      </c>
      <c r="P35" s="356">
        <f>N35*(INDEX('Ex post LI &amp; Eligibility Stats'!$A:$N,MATCH($A35,'Ex post LI &amp; Eligibility Stats'!$A:$A,0),MATCH('Program MW '!O$29,'Ex post LI &amp; Eligibility Stats'!$A$8:$N$8,0))/1000)</f>
        <v>0</v>
      </c>
      <c r="Q35" s="159">
        <v>0</v>
      </c>
      <c r="R35" s="357">
        <f>Q35*(INDEX('Ex ante LI &amp; Eligibility Stats'!$A:$M,MATCH('Program MW '!$A35,'Ex ante LI &amp; Eligibility Stats'!$A:$A,0),MATCH('Program MW '!R$29,'Ex ante LI &amp; Eligibility Stats'!$A$8:$M$8,0))/1000)</f>
        <v>0</v>
      </c>
      <c r="S35" s="356">
        <f>Q35*(INDEX('Ex post LI &amp; Eligibility Stats'!$A:$N,MATCH($A35,'Ex post LI &amp; Eligibility Stats'!$A:$A,0),MATCH('Program MW '!R$29,'Ex post LI &amp; Eligibility Stats'!$A$8:$N$8,0))/1000)</f>
        <v>0</v>
      </c>
      <c r="T35" s="7">
        <v>138123</v>
      </c>
    </row>
    <row r="36" spans="1:26" ht="13.5">
      <c r="A36" s="209" t="s">
        <v>54</v>
      </c>
      <c r="B36" s="210">
        <v>0</v>
      </c>
      <c r="C36" s="357">
        <v>0</v>
      </c>
      <c r="D36" s="358">
        <v>0</v>
      </c>
      <c r="E36" s="210">
        <v>0</v>
      </c>
      <c r="F36" s="357">
        <v>0</v>
      </c>
      <c r="G36" s="358">
        <v>0</v>
      </c>
      <c r="H36" s="210">
        <v>0</v>
      </c>
      <c r="I36" s="357">
        <v>0</v>
      </c>
      <c r="J36" s="358">
        <v>0</v>
      </c>
      <c r="K36" s="210">
        <v>0</v>
      </c>
      <c r="L36" s="357">
        <v>0</v>
      </c>
      <c r="M36" s="358">
        <v>0</v>
      </c>
      <c r="N36" s="210">
        <v>0</v>
      </c>
      <c r="O36" s="357">
        <v>0</v>
      </c>
      <c r="P36" s="358">
        <v>0</v>
      </c>
      <c r="Q36" s="210">
        <v>0</v>
      </c>
      <c r="R36" s="357">
        <v>0</v>
      </c>
      <c r="S36" s="358">
        <v>0</v>
      </c>
      <c r="T36" s="4"/>
    </row>
    <row r="37" spans="1:26" ht="14.5">
      <c r="A37" s="164" t="s">
        <v>55</v>
      </c>
      <c r="B37" s="160">
        <v>2</v>
      </c>
      <c r="C37" s="357">
        <f>B37*(INDEX('Ex ante LI &amp; Eligibility Stats'!$A:$M,MATCH('Program MW '!$A37,'Ex ante LI &amp; Eligibility Stats'!$A:$A,0),MATCH('Program MW '!C$29,'Ex ante LI &amp; Eligibility Stats'!$A$8:$M$8,0))/1000)</f>
        <v>2.632E-2</v>
      </c>
      <c r="D37" s="358">
        <f>B37*(INDEX('Ex post LI &amp; Eligibility Stats'!$A:$N,MATCH($A37,'Ex post LI &amp; Eligibility Stats'!$A:$A,0),MATCH('Program MW '!C$29,'Ex post LI &amp; Eligibility Stats'!$A$8:$N$8,0))/1000)</f>
        <v>2.632E-2</v>
      </c>
      <c r="E37" s="160">
        <v>2</v>
      </c>
      <c r="F37" s="357">
        <f>E37*(INDEX('Ex ante LI &amp; Eligibility Stats'!$A:$M,MATCH('Program MW '!$A37,'Ex ante LI &amp; Eligibility Stats'!$A:$A,0),MATCH('Program MW '!F$29,'Ex ante LI &amp; Eligibility Stats'!$A$8:$M$8,0))/1000)</f>
        <v>2.632E-2</v>
      </c>
      <c r="G37" s="358">
        <f>E37*(INDEX('Ex post LI &amp; Eligibility Stats'!$A:$N,MATCH($A37,'Ex post LI &amp; Eligibility Stats'!$A:$A,0),MATCH('Program MW '!F$29,'Ex post LI &amp; Eligibility Stats'!$A$8:$N$8,0))/1000)</f>
        <v>2.632E-2</v>
      </c>
      <c r="H37" s="160">
        <v>2</v>
      </c>
      <c r="I37" s="357">
        <f>H37*(INDEX('Ex ante LI &amp; Eligibility Stats'!$A:$M,MATCH('Program MW '!$A37,'Ex ante LI &amp; Eligibility Stats'!$A:$A,0),MATCH('Program MW '!I$29,'Ex ante LI &amp; Eligibility Stats'!$A$8:$M$8,0))/1000)</f>
        <v>2.632E-2</v>
      </c>
      <c r="J37" s="358">
        <f>H37*(INDEX('Ex post LI &amp; Eligibility Stats'!$A:$N,MATCH($A37,'Ex post LI &amp; Eligibility Stats'!$A:$A,0),MATCH('Program MW '!I$29,'Ex post LI &amp; Eligibility Stats'!$A$8:$N$8,0))/1000)</f>
        <v>2.632E-2</v>
      </c>
      <c r="K37" s="160">
        <v>0</v>
      </c>
      <c r="L37" s="357">
        <f>K37*(INDEX('Ex ante LI &amp; Eligibility Stats'!$A:$M,MATCH('Program MW '!$A37,'Ex ante LI &amp; Eligibility Stats'!$A:$A,0),MATCH('Program MW '!L$29,'Ex ante LI &amp; Eligibility Stats'!$A$8:$M$8,0))/1000)</f>
        <v>0</v>
      </c>
      <c r="M37" s="358">
        <f>K37*(INDEX('Ex post LI &amp; Eligibility Stats'!$A:$N,MATCH($A37,'Ex post LI &amp; Eligibility Stats'!$A:$A,0),MATCH('Program MW '!L$29,'Ex post LI &amp; Eligibility Stats'!$A$8:$N$8,0))/1000)</f>
        <v>0</v>
      </c>
      <c r="N37" s="160">
        <v>0</v>
      </c>
      <c r="O37" s="357">
        <f>N37*(INDEX('Ex ante LI &amp; Eligibility Stats'!$A:$M,MATCH('Program MW '!$A37,'Ex ante LI &amp; Eligibility Stats'!$A:$A,0),MATCH('Program MW '!O$29,'Ex ante LI &amp; Eligibility Stats'!$A$8:$M$8,0))/1000)</f>
        <v>0</v>
      </c>
      <c r="P37" s="358">
        <f>N37*(INDEX('Ex post LI &amp; Eligibility Stats'!$A:$N,MATCH($A37,'Ex post LI &amp; Eligibility Stats'!$A:$A,0),MATCH('Program MW '!O$29,'Ex post LI &amp; Eligibility Stats'!$A$8:$N$8,0))/1000)</f>
        <v>0</v>
      </c>
      <c r="Q37" s="160">
        <v>0</v>
      </c>
      <c r="R37" s="357">
        <f>Q37*(INDEX('Ex ante LI &amp; Eligibility Stats'!$A:$M,MATCH('Program MW '!$A37,'Ex ante LI &amp; Eligibility Stats'!$A:$A,0),MATCH('Program MW '!R$29,'Ex ante LI &amp; Eligibility Stats'!$A$8:$M$8,0))/1000)</f>
        <v>0</v>
      </c>
      <c r="S37" s="358">
        <f>Q37*(INDEX('Ex post LI &amp; Eligibility Stats'!$A:$N,MATCH($A37,'Ex post LI &amp; Eligibility Stats'!$A:$A,0),MATCH('Program MW '!R$29,'Ex post LI &amp; Eligibility Stats'!$A$8:$N$8,0))/1000)</f>
        <v>0</v>
      </c>
      <c r="T37" s="4"/>
    </row>
    <row r="38" spans="1:26">
      <c r="A38" s="286" t="s">
        <v>17</v>
      </c>
      <c r="B38" s="160">
        <v>15107</v>
      </c>
      <c r="C38" s="357">
        <f>B38*(INDEX('Ex ante LI &amp; Eligibility Stats'!$A:$M,MATCH('Program MW '!$A38,'Ex ante LI &amp; Eligibility Stats'!$A:$A,0),MATCH('Program MW '!C$29,'Ex ante LI &amp; Eligibility Stats'!$A$8:$M$8,0))/1000)</f>
        <v>3.4192109391242265</v>
      </c>
      <c r="D38" s="358">
        <f>B38*(INDEX('Ex post LI &amp; Eligibility Stats'!$A:$N,MATCH($A38,'Ex post LI &amp; Eligibility Stats'!$A:$A,0),MATCH('Program MW '!C$29,'Ex post LI &amp; Eligibility Stats'!$A$8:$N$8,0))/1000)</f>
        <v>3.3235399999999999</v>
      </c>
      <c r="E38" s="160">
        <v>15310</v>
      </c>
      <c r="F38" s="357">
        <f>E38*(INDEX('Ex ante LI &amp; Eligibility Stats'!$A:$M,MATCH('Program MW '!$A38,'Ex ante LI &amp; Eligibility Stats'!$A:$A,0),MATCH('Program MW '!F$29,'Ex ante LI &amp; Eligibility Stats'!$A$8:$M$8,0))/1000)</f>
        <v>4.6823426511883728</v>
      </c>
      <c r="G38" s="358">
        <f>E38*(INDEX('Ex post LI &amp; Eligibility Stats'!$A:$N,MATCH($A38,'Ex post LI &amp; Eligibility Stats'!$A:$A,0),MATCH('Program MW '!F$29,'Ex post LI &amp; Eligibility Stats'!$A$8:$N$8,0))/1000)</f>
        <v>3.3682000000000003</v>
      </c>
      <c r="H38" s="160">
        <f>15064+471</f>
        <v>15535</v>
      </c>
      <c r="I38" s="357">
        <f>H38*(INDEX('Ex ante LI &amp; Eligibility Stats'!$A:$M,MATCH('Program MW '!$A38,'Ex ante LI &amp; Eligibility Stats'!$A:$A,0),MATCH('Program MW '!I$29,'Ex ante LI &amp; Eligibility Stats'!$A$8:$M$8,0))/1000)</f>
        <v>5.8196271060407163</v>
      </c>
      <c r="J38" s="358">
        <f>H38*(INDEX('Ex post LI &amp; Eligibility Stats'!$A:$N,MATCH($A38,'Ex post LI &amp; Eligibility Stats'!$A:$A,0),MATCH('Program MW '!I$29,'Ex post LI &amp; Eligibility Stats'!$A$8:$N$8,0))/1000)</f>
        <v>3.4177</v>
      </c>
      <c r="K38" s="160">
        <v>0</v>
      </c>
      <c r="L38" s="357">
        <f>K38*(INDEX('Ex ante LI &amp; Eligibility Stats'!$A:$M,MATCH('Program MW '!$A38,'Ex ante LI &amp; Eligibility Stats'!$A:$A,0),MATCH('Program MW '!L$29,'Ex ante LI &amp; Eligibility Stats'!$A$8:$M$8,0))/1000)</f>
        <v>0</v>
      </c>
      <c r="M38" s="358">
        <f>K38*(INDEX('Ex post LI &amp; Eligibility Stats'!$A:$N,MATCH($A38,'Ex post LI &amp; Eligibility Stats'!$A:$A,0),MATCH('Program MW '!L$29,'Ex post LI &amp; Eligibility Stats'!$A$8:$N$8,0))/1000)</f>
        <v>0</v>
      </c>
      <c r="N38" s="160">
        <v>0</v>
      </c>
      <c r="O38" s="357">
        <f>N38*(INDEX('Ex ante LI &amp; Eligibility Stats'!$A:$M,MATCH('Program MW '!$A38,'Ex ante LI &amp; Eligibility Stats'!$A:$A,0),MATCH('Program MW '!O$29,'Ex ante LI &amp; Eligibility Stats'!$A$8:$M$8,0))/1000)</f>
        <v>0</v>
      </c>
      <c r="P38" s="358">
        <f>N38*(INDEX('Ex post LI &amp; Eligibility Stats'!$A:$N,MATCH($A38,'Ex post LI &amp; Eligibility Stats'!$A:$A,0),MATCH('Program MW '!O$29,'Ex post LI &amp; Eligibility Stats'!$A$8:$N$8,0))/1000)</f>
        <v>0</v>
      </c>
      <c r="Q38" s="160">
        <v>0</v>
      </c>
      <c r="R38" s="357">
        <f>Q38*(INDEX('Ex ante LI &amp; Eligibility Stats'!$A:$M,MATCH('Program MW '!$A38,'Ex ante LI &amp; Eligibility Stats'!$A:$A,0),MATCH('Program MW '!R$29,'Ex ante LI &amp; Eligibility Stats'!$A$8:$M$8,0))/1000)</f>
        <v>0</v>
      </c>
      <c r="S38" s="358">
        <f>Q38*(INDEX('Ex post LI &amp; Eligibility Stats'!$A:$N,MATCH($A38,'Ex post LI &amp; Eligibility Stats'!$A:$A,0),MATCH('Program MW '!R$29,'Ex post LI &amp; Eligibility Stats'!$A$8:$N$8,0))/1000)</f>
        <v>0</v>
      </c>
      <c r="T38" s="4">
        <v>663393.5</v>
      </c>
    </row>
    <row r="39" spans="1:26">
      <c r="A39" s="286" t="s">
        <v>20</v>
      </c>
      <c r="B39" s="160">
        <v>986</v>
      </c>
      <c r="C39" s="357">
        <f>B39*(INDEX('Ex ante LI &amp; Eligibility Stats'!$A:$M,MATCH('Program MW '!$A39,'Ex ante LI &amp; Eligibility Stats'!$A:$A,0),MATCH('Program MW '!C$29,'Ex ante LI &amp; Eligibility Stats'!$A$8:$M$8,0))/1000)</f>
        <v>0.43775688320398332</v>
      </c>
      <c r="D39" s="358">
        <f>B39*(INDEX('Ex post LI &amp; Eligibility Stats'!$A:$N,MATCH($A39,'Ex post LI &amp; Eligibility Stats'!$A:$A,0),MATCH('Program MW '!C$29,'Ex post LI &amp; Eligibility Stats'!$A$8:$N$8,0))/1000)</f>
        <v>0.35495999999999994</v>
      </c>
      <c r="E39" s="160">
        <v>1041</v>
      </c>
      <c r="F39" s="357">
        <f>E39*(INDEX('Ex ante LI &amp; Eligibility Stats'!$A:$M,MATCH('Program MW '!$A39,'Ex ante LI &amp; Eligibility Stats'!$A:$A,0),MATCH('Program MW '!F$29,'Ex ante LI &amp; Eligibility Stats'!$A$8:$M$8,0))/1000)</f>
        <v>0.57844579267501828</v>
      </c>
      <c r="G39" s="358">
        <f>E39*(INDEX('Ex post LI &amp; Eligibility Stats'!$A:$N,MATCH($A39,'Ex post LI &amp; Eligibility Stats'!$A:$A,0),MATCH('Program MW '!F$29,'Ex post LI &amp; Eligibility Stats'!$A$8:$N$8,0))/1000)</f>
        <v>0.37475999999999998</v>
      </c>
      <c r="H39" s="160">
        <v>1042</v>
      </c>
      <c r="I39" s="357">
        <f>H39*(INDEX('Ex ante LI &amp; Eligibility Stats'!$A:$M,MATCH('Program MW '!$A39,'Ex ante LI &amp; Eligibility Stats'!$A:$A,0),MATCH('Program MW '!I$29,'Ex ante LI &amp; Eligibility Stats'!$A$8:$M$8,0))/1000)</f>
        <v>0.65577575075626382</v>
      </c>
      <c r="J39" s="358">
        <f>H39*(INDEX('Ex post LI &amp; Eligibility Stats'!$A:$N,MATCH($A39,'Ex post LI &amp; Eligibility Stats'!$A:$A,0),MATCH('Program MW '!I$29,'Ex post LI &amp; Eligibility Stats'!$A$8:$N$8,0))/1000)</f>
        <v>0.37511999999999995</v>
      </c>
      <c r="K39" s="160">
        <v>0</v>
      </c>
      <c r="L39" s="357">
        <f>K39*(INDEX('Ex ante LI &amp; Eligibility Stats'!$A:$M,MATCH('Program MW '!$A39,'Ex ante LI &amp; Eligibility Stats'!$A:$A,0),MATCH('Program MW '!L$29,'Ex ante LI &amp; Eligibility Stats'!$A$8:$M$8,0))/1000)</f>
        <v>0</v>
      </c>
      <c r="M39" s="358">
        <f>K39*(INDEX('Ex post LI &amp; Eligibility Stats'!$A:$N,MATCH($A39,'Ex post LI &amp; Eligibility Stats'!$A:$A,0),MATCH('Program MW '!L$29,'Ex post LI &amp; Eligibility Stats'!$A$8:$N$8,0))/1000)</f>
        <v>0</v>
      </c>
      <c r="N39" s="160">
        <v>0</v>
      </c>
      <c r="O39" s="357">
        <f>N39*(INDEX('Ex ante LI &amp; Eligibility Stats'!$A:$M,MATCH('Program MW '!$A39,'Ex ante LI &amp; Eligibility Stats'!$A:$A,0),MATCH('Program MW '!O$29,'Ex ante LI &amp; Eligibility Stats'!$A$8:$M$8,0))/1000)</f>
        <v>0</v>
      </c>
      <c r="P39" s="358">
        <f>N39*(INDEX('Ex post LI &amp; Eligibility Stats'!$A:$N,MATCH($A39,'Ex post LI &amp; Eligibility Stats'!$A:$A,0),MATCH('Program MW '!O$29,'Ex post LI &amp; Eligibility Stats'!$A$8:$N$8,0))/1000)</f>
        <v>0</v>
      </c>
      <c r="Q39" s="160">
        <v>0</v>
      </c>
      <c r="R39" s="357">
        <f>Q39*(INDEX('Ex ante LI &amp; Eligibility Stats'!$A:$M,MATCH('Program MW '!$A39,'Ex ante LI &amp; Eligibility Stats'!$A:$A,0),MATCH('Program MW '!R$29,'Ex ante LI &amp; Eligibility Stats'!$A$8:$M$8,0))/1000)</f>
        <v>0</v>
      </c>
      <c r="S39" s="358">
        <f>Q39*(INDEX('Ex post LI &amp; Eligibility Stats'!$A:$N,MATCH($A39,'Ex post LI &amp; Eligibility Stats'!$A:$A,0),MATCH('Program MW '!R$29,'Ex post LI &amp; Eligibility Stats'!$A$8:$N$8,0))/1000)</f>
        <v>0</v>
      </c>
      <c r="T39" s="4"/>
    </row>
    <row r="40" spans="1:26">
      <c r="A40" s="286" t="s">
        <v>21</v>
      </c>
      <c r="B40" s="421">
        <v>9456</v>
      </c>
      <c r="C40" s="357">
        <f>B40*(INDEX('Ex ante LI &amp; Eligibility Stats'!$A:$M,MATCH('Program MW '!$A40,'Ex ante LI &amp; Eligibility Stats'!$A:$A,0),MATCH('Program MW '!C$29,'Ex ante LI &amp; Eligibility Stats'!$A$8:$M$8,0))/1000)</f>
        <v>1.4435983487999999</v>
      </c>
      <c r="D40" s="358">
        <f>B40*(INDEX('Ex post LI &amp; Eligibility Stats'!$A:$N,MATCH($A40,'Ex post LI &amp; Eligibility Stats'!$A:$A,0),MATCH('Program MW '!C$29,'Ex post LI &amp; Eligibility Stats'!$A$8:$N$8,0))/1000)</f>
        <v>1.04016</v>
      </c>
      <c r="E40" s="421">
        <v>9356</v>
      </c>
      <c r="F40" s="357">
        <f>E40*(INDEX('Ex ante LI &amp; Eligibility Stats'!$A:$M,MATCH('Program MW '!$A40,'Ex ante LI &amp; Eligibility Stats'!$A:$A,0),MATCH('Program MW '!F$29,'Ex ante LI &amp; Eligibility Stats'!$A$8:$M$8,0))/1000)</f>
        <v>2.1663836712000002</v>
      </c>
      <c r="G40" s="358">
        <f>E40*(INDEX('Ex post LI &amp; Eligibility Stats'!$A:$N,MATCH($A40,'Ex post LI &amp; Eligibility Stats'!$A:$A,0),MATCH('Program MW '!F$29,'Ex post LI &amp; Eligibility Stats'!$A$8:$N$8,0))/1000)</f>
        <v>1.0291600000000001</v>
      </c>
      <c r="H40" s="421">
        <v>9223</v>
      </c>
      <c r="I40" s="357">
        <f>H40*(INDEX('Ex ante LI &amp; Eligibility Stats'!$A:$M,MATCH('Program MW '!$A40,'Ex ante LI &amp; Eligibility Stats'!$A:$A,0),MATCH('Program MW '!I$29,'Ex ante LI &amp; Eligibility Stats'!$A$8:$M$8,0))/1000)</f>
        <v>2.6149446189000001</v>
      </c>
      <c r="J40" s="358">
        <f>H40*(INDEX('Ex post LI &amp; Eligibility Stats'!$A:$N,MATCH($A40,'Ex post LI &amp; Eligibility Stats'!$A:$A,0),MATCH('Program MW '!I$29,'Ex post LI &amp; Eligibility Stats'!$A$8:$N$8,0))/1000)</f>
        <v>1.0145299999999999</v>
      </c>
      <c r="K40" s="421">
        <v>0</v>
      </c>
      <c r="L40" s="357">
        <f>K40*(INDEX('Ex ante LI &amp; Eligibility Stats'!$A:$M,MATCH('Program MW '!$A40,'Ex ante LI &amp; Eligibility Stats'!$A:$A,0),MATCH('Program MW '!L$29,'Ex ante LI &amp; Eligibility Stats'!$A$8:$M$8,0))/1000)</f>
        <v>0</v>
      </c>
      <c r="M40" s="358">
        <f>K40*(INDEX('Ex post LI &amp; Eligibility Stats'!$A:$N,MATCH($A40,'Ex post LI &amp; Eligibility Stats'!$A:$A,0),MATCH('Program MW '!L$29,'Ex post LI &amp; Eligibility Stats'!$A$8:$N$8,0))/1000)</f>
        <v>0</v>
      </c>
      <c r="N40" s="421">
        <v>0</v>
      </c>
      <c r="O40" s="357">
        <f>N40*(INDEX('Ex ante LI &amp; Eligibility Stats'!$A:$M,MATCH('Program MW '!$A40,'Ex ante LI &amp; Eligibility Stats'!$A:$A,0),MATCH('Program MW '!O$29,'Ex ante LI &amp; Eligibility Stats'!$A$8:$M$8,0))/1000)</f>
        <v>0</v>
      </c>
      <c r="P40" s="358">
        <f>N40*(INDEX('Ex post LI &amp; Eligibility Stats'!$A:$N,MATCH($A40,'Ex post LI &amp; Eligibility Stats'!$A:$A,0),MATCH('Program MW '!O$29,'Ex post LI &amp; Eligibility Stats'!$A$8:$N$8,0))/1000)</f>
        <v>0</v>
      </c>
      <c r="Q40" s="421">
        <v>0</v>
      </c>
      <c r="R40" s="357">
        <f>Q40*(INDEX('Ex ante LI &amp; Eligibility Stats'!$A:$M,MATCH('Program MW '!$A40,'Ex ante LI &amp; Eligibility Stats'!$A:$A,0),MATCH('Program MW '!R$29,'Ex ante LI &amp; Eligibility Stats'!$A$8:$M$8,0))/1000)</f>
        <v>0</v>
      </c>
      <c r="S40" s="358">
        <f>Q40*(INDEX('Ex post LI &amp; Eligibility Stats'!$A:$N,MATCH($A40,'Ex post LI &amp; Eligibility Stats'!$A:$A,0),MATCH('Program MW '!R$29,'Ex post LI &amp; Eligibility Stats'!$A$8:$N$8,0))/1000)</f>
        <v>0</v>
      </c>
      <c r="T40" s="4">
        <v>157189</v>
      </c>
    </row>
    <row r="41" spans="1:26">
      <c r="A41" s="286" t="s">
        <v>23</v>
      </c>
      <c r="B41" s="421">
        <v>3217</v>
      </c>
      <c r="C41" s="357">
        <f>B41*(INDEX('Ex ante LI &amp; Eligibility Stats'!$A:$M,MATCH('Program MW '!$A41,'Ex ante LI &amp; Eligibility Stats'!$A:$A,0),MATCH('Program MW '!C$29,'Ex ante LI &amp; Eligibility Stats'!$A$8:$M$8,0))/1000)</f>
        <v>0.39307236200000006</v>
      </c>
      <c r="D41" s="358">
        <f>B41*(INDEX('Ex post LI &amp; Eligibility Stats'!$A:$N,MATCH($A41,'Ex post LI &amp; Eligibility Stats'!$A:$A,0),MATCH('Program MW '!C$29,'Ex post LI &amp; Eligibility Stats'!$A$8:$N$8,0))/1000)</f>
        <v>0.28952999999999995</v>
      </c>
      <c r="E41" s="421">
        <v>3198</v>
      </c>
      <c r="F41" s="357">
        <f>E41*(INDEX('Ex ante LI &amp; Eligibility Stats'!$A:$M,MATCH('Program MW '!$A41,'Ex ante LI &amp; Eligibility Stats'!$A:$A,0),MATCH('Program MW '!F$29,'Ex ante LI &amp; Eligibility Stats'!$A$8:$M$8,0))/1000)</f>
        <v>0.47751928380000003</v>
      </c>
      <c r="G41" s="358">
        <f>E41*(INDEX('Ex post LI &amp; Eligibility Stats'!$A:$N,MATCH($A41,'Ex post LI &amp; Eligibility Stats'!$A:$A,0),MATCH('Program MW '!F$29,'Ex post LI &amp; Eligibility Stats'!$A$8:$N$8,0))/1000)</f>
        <v>0.28781999999999996</v>
      </c>
      <c r="H41" s="421">
        <v>3171</v>
      </c>
      <c r="I41" s="357">
        <f>H41*(INDEX('Ex ante LI &amp; Eligibility Stats'!$A:$M,MATCH('Program MW '!$A41,'Ex ante LI &amp; Eligibility Stats'!$A:$A,0),MATCH('Program MW '!I$29,'Ex ante LI &amp; Eligibility Stats'!$A$8:$M$8,0))/1000)</f>
        <v>0.56855142120000002</v>
      </c>
      <c r="J41" s="358">
        <f>H41*(INDEX('Ex post LI &amp; Eligibility Stats'!$A:$N,MATCH($A41,'Ex post LI &amp; Eligibility Stats'!$A:$A,0),MATCH('Program MW '!I$29,'Ex post LI &amp; Eligibility Stats'!$A$8:$N$8,0))/1000)</f>
        <v>0.28538999999999998</v>
      </c>
      <c r="K41" s="421">
        <v>0</v>
      </c>
      <c r="L41" s="357">
        <f>K41*(INDEX('Ex ante LI &amp; Eligibility Stats'!$A:$M,MATCH('Program MW '!$A41,'Ex ante LI &amp; Eligibility Stats'!$A:$A,0),MATCH('Program MW '!L$29,'Ex ante LI &amp; Eligibility Stats'!$A$8:$M$8,0))/1000)</f>
        <v>0</v>
      </c>
      <c r="M41" s="358">
        <f>K41*(INDEX('Ex post LI &amp; Eligibility Stats'!$A:$N,MATCH($A41,'Ex post LI &amp; Eligibility Stats'!$A:$A,0),MATCH('Program MW '!L$29,'Ex post LI &amp; Eligibility Stats'!$A$8:$N$8,0))/1000)</f>
        <v>0</v>
      </c>
      <c r="N41" s="421">
        <v>0</v>
      </c>
      <c r="O41" s="357">
        <f>N41*(INDEX('Ex ante LI &amp; Eligibility Stats'!$A:$M,MATCH('Program MW '!$A41,'Ex ante LI &amp; Eligibility Stats'!$A:$A,0),MATCH('Program MW '!O$29,'Ex ante LI &amp; Eligibility Stats'!$A$8:$M$8,0))/1000)</f>
        <v>0</v>
      </c>
      <c r="P41" s="358">
        <f>N41*(INDEX('Ex post LI &amp; Eligibility Stats'!$A:$N,MATCH($A41,'Ex post LI &amp; Eligibility Stats'!$A:$A,0),MATCH('Program MW '!O$29,'Ex post LI &amp; Eligibility Stats'!$A$8:$N$8,0))/1000)</f>
        <v>0</v>
      </c>
      <c r="Q41" s="421">
        <v>0</v>
      </c>
      <c r="R41" s="357">
        <f>Q41*(INDEX('Ex ante LI &amp; Eligibility Stats'!$A:$M,MATCH('Program MW '!$A41,'Ex ante LI &amp; Eligibility Stats'!$A:$A,0),MATCH('Program MW '!R$29,'Ex ante LI &amp; Eligibility Stats'!$A$8:$M$8,0))/1000)</f>
        <v>0</v>
      </c>
      <c r="S41" s="358">
        <f>Q41*(INDEX('Ex post LI &amp; Eligibility Stats'!$A:$N,MATCH($A41,'Ex post LI &amp; Eligibility Stats'!$A:$A,0),MATCH('Program MW '!R$29,'Ex post LI &amp; Eligibility Stats'!$A$8:$N$8,0))/1000)</f>
        <v>0</v>
      </c>
      <c r="T41" s="4">
        <v>157189</v>
      </c>
    </row>
    <row r="42" spans="1:26">
      <c r="A42" s="85" t="s">
        <v>24</v>
      </c>
      <c r="B42" s="160">
        <v>24</v>
      </c>
      <c r="C42" s="357">
        <f>B42*(INDEX('Ex ante LI &amp; Eligibility Stats'!$A:$M,MATCH('Program MW '!$A42,'Ex ante LI &amp; Eligibility Stats'!$A:$A,0),MATCH('Program MW '!C$29,'Ex ante LI &amp; Eligibility Stats'!$A$8:$M$8,0))/1000)</f>
        <v>0.44888562719141323</v>
      </c>
      <c r="D42" s="358">
        <f>B42*(INDEX('Ex post LI &amp; Eligibility Stats'!$A:$N,MATCH($A42,'Ex post LI &amp; Eligibility Stats'!$A:$A,0),MATCH('Program MW '!C$29,'Ex post LI &amp; Eligibility Stats'!$A$8:$N$8,0))/1000)</f>
        <v>0.63119999999999998</v>
      </c>
      <c r="E42" s="160">
        <v>26</v>
      </c>
      <c r="F42" s="357">
        <f>E42*(INDEX('Ex ante LI &amp; Eligibility Stats'!$A:$M,MATCH('Program MW '!$A42,'Ex ante LI &amp; Eligibility Stats'!$A:$A,0),MATCH('Program MW '!F$29,'Ex ante LI &amp; Eligibility Stats'!$A$8:$M$8,0))/1000)</f>
        <v>0.48629276279069766</v>
      </c>
      <c r="G42" s="358">
        <f>E42*(INDEX('Ex post LI &amp; Eligibility Stats'!$A:$N,MATCH($A42,'Ex post LI &amp; Eligibility Stats'!$A:$A,0),MATCH('Program MW '!F$29,'Ex post LI &amp; Eligibility Stats'!$A$8:$N$8,0))/1000)</f>
        <v>0.68379999999999996</v>
      </c>
      <c r="H42" s="160">
        <v>20</v>
      </c>
      <c r="I42" s="357">
        <f>H42*(INDEX('Ex ante LI &amp; Eligibility Stats'!$A:$M,MATCH('Program MW '!$A42,'Ex ante LI &amp; Eligibility Stats'!$A:$A,0),MATCH('Program MW '!I$29,'Ex ante LI &amp; Eligibility Stats'!$A$8:$M$8,0))/1000)</f>
        <v>0.37407135599284436</v>
      </c>
      <c r="J42" s="358">
        <f>H42*(INDEX('Ex post LI &amp; Eligibility Stats'!$A:$N,MATCH($A42,'Ex post LI &amp; Eligibility Stats'!$A:$A,0),MATCH('Program MW '!I$29,'Ex post LI &amp; Eligibility Stats'!$A$8:$N$8,0))/1000)</f>
        <v>0.52600000000000002</v>
      </c>
      <c r="K42" s="160">
        <v>0</v>
      </c>
      <c r="L42" s="357">
        <f>K42*(INDEX('Ex ante LI &amp; Eligibility Stats'!$A:$M,MATCH('Program MW '!$A42,'Ex ante LI &amp; Eligibility Stats'!$A:$A,0),MATCH('Program MW '!L$29,'Ex ante LI &amp; Eligibility Stats'!$A$8:$M$8,0))/1000)</f>
        <v>0</v>
      </c>
      <c r="M42" s="358">
        <f>K42*(INDEX('Ex post LI &amp; Eligibility Stats'!$A:$N,MATCH($A42,'Ex post LI &amp; Eligibility Stats'!$A:$A,0),MATCH('Program MW '!L$29,'Ex post LI &amp; Eligibility Stats'!$A$8:$N$8,0))/1000)</f>
        <v>0</v>
      </c>
      <c r="N42" s="160">
        <v>0</v>
      </c>
      <c r="O42" s="357">
        <f>N42*(INDEX('Ex ante LI &amp; Eligibility Stats'!$A:$M,MATCH('Program MW '!$A42,'Ex ante LI &amp; Eligibility Stats'!$A:$A,0),MATCH('Program MW '!O$29,'Ex ante LI &amp; Eligibility Stats'!$A$8:$M$8,0))/1000)</f>
        <v>0</v>
      </c>
      <c r="P42" s="358">
        <f>N42*(INDEX('Ex post LI &amp; Eligibility Stats'!$A:$N,MATCH($A42,'Ex post LI &amp; Eligibility Stats'!$A:$A,0),MATCH('Program MW '!O$29,'Ex post LI &amp; Eligibility Stats'!$A$8:$N$8,0))/1000)</f>
        <v>0</v>
      </c>
      <c r="Q42" s="160">
        <v>0</v>
      </c>
      <c r="R42" s="357">
        <f>Q42*(INDEX('Ex ante LI &amp; Eligibility Stats'!$A:$M,MATCH('Program MW '!$A42,'Ex ante LI &amp; Eligibility Stats'!$A:$A,0),MATCH('Program MW '!R$29,'Ex ante LI &amp; Eligibility Stats'!$A$8:$M$8,0))/1000)</f>
        <v>0</v>
      </c>
      <c r="S42" s="358">
        <f>Q42*(INDEX('Ex post LI &amp; Eligibility Stats'!$A:$N,MATCH($A42,'Ex post LI &amp; Eligibility Stats'!$A:$A,0),MATCH('Program MW '!R$29,'Ex post LI &amp; Eligibility Stats'!$A$8:$N$8,0))/1000)</f>
        <v>0</v>
      </c>
      <c r="T42" s="4">
        <v>18875</v>
      </c>
      <c r="V42" s="460" t="s">
        <v>57</v>
      </c>
    </row>
    <row r="43" spans="1:26">
      <c r="A43" s="85" t="s">
        <v>25</v>
      </c>
      <c r="B43" s="160">
        <v>175</v>
      </c>
      <c r="C43" s="357">
        <f>B43*(INDEX('Ex ante LI &amp; Eligibility Stats'!$A:$M,MATCH('Program MW '!$A43,'Ex ante LI &amp; Eligibility Stats'!$A:$A,0),MATCH('Program MW '!C$29,'Ex ante LI &amp; Eligibility Stats'!$A$8:$M$8,0))/1000)</f>
        <v>2.9780528580351651</v>
      </c>
      <c r="D43" s="358">
        <f>B43*(INDEX('Ex post LI &amp; Eligibility Stats'!$A:$N,MATCH($A43,'Ex post LI &amp; Eligibility Stats'!$A:$A,0),MATCH('Program MW '!C$29,'Ex post LI &amp; Eligibility Stats'!$A$8:$N$8,0))/1000)</f>
        <v>3.4300000000000006</v>
      </c>
      <c r="E43" s="160">
        <v>175</v>
      </c>
      <c r="F43" s="357">
        <f>E43*(INDEX('Ex ante LI &amp; Eligibility Stats'!$A:$M,MATCH('Program MW '!$A43,'Ex ante LI &amp; Eligibility Stats'!$A:$A,0),MATCH('Program MW '!F$29,'Ex ante LI &amp; Eligibility Stats'!$A$8:$M$8,0))/1000)</f>
        <v>2.9780528580351651</v>
      </c>
      <c r="G43" s="358">
        <f>E43*(INDEX('Ex post LI &amp; Eligibility Stats'!$A:$N,MATCH($A43,'Ex post LI &amp; Eligibility Stats'!$A:$A,0),MATCH('Program MW '!F$29,'Ex post LI &amp; Eligibility Stats'!$A$8:$N$8,0))/1000)</f>
        <v>3.4300000000000006</v>
      </c>
      <c r="H43" s="160">
        <v>129</v>
      </c>
      <c r="I43" s="357">
        <f>H43*(INDEX('Ex ante LI &amp; Eligibility Stats'!$A:$M,MATCH('Program MW '!$A43,'Ex ante LI &amp; Eligibility Stats'!$A:$A,0),MATCH('Program MW '!I$29,'Ex ante LI &amp; Eligibility Stats'!$A$8:$M$8,0))/1000)</f>
        <v>2.1952503924944931</v>
      </c>
      <c r="J43" s="358">
        <f>H43*(INDEX('Ex post LI &amp; Eligibility Stats'!$A:$N,MATCH($A43,'Ex post LI &amp; Eligibility Stats'!$A:$A,0),MATCH('Program MW '!I$29,'Ex post LI &amp; Eligibility Stats'!$A$8:$N$8,0))/1000)</f>
        <v>2.5284000000000004</v>
      </c>
      <c r="K43" s="160">
        <v>0</v>
      </c>
      <c r="L43" s="357">
        <f>K43*(INDEX('Ex ante LI &amp; Eligibility Stats'!$A:$M,MATCH('Program MW '!$A43,'Ex ante LI &amp; Eligibility Stats'!$A:$A,0),MATCH('Program MW '!L$29,'Ex ante LI &amp; Eligibility Stats'!$A$8:$M$8,0))/1000)</f>
        <v>0</v>
      </c>
      <c r="M43" s="358">
        <f>K43*(INDEX('Ex post LI &amp; Eligibility Stats'!$A:$N,MATCH($A43,'Ex post LI &amp; Eligibility Stats'!$A:$A,0),MATCH('Program MW '!L$29,'Ex post LI &amp; Eligibility Stats'!$A$8:$N$8,0))/1000)</f>
        <v>0</v>
      </c>
      <c r="N43" s="160">
        <v>0</v>
      </c>
      <c r="O43" s="357">
        <f>N43*(INDEX('Ex ante LI &amp; Eligibility Stats'!$A:$M,MATCH('Program MW '!$A43,'Ex ante LI &amp; Eligibility Stats'!$A:$A,0),MATCH('Program MW '!O$29,'Ex ante LI &amp; Eligibility Stats'!$A$8:$M$8,0))/1000)</f>
        <v>0</v>
      </c>
      <c r="P43" s="358">
        <f>N43*(INDEX('Ex post LI &amp; Eligibility Stats'!$A:$N,MATCH($A43,'Ex post LI &amp; Eligibility Stats'!$A:$A,0),MATCH('Program MW '!O$29,'Ex post LI &amp; Eligibility Stats'!$A$8:$N$8,0))/1000)</f>
        <v>0</v>
      </c>
      <c r="Q43" s="160">
        <v>0</v>
      </c>
      <c r="R43" s="357">
        <f>Q43*(INDEX('Ex ante LI &amp; Eligibility Stats'!$A:$M,MATCH('Program MW '!$A43,'Ex ante LI &amp; Eligibility Stats'!$A:$A,0),MATCH('Program MW '!R$29,'Ex ante LI &amp; Eligibility Stats'!$A$8:$M$8,0))/1000)</f>
        <v>0</v>
      </c>
      <c r="S43" s="358">
        <f>Q43*(INDEX('Ex post LI &amp; Eligibility Stats'!$A:$N,MATCH($A43,'Ex post LI &amp; Eligibility Stats'!$A:$A,0),MATCH('Program MW '!R$29,'Ex post LI &amp; Eligibility Stats'!$A$8:$N$8,0))/1000)</f>
        <v>0</v>
      </c>
      <c r="T43" s="4">
        <v>18875</v>
      </c>
    </row>
    <row r="44" spans="1:26" s="153" customFormat="1">
      <c r="A44" s="286" t="s">
        <v>56</v>
      </c>
      <c r="B44" s="210">
        <v>91</v>
      </c>
      <c r="C44" s="357">
        <f>B44*(INDEX('Ex ante LI &amp; Eligibility Stats'!$A:$M,MATCH('Program MW '!$A44,'Ex ante LI &amp; Eligibility Stats'!$A:$A,0),MATCH('Program MW '!C$29,'Ex ante LI &amp; Eligibility Stats'!$A$8:$M$8,0))/1000)</f>
        <v>6.0863229632377629E-3</v>
      </c>
      <c r="D44" s="358">
        <f>B44*(INDEX('Ex post LI &amp; Eligibility Stats'!$A:$N,MATCH($A44,'Ex post LI &amp; Eligibility Stats'!$A:$A,0),MATCH('Program MW '!C$29,'Ex post LI &amp; Eligibility Stats'!$A$8:$N$8,0))/1000)</f>
        <v>0.15742999999999999</v>
      </c>
      <c r="E44" s="210">
        <v>92</v>
      </c>
      <c r="F44" s="357">
        <f>E44*(INDEX('Ex ante LI &amp; Eligibility Stats'!$A:$M,MATCH('Program MW '!$A44,'Ex ante LI &amp; Eligibility Stats'!$A:$A,0),MATCH('Program MW '!F$29,'Ex ante LI &amp; Eligibility Stats'!$A$8:$M$8,0))/1000)</f>
        <v>7.1594032645225531E-3</v>
      </c>
      <c r="G44" s="358">
        <f>E44*(INDEX('Ex post LI &amp; Eligibility Stats'!$A:$N,MATCH($A44,'Ex post LI &amp; Eligibility Stats'!$A:$A,0),MATCH('Program MW '!F$29,'Ex post LI &amp; Eligibility Stats'!$A$8:$N$8,0))/1000)</f>
        <v>0.15916</v>
      </c>
      <c r="H44" s="210">
        <v>92</v>
      </c>
      <c r="I44" s="357">
        <f>H44*(INDEX('Ex ante LI &amp; Eligibility Stats'!$A:$M,MATCH('Program MW '!$A44,'Ex ante LI &amp; Eligibility Stats'!$A:$A,0),MATCH('Program MW '!I$29,'Ex ante LI &amp; Eligibility Stats'!$A$8:$M$8,0))/1000)</f>
        <v>7.0681269168853759E-3</v>
      </c>
      <c r="J44" s="358">
        <f>H44*(INDEX('Ex post LI &amp; Eligibility Stats'!$A:$N,MATCH($A44,'Ex post LI &amp; Eligibility Stats'!$A:$A,0),MATCH('Program MW '!I$29,'Ex post LI &amp; Eligibility Stats'!$A$8:$N$8,0))/1000)</f>
        <v>0.15916</v>
      </c>
      <c r="K44" s="210">
        <v>0</v>
      </c>
      <c r="L44" s="357">
        <f>K44*(INDEX('Ex ante LI &amp; Eligibility Stats'!$A:$M,MATCH('Program MW '!$A44,'Ex ante LI &amp; Eligibility Stats'!$A:$A,0),MATCH('Program MW '!L$29,'Ex ante LI &amp; Eligibility Stats'!$A$8:$M$8,0))/1000)</f>
        <v>0</v>
      </c>
      <c r="M44" s="358">
        <f>K44*(INDEX('Ex post LI &amp; Eligibility Stats'!$A:$N,MATCH($A44,'Ex post LI &amp; Eligibility Stats'!$A:$A,0),MATCH('Program MW '!L$29,'Ex post LI &amp; Eligibility Stats'!$A$8:$N$8,0))/1000)</f>
        <v>0</v>
      </c>
      <c r="N44" s="210">
        <v>0</v>
      </c>
      <c r="O44" s="357">
        <f>N44*(INDEX('Ex ante LI &amp; Eligibility Stats'!$A:$M,MATCH('Program MW '!$A44,'Ex ante LI &amp; Eligibility Stats'!$A:$A,0),MATCH('Program MW '!O$29,'Ex ante LI &amp; Eligibility Stats'!$A$8:$M$8,0))/1000)</f>
        <v>0</v>
      </c>
      <c r="P44" s="358">
        <f>N44*(INDEX('Ex post LI &amp; Eligibility Stats'!$A:$N,MATCH($A44,'Ex post LI &amp; Eligibility Stats'!$A:$A,0),MATCH('Program MW '!O$29,'Ex post LI &amp; Eligibility Stats'!$A$8:$N$8,0))/1000)</f>
        <v>0</v>
      </c>
      <c r="Q44" s="210">
        <v>0</v>
      </c>
      <c r="R44" s="357">
        <f>Q44*(INDEX('Ex ante LI &amp; Eligibility Stats'!$A:$M,MATCH('Program MW '!$A44,'Ex ante LI &amp; Eligibility Stats'!$A:$A,0),MATCH('Program MW '!R$29,'Ex ante LI &amp; Eligibility Stats'!$A$8:$M$8,0))/1000)</f>
        <v>0</v>
      </c>
      <c r="S44" s="358">
        <f>Q44*(INDEX('Ex post LI &amp; Eligibility Stats'!$A:$N,MATCH($A44,'Ex post LI &amp; Eligibility Stats'!$A:$A,0),MATCH('Program MW '!R$29,'Ex post LI &amp; Eligibility Stats'!$A$8:$N$8,0))/1000)</f>
        <v>0</v>
      </c>
      <c r="T44" s="471"/>
    </row>
    <row r="45" spans="1:26">
      <c r="A45" s="85" t="s">
        <v>26</v>
      </c>
      <c r="B45" s="160">
        <v>112437</v>
      </c>
      <c r="C45" s="357">
        <f>B45*(INDEX('Ex ante LI &amp; Eligibility Stats'!$A:$M,MATCH('Program MW '!$A45,'Ex ante LI &amp; Eligibility Stats'!$A:$A,0),MATCH('Program MW '!C$29,'Ex ante LI &amp; Eligibility Stats'!$A$8:$M$8,0))/1000)</f>
        <v>1.9057328109797089</v>
      </c>
      <c r="D45" s="358">
        <f>B45*(INDEX('Ex post LI &amp; Eligibility Stats'!$A:$N,MATCH($A45,'Ex post LI &amp; Eligibility Stats'!$A:$A,0),MATCH('Program MW '!C$29,'Ex post LI &amp; Eligibility Stats'!$A$8:$N$8,0))/1000)</f>
        <v>3.3731099999999996</v>
      </c>
      <c r="E45" s="160">
        <v>112368</v>
      </c>
      <c r="F45" s="357">
        <f>E45*(INDEX('Ex ante LI &amp; Eligibility Stats'!$A:$M,MATCH('Program MW '!$A45,'Ex ante LI &amp; Eligibility Stats'!$A:$A,0),MATCH('Program MW '!F$29,'Ex ante LI &amp; Eligibility Stats'!$A$8:$M$8,0))/1000)</f>
        <v>1.9959247588813303</v>
      </c>
      <c r="G45" s="358">
        <f>E45*(INDEX('Ex post LI &amp; Eligibility Stats'!$A:$N,MATCH($A45,'Ex post LI &amp; Eligibility Stats'!$A:$A,0),MATCH('Program MW '!F$29,'Ex post LI &amp; Eligibility Stats'!$A$8:$N$8,0))/1000)</f>
        <v>3.3710399999999998</v>
      </c>
      <c r="H45" s="160">
        <v>112227</v>
      </c>
      <c r="I45" s="357">
        <f>H45*(INDEX('Ex ante LI &amp; Eligibility Stats'!$A:$M,MATCH('Program MW '!$A45,'Ex ante LI &amp; Eligibility Stats'!$A:$A,0),MATCH('Program MW '!I$29,'Ex ante LI &amp; Eligibility Stats'!$A$8:$M$8,0))/1000)</f>
        <v>1.9165666264425962</v>
      </c>
      <c r="J45" s="358">
        <f>H45*(INDEX('Ex post LI &amp; Eligibility Stats'!$A:$N,MATCH($A45,'Ex post LI &amp; Eligibility Stats'!$A:$A,0),MATCH('Program MW '!I$29,'Ex post LI &amp; Eligibility Stats'!$A$8:$N$8,0))/1000)</f>
        <v>3.3668099999999996</v>
      </c>
      <c r="K45" s="160">
        <v>0</v>
      </c>
      <c r="L45" s="357">
        <f>K45*(INDEX('Ex ante LI &amp; Eligibility Stats'!$A:$M,MATCH('Program MW '!$A45,'Ex ante LI &amp; Eligibility Stats'!$A:$A,0),MATCH('Program MW '!L$29,'Ex ante LI &amp; Eligibility Stats'!$A$8:$M$8,0))/1000)</f>
        <v>0</v>
      </c>
      <c r="M45" s="358">
        <f>K45*(INDEX('Ex post LI &amp; Eligibility Stats'!$A:$N,MATCH($A45,'Ex post LI &amp; Eligibility Stats'!$A:$A,0),MATCH('Program MW '!L$29,'Ex post LI &amp; Eligibility Stats'!$A$8:$N$8,0))/1000)</f>
        <v>0</v>
      </c>
      <c r="N45" s="160">
        <v>0</v>
      </c>
      <c r="O45" s="357">
        <f>N45*(INDEX('Ex ante LI &amp; Eligibility Stats'!$A:$M,MATCH('Program MW '!$A45,'Ex ante LI &amp; Eligibility Stats'!$A:$A,0),MATCH('Program MW '!O$29,'Ex ante LI &amp; Eligibility Stats'!$A$8:$M$8,0))/1000)</f>
        <v>0</v>
      </c>
      <c r="P45" s="358">
        <f>N45*(INDEX('Ex post LI &amp; Eligibility Stats'!$A:$N,MATCH($A45,'Ex post LI &amp; Eligibility Stats'!$A:$A,0),MATCH('Program MW '!O$29,'Ex post LI &amp; Eligibility Stats'!$A$8:$N$8,0))/1000)</f>
        <v>0</v>
      </c>
      <c r="Q45" s="160">
        <v>0</v>
      </c>
      <c r="R45" s="357">
        <f>Q45*(INDEX('Ex ante LI &amp; Eligibility Stats'!$A:$M,MATCH('Program MW '!$A45,'Ex ante LI &amp; Eligibility Stats'!$A:$A,0),MATCH('Program MW '!R$29,'Ex ante LI &amp; Eligibility Stats'!$A$8:$M$8,0))/1000)</f>
        <v>0</v>
      </c>
      <c r="S45" s="358">
        <f>Q45*(INDEX('Ex post LI &amp; Eligibility Stats'!$A:$N,MATCH($A45,'Ex post LI &amp; Eligibility Stats'!$A:$A,0),MATCH('Program MW '!R$29,'Ex post LI &amp; Eligibility Stats'!$A$8:$N$8,0))/1000)</f>
        <v>0</v>
      </c>
      <c r="T45" s="4"/>
    </row>
    <row r="46" spans="1:26">
      <c r="A46" s="42" t="s">
        <v>27</v>
      </c>
      <c r="B46" s="284">
        <v>16192</v>
      </c>
      <c r="C46" s="357">
        <f>B46*(INDEX('Ex ante LI &amp; Eligibility Stats'!$A:$M,MATCH('Program MW '!$A46,'Ex ante LI &amp; Eligibility Stats'!$A:$A,0),MATCH('Program MW '!C$29,'Ex ante LI &amp; Eligibility Stats'!$A$8:$M$8,0))/1000)</f>
        <v>3.1104105689525605</v>
      </c>
      <c r="D46" s="358">
        <f>B46*(INDEX('Ex post LI &amp; Eligibility Stats'!$A:$N,MATCH($A46,'Ex post LI &amp; Eligibility Stats'!$A:$A,0),MATCH('Program MW '!C$29,'Ex post LI &amp; Eligibility Stats'!$A$8:$N$8,0))/1000)</f>
        <v>3.5622400000000001</v>
      </c>
      <c r="E46" s="284">
        <v>16302</v>
      </c>
      <c r="F46" s="357">
        <f>E46*(INDEX('Ex ante LI &amp; Eligibility Stats'!$A:$M,MATCH('Program MW '!$A46,'Ex ante LI &amp; Eligibility Stats'!$A:$A,0),MATCH('Program MW '!F$29,'Ex ante LI &amp; Eligibility Stats'!$A$8:$M$8,0))/1000)</f>
        <v>3.330096468642354</v>
      </c>
      <c r="G46" s="358">
        <f>E46*(INDEX('Ex post LI &amp; Eligibility Stats'!$A:$N,MATCH($A46,'Ex post LI &amp; Eligibility Stats'!$A:$A,0),MATCH('Program MW '!F$29,'Ex post LI &amp; Eligibility Stats'!$A$8:$N$8,0))/1000)</f>
        <v>3.5864400000000001</v>
      </c>
      <c r="H46" s="284">
        <v>15944</v>
      </c>
      <c r="I46" s="357">
        <f>H46*(INDEX('Ex ante LI &amp; Eligibility Stats'!$A:$M,MATCH('Program MW '!$A46,'Ex ante LI &amp; Eligibility Stats'!$A:$A,0),MATCH('Program MW '!I$29,'Ex ante LI &amp; Eligibility Stats'!$A$8:$M$8,0))/1000)</f>
        <v>3.3902472614645958</v>
      </c>
      <c r="J46" s="358">
        <f>H46*(INDEX('Ex post LI &amp; Eligibility Stats'!$A:$N,MATCH($A46,'Ex post LI &amp; Eligibility Stats'!$A:$A,0),MATCH('Program MW '!I$29,'Ex post LI &amp; Eligibility Stats'!$A$8:$N$8,0))/1000)</f>
        <v>3.5076800000000001</v>
      </c>
      <c r="K46" s="284">
        <v>0</v>
      </c>
      <c r="L46" s="357">
        <f>K46*(INDEX('Ex ante LI &amp; Eligibility Stats'!$A:$M,MATCH('Program MW '!$A46,'Ex ante LI &amp; Eligibility Stats'!$A:$A,0),MATCH('Program MW '!L$29,'Ex ante LI &amp; Eligibility Stats'!$A$8:$M$8,0))/1000)</f>
        <v>0</v>
      </c>
      <c r="M46" s="358">
        <f>K46*(INDEX('Ex post LI &amp; Eligibility Stats'!$A:$N,MATCH($A46,'Ex post LI &amp; Eligibility Stats'!$A:$A,0),MATCH('Program MW '!L$29,'Ex post LI &amp; Eligibility Stats'!$A$8:$N$8,0))/1000)</f>
        <v>0</v>
      </c>
      <c r="N46" s="284">
        <v>0</v>
      </c>
      <c r="O46" s="357">
        <f>N46*(INDEX('Ex ante LI &amp; Eligibility Stats'!$A:$M,MATCH('Program MW '!$A46,'Ex ante LI &amp; Eligibility Stats'!$A:$A,0),MATCH('Program MW '!O$29,'Ex ante LI &amp; Eligibility Stats'!$A$8:$M$8,0))/1000)</f>
        <v>0</v>
      </c>
      <c r="P46" s="358">
        <f>N46*(INDEX('Ex post LI &amp; Eligibility Stats'!$A:$N,MATCH($A46,'Ex post LI &amp; Eligibility Stats'!$A:$A,0),MATCH('Program MW '!O$29,'Ex post LI &amp; Eligibility Stats'!$A$8:$N$8,0))/1000)</f>
        <v>0</v>
      </c>
      <c r="Q46" s="284">
        <v>0</v>
      </c>
      <c r="R46" s="357">
        <f>Q46*(INDEX('Ex ante LI &amp; Eligibility Stats'!$A:$M,MATCH('Program MW '!$A46,'Ex ante LI &amp; Eligibility Stats'!$A:$A,0),MATCH('Program MW '!R$29,'Ex ante LI &amp; Eligibility Stats'!$A$8:$M$8,0))/1000)</f>
        <v>0</v>
      </c>
      <c r="S46" s="358">
        <f>Q46*(INDEX('Ex post LI &amp; Eligibility Stats'!$A:$N,MATCH($A46,'Ex post LI &amp; Eligibility Stats'!$A:$A,0),MATCH('Program MW '!R$29,'Ex post LI &amp; Eligibility Stats'!$A$8:$N$8,0))/1000)</f>
        <v>0</v>
      </c>
      <c r="T46" s="4"/>
    </row>
    <row r="47" spans="1:26" ht="13.5" thickBot="1">
      <c r="A47" s="188" t="s">
        <v>58</v>
      </c>
      <c r="B47" s="3">
        <f t="shared" ref="B47:Q47" si="13">SUM(B35:B46)</f>
        <v>171782</v>
      </c>
      <c r="C47" s="268">
        <f t="shared" ref="C47:D47" si="14">SUM(C35:C46)</f>
        <v>18.005113389750292</v>
      </c>
      <c r="D47" s="242">
        <f t="shared" si="14"/>
        <v>26.47784</v>
      </c>
      <c r="E47" s="3">
        <f t="shared" si="13"/>
        <v>172707</v>
      </c>
      <c r="F47" s="268">
        <f t="shared" ref="F47:G47" si="15">SUM(F35:F46)</f>
        <v>19.011018703177456</v>
      </c>
      <c r="G47" s="242">
        <f t="shared" si="15"/>
        <v>27.14771</v>
      </c>
      <c r="H47" s="3">
        <f t="shared" si="13"/>
        <v>171977</v>
      </c>
      <c r="I47" s="268">
        <f t="shared" ref="I47:J47" si="16">SUM(I35:I46)</f>
        <v>22.823676010608395</v>
      </c>
      <c r="J47" s="242">
        <f t="shared" si="16"/>
        <v>25.859270000000006</v>
      </c>
      <c r="K47" s="3">
        <f t="shared" si="13"/>
        <v>0</v>
      </c>
      <c r="L47" s="268">
        <f t="shared" ref="L47:M47" si="17">SUM(L35:L46)</f>
        <v>0</v>
      </c>
      <c r="M47" s="242">
        <f t="shared" si="17"/>
        <v>0</v>
      </c>
      <c r="N47" s="3">
        <f t="shared" si="13"/>
        <v>0</v>
      </c>
      <c r="O47" s="268">
        <f t="shared" ref="O47:P47" si="18">SUM(O35:O46)</f>
        <v>0</v>
      </c>
      <c r="P47" s="242">
        <f t="shared" si="18"/>
        <v>0</v>
      </c>
      <c r="Q47" s="3">
        <f t="shared" si="13"/>
        <v>0</v>
      </c>
      <c r="R47" s="268">
        <f t="shared" ref="R47:S47" si="19">SUM(R35:R46)</f>
        <v>0</v>
      </c>
      <c r="S47" s="242">
        <f t="shared" si="19"/>
        <v>0</v>
      </c>
      <c r="T47" s="9"/>
    </row>
    <row r="48" spans="1:26" ht="14" thickTop="1" thickBot="1">
      <c r="A48" s="195" t="s">
        <v>59</v>
      </c>
      <c r="B48" s="2">
        <f t="shared" ref="B48:Q48" si="20">+B33+B47</f>
        <v>171786</v>
      </c>
      <c r="C48" s="269">
        <f t="shared" si="20"/>
        <v>18.724508592387011</v>
      </c>
      <c r="D48" s="241">
        <f t="shared" si="20"/>
        <v>28.771704013671876</v>
      </c>
      <c r="E48" s="2">
        <f t="shared" si="20"/>
        <v>172711</v>
      </c>
      <c r="F48" s="269">
        <f t="shared" ref="F48:G48" si="21">+F33+F47</f>
        <v>19.72495339556027</v>
      </c>
      <c r="G48" s="241">
        <f t="shared" si="21"/>
        <v>29.441574013671875</v>
      </c>
      <c r="H48" s="2">
        <f t="shared" si="20"/>
        <v>171981</v>
      </c>
      <c r="I48" s="269">
        <f t="shared" si="20"/>
        <v>23.628849716663083</v>
      </c>
      <c r="J48" s="241">
        <f t="shared" si="20"/>
        <v>28.153134013671881</v>
      </c>
      <c r="K48" s="2">
        <f t="shared" si="20"/>
        <v>0</v>
      </c>
      <c r="L48" s="269">
        <f t="shared" ref="L48:M48" si="22">+L33+L47</f>
        <v>0</v>
      </c>
      <c r="M48" s="241">
        <f t="shared" si="22"/>
        <v>0</v>
      </c>
      <c r="N48" s="2">
        <f t="shared" si="20"/>
        <v>0</v>
      </c>
      <c r="O48" s="269">
        <f t="shared" si="20"/>
        <v>0</v>
      </c>
      <c r="P48" s="241">
        <f t="shared" si="20"/>
        <v>0</v>
      </c>
      <c r="Q48" s="2">
        <f t="shared" si="20"/>
        <v>0</v>
      </c>
      <c r="R48" s="269">
        <f t="shared" ref="R48:S48" si="23">+R33+R47</f>
        <v>0</v>
      </c>
      <c r="S48" s="241">
        <f t="shared" si="23"/>
        <v>0</v>
      </c>
      <c r="T48" s="12"/>
      <c r="U48" s="6"/>
      <c r="V48" s="12"/>
      <c r="W48" s="12"/>
      <c r="X48" s="6"/>
      <c r="Y48" s="12"/>
      <c r="Z48" s="12"/>
    </row>
    <row r="49" spans="1:26" ht="13.5" thickTop="1">
      <c r="A49" s="147"/>
      <c r="B49" s="12"/>
      <c r="C49" s="12"/>
      <c r="D49" s="6"/>
      <c r="E49" s="12"/>
      <c r="F49" s="12"/>
      <c r="G49" s="12"/>
      <c r="H49" s="6"/>
      <c r="I49" s="12"/>
      <c r="J49" s="12"/>
      <c r="K49" s="12"/>
      <c r="L49" s="12"/>
      <c r="M49" s="6"/>
      <c r="N49" s="12"/>
      <c r="O49" s="12"/>
      <c r="P49" s="12"/>
      <c r="Q49" s="6"/>
      <c r="R49" s="12"/>
      <c r="S49" s="12"/>
      <c r="T49" s="12"/>
      <c r="U49" s="6"/>
      <c r="V49" s="6"/>
      <c r="W49" s="12"/>
      <c r="X49" s="6"/>
      <c r="Y49" s="6"/>
      <c r="Z49" s="12"/>
    </row>
    <row r="50" spans="1:26" ht="14">
      <c r="A50" s="259" t="s">
        <v>66</v>
      </c>
      <c r="B50" s="196"/>
      <c r="C50" s="196"/>
      <c r="D50" s="196"/>
      <c r="E50" s="433"/>
      <c r="F50" s="197"/>
      <c r="G50" s="196"/>
      <c r="H50" s="197"/>
      <c r="I50" s="196"/>
      <c r="J50" s="196"/>
      <c r="K50" s="196"/>
      <c r="L50" s="196"/>
      <c r="M50" s="196"/>
      <c r="N50" s="196"/>
      <c r="O50" s="196"/>
      <c r="P50" s="198"/>
      <c r="Q50" s="196"/>
      <c r="R50" s="196"/>
      <c r="S50" s="196"/>
      <c r="T50" s="13"/>
      <c r="U50" s="13"/>
      <c r="V50" s="13"/>
      <c r="W50" s="13"/>
      <c r="X50" s="13"/>
      <c r="Y50" s="13"/>
      <c r="Z50" s="13"/>
    </row>
    <row r="51" spans="1:26" ht="33.75" customHeight="1">
      <c r="A51" s="674" t="s">
        <v>67</v>
      </c>
      <c r="B51" s="674"/>
      <c r="C51" s="674"/>
      <c r="D51" s="674"/>
      <c r="E51" s="674"/>
      <c r="F51" s="674"/>
      <c r="G51" s="674"/>
      <c r="H51" s="674"/>
      <c r="I51" s="674"/>
      <c r="J51" s="674"/>
      <c r="K51" s="674"/>
      <c r="L51" s="674"/>
      <c r="M51" s="674"/>
      <c r="N51" s="674"/>
      <c r="O51" s="674"/>
    </row>
    <row r="52" spans="1:26" ht="47.25" customHeight="1">
      <c r="A52" s="674" t="s">
        <v>68</v>
      </c>
      <c r="B52" s="674"/>
      <c r="C52" s="674"/>
      <c r="D52" s="674"/>
      <c r="E52" s="674"/>
      <c r="F52" s="674"/>
      <c r="G52" s="674"/>
      <c r="H52" s="674"/>
      <c r="I52" s="674"/>
      <c r="J52" s="674"/>
      <c r="K52" s="674"/>
      <c r="L52" s="674"/>
      <c r="M52" s="674"/>
      <c r="N52" s="674"/>
      <c r="O52" s="674"/>
      <c r="P52" s="13"/>
      <c r="Q52" s="13"/>
      <c r="R52" s="13"/>
      <c r="S52" s="13"/>
      <c r="T52" s="147"/>
      <c r="U52" s="147"/>
      <c r="V52" s="147"/>
      <c r="W52" s="147"/>
      <c r="X52" s="147"/>
      <c r="Y52" s="147"/>
      <c r="Z52" s="147"/>
    </row>
    <row r="53" spans="1:26" s="153" customFormat="1" ht="18" customHeight="1">
      <c r="A53" s="674" t="s">
        <v>69</v>
      </c>
      <c r="B53" s="674"/>
      <c r="C53" s="674"/>
      <c r="D53" s="674"/>
      <c r="E53" s="674"/>
      <c r="F53" s="674"/>
      <c r="G53" s="674"/>
      <c r="H53" s="674"/>
      <c r="I53" s="674"/>
      <c r="J53" s="674"/>
      <c r="K53" s="674"/>
      <c r="L53" s="674"/>
      <c r="M53" s="674"/>
      <c r="N53" s="674"/>
      <c r="O53" s="674"/>
      <c r="P53" s="422"/>
      <c r="Q53" s="422"/>
      <c r="R53" s="422"/>
      <c r="S53" s="422"/>
      <c r="T53" s="207"/>
      <c r="U53" s="207"/>
      <c r="V53" s="207"/>
      <c r="W53" s="207"/>
      <c r="X53" s="207"/>
      <c r="Y53" s="207"/>
      <c r="Z53" s="207"/>
    </row>
    <row r="54" spans="1:26" s="153" customFormat="1" ht="18" customHeight="1">
      <c r="A54" s="674" t="s">
        <v>70</v>
      </c>
      <c r="B54" s="674"/>
      <c r="C54" s="674"/>
      <c r="D54" s="674"/>
      <c r="E54" s="674"/>
      <c r="F54" s="674"/>
      <c r="G54" s="674"/>
      <c r="H54" s="674"/>
      <c r="I54" s="674"/>
      <c r="J54" s="674"/>
      <c r="K54" s="674"/>
      <c r="L54" s="674"/>
      <c r="M54" s="674"/>
      <c r="N54" s="674"/>
      <c r="O54" s="674"/>
      <c r="P54" s="422"/>
      <c r="Q54" s="422"/>
      <c r="R54" s="422"/>
      <c r="S54" s="422"/>
      <c r="T54" s="207"/>
      <c r="U54" s="207"/>
      <c r="V54" s="207"/>
      <c r="W54" s="207"/>
      <c r="X54" s="207"/>
      <c r="Y54" s="207"/>
      <c r="Z54" s="207"/>
    </row>
    <row r="55" spans="1:26" ht="14">
      <c r="A55" s="503" t="s">
        <v>71</v>
      </c>
      <c r="B55" s="203"/>
      <c r="C55" s="203"/>
      <c r="D55" s="203"/>
      <c r="E55" s="203"/>
      <c r="F55" s="203"/>
      <c r="G55" s="203"/>
      <c r="H55" s="203"/>
      <c r="I55" s="203"/>
      <c r="J55" s="203"/>
      <c r="K55" s="203"/>
      <c r="L55" s="203"/>
      <c r="M55" s="203"/>
      <c r="N55" s="203"/>
      <c r="O55" s="485"/>
    </row>
    <row r="56" spans="1:26" ht="14">
      <c r="A56" s="503" t="s">
        <v>72</v>
      </c>
      <c r="B56" s="203"/>
      <c r="C56" s="203"/>
      <c r="D56" s="203"/>
      <c r="E56" s="203"/>
      <c r="F56" s="203"/>
      <c r="G56" s="203"/>
      <c r="H56" s="203"/>
      <c r="I56" s="203"/>
      <c r="J56" s="203"/>
      <c r="K56" s="203"/>
      <c r="L56" s="203"/>
      <c r="M56" s="203"/>
      <c r="N56" s="203"/>
      <c r="O56" s="485"/>
    </row>
    <row r="57" spans="1:26" ht="14">
      <c r="A57" s="243" t="s">
        <v>73</v>
      </c>
    </row>
  </sheetData>
  <mergeCells count="4">
    <mergeCell ref="A51:O51"/>
    <mergeCell ref="A52:O52"/>
    <mergeCell ref="A53:O53"/>
    <mergeCell ref="A54:O54"/>
  </mergeCells>
  <phoneticPr fontId="0" type="noConversion"/>
  <printOptions horizontalCentered="1"/>
  <pageMargins left="0" right="0" top="0.3" bottom="0.17" header="0.3" footer="0.15"/>
  <pageSetup paperSize="5" scale="68" orientation="landscape" cellComments="atEnd" r:id="rId1"/>
  <headerFooter alignWithMargins="0">
    <oddHeader xml:space="preserve">&amp;C&amp;"Arial,Bold"
</oddHeader>
    <oddFooter>&amp;Rpage 1 of 11
&amp;A
&amp;D  &amp;T</oddFooter>
  </headerFooter>
  <customProperties>
    <customPr name="_pios_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pageSetUpPr fitToPage="1"/>
  </sheetPr>
  <dimension ref="A2:P30"/>
  <sheetViews>
    <sheetView zoomScaleNormal="100" zoomScaleSheetLayoutView="100" workbookViewId="0">
      <selection activeCell="F36" sqref="F36"/>
    </sheetView>
  </sheetViews>
  <sheetFormatPr defaultColWidth="9.26953125" defaultRowHeight="12.5"/>
  <cols>
    <col min="1" max="1" width="33.54296875" customWidth="1"/>
    <col min="2" max="2" width="9" customWidth="1"/>
    <col min="3" max="3" width="10.453125" customWidth="1"/>
    <col min="4" max="4" width="9" customWidth="1"/>
    <col min="5" max="9" width="10.54296875" customWidth="1"/>
    <col min="10" max="10" width="11.54296875" customWidth="1"/>
    <col min="11" max="11" width="10.54296875" customWidth="1"/>
    <col min="12" max="12" width="10.7265625" customWidth="1"/>
    <col min="13" max="13" width="10.26953125" customWidth="1"/>
    <col min="14" max="14" width="18.7265625" style="154" customWidth="1"/>
    <col min="15" max="15" width="149.54296875" customWidth="1"/>
  </cols>
  <sheetData>
    <row r="2" spans="1:16" ht="13">
      <c r="A2" s="38"/>
      <c r="H2" s="149" t="s">
        <v>39</v>
      </c>
      <c r="N2" s="381"/>
    </row>
    <row r="3" spans="1:16" ht="13">
      <c r="E3" s="382"/>
      <c r="H3" s="152" t="str">
        <f>'Program MW '!H3</f>
        <v>September 2020</v>
      </c>
      <c r="N3" s="381"/>
    </row>
    <row r="4" spans="1:16">
      <c r="E4" s="151"/>
      <c r="F4" s="151"/>
      <c r="G4" s="151"/>
      <c r="I4" s="151"/>
      <c r="N4" s="381"/>
    </row>
    <row r="5" spans="1:16" ht="13">
      <c r="B5" s="151"/>
      <c r="C5" s="151"/>
      <c r="D5" s="151"/>
      <c r="F5" s="150"/>
      <c r="N5" s="381"/>
      <c r="O5" s="41"/>
    </row>
    <row r="6" spans="1:16" ht="13">
      <c r="F6" s="150"/>
      <c r="N6" s="381"/>
    </row>
    <row r="7" spans="1:16" ht="13.5" customHeight="1">
      <c r="A7" s="675" t="s">
        <v>74</v>
      </c>
      <c r="B7" s="676"/>
      <c r="C7" s="676"/>
      <c r="D7" s="676"/>
      <c r="E7" s="676"/>
      <c r="F7" s="676"/>
      <c r="G7" s="676"/>
      <c r="H7" s="676"/>
      <c r="I7" s="676"/>
      <c r="J7" s="676"/>
      <c r="K7" s="676"/>
      <c r="L7" s="676"/>
      <c r="M7" s="676"/>
      <c r="N7" s="677"/>
      <c r="O7" s="432"/>
    </row>
    <row r="8" spans="1:16" ht="38.25" customHeight="1">
      <c r="A8" s="40" t="s">
        <v>1</v>
      </c>
      <c r="B8" s="484" t="s">
        <v>41</v>
      </c>
      <c r="C8" s="484" t="s">
        <v>42</v>
      </c>
      <c r="D8" s="484" t="s">
        <v>43</v>
      </c>
      <c r="E8" s="484" t="s">
        <v>44</v>
      </c>
      <c r="F8" s="484" t="s">
        <v>31</v>
      </c>
      <c r="G8" s="484" t="s">
        <v>45</v>
      </c>
      <c r="H8" s="484" t="s">
        <v>60</v>
      </c>
      <c r="I8" s="484" t="s">
        <v>75</v>
      </c>
      <c r="J8" s="484" t="s">
        <v>76</v>
      </c>
      <c r="K8" s="484" t="s">
        <v>62</v>
      </c>
      <c r="L8" s="484" t="s">
        <v>77</v>
      </c>
      <c r="M8" s="484" t="s">
        <v>63</v>
      </c>
      <c r="N8" s="482" t="s">
        <v>78</v>
      </c>
      <c r="O8" s="287" t="s">
        <v>79</v>
      </c>
    </row>
    <row r="9" spans="1:16" ht="75.75" customHeight="1">
      <c r="A9" s="488" t="s">
        <v>8</v>
      </c>
      <c r="B9" s="489">
        <v>162.31</v>
      </c>
      <c r="C9" s="489">
        <v>108.46</v>
      </c>
      <c r="D9" s="489">
        <v>180.98283386230469</v>
      </c>
      <c r="E9" s="489">
        <v>161.99583435058594</v>
      </c>
      <c r="F9" s="489">
        <v>155.74085998535156</v>
      </c>
      <c r="G9" s="489">
        <v>192.36225891113281</v>
      </c>
      <c r="H9" s="489">
        <v>179.84880065917969</v>
      </c>
      <c r="I9" s="489">
        <v>178.48367309570313</v>
      </c>
      <c r="J9" s="489">
        <v>201.29342651367188</v>
      </c>
      <c r="K9" s="489">
        <v>165.90431213378906</v>
      </c>
      <c r="L9" s="489">
        <v>192.29792785644531</v>
      </c>
      <c r="M9" s="489">
        <v>120.63761901855469</v>
      </c>
      <c r="N9" s="490">
        <v>5432</v>
      </c>
      <c r="O9" s="489">
        <v>192.29792785644531</v>
      </c>
      <c r="P9" s="489">
        <v>120.63761901855469</v>
      </c>
    </row>
    <row r="10" spans="1:16" ht="75.75" customHeight="1">
      <c r="A10" s="491" t="s">
        <v>11</v>
      </c>
      <c r="B10" s="492">
        <v>0</v>
      </c>
      <c r="C10" s="492">
        <v>0</v>
      </c>
      <c r="D10" s="489">
        <v>0.14194809999999999</v>
      </c>
      <c r="E10" s="489">
        <v>0.13864950000000001</v>
      </c>
      <c r="F10" s="489">
        <v>0.13789029999999999</v>
      </c>
      <c r="G10" s="489">
        <v>0.13834830000000001</v>
      </c>
      <c r="H10" s="489">
        <v>0.27215230000000001</v>
      </c>
      <c r="I10" s="489">
        <v>0.1538371</v>
      </c>
      <c r="J10" s="489">
        <v>0.36014620000000003</v>
      </c>
      <c r="K10" s="489">
        <v>5.8280699999999998E-2</v>
      </c>
      <c r="L10" s="489">
        <v>0.1392467</v>
      </c>
      <c r="M10" s="489">
        <v>0.14194809999999999</v>
      </c>
      <c r="N10" s="493">
        <v>25707</v>
      </c>
      <c r="O10" s="475" t="s">
        <v>80</v>
      </c>
    </row>
    <row r="11" spans="1:16" ht="75.75" customHeight="1">
      <c r="A11" s="491" t="s">
        <v>17</v>
      </c>
      <c r="B11" s="492">
        <v>0</v>
      </c>
      <c r="C11" s="492">
        <v>0</v>
      </c>
      <c r="D11" s="489">
        <v>4.2860883695539087E-5</v>
      </c>
      <c r="E11" s="489">
        <v>8.4224827587604523E-2</v>
      </c>
      <c r="F11" s="489">
        <v>0.13438957929611206</v>
      </c>
      <c r="G11" s="489">
        <v>0.1173381507396698</v>
      </c>
      <c r="H11" s="489">
        <v>0.226332888007164</v>
      </c>
      <c r="I11" s="489">
        <v>0.30583557486534119</v>
      </c>
      <c r="J11" s="489">
        <v>0.37461391091346741</v>
      </c>
      <c r="K11" s="489">
        <v>0.2077384740114212</v>
      </c>
      <c r="L11" s="489">
        <v>2.7512801811099052E-2</v>
      </c>
      <c r="M11" s="489">
        <v>5.2312357183836866E-6</v>
      </c>
      <c r="N11" s="494">
        <v>718570</v>
      </c>
      <c r="O11" s="475" t="s">
        <v>81</v>
      </c>
    </row>
    <row r="12" spans="1:16" ht="75.75" customHeight="1">
      <c r="A12" s="491" t="s">
        <v>20</v>
      </c>
      <c r="B12" s="492">
        <v>0</v>
      </c>
      <c r="C12" s="492">
        <v>0</v>
      </c>
      <c r="D12" s="489">
        <v>1.7975203227251768E-3</v>
      </c>
      <c r="E12" s="489">
        <v>0.19116482138633728</v>
      </c>
      <c r="F12" s="489">
        <v>0.27700892090797424</v>
      </c>
      <c r="G12" s="489">
        <v>0.25767529010772705</v>
      </c>
      <c r="H12" s="489">
        <v>0.44397249817848206</v>
      </c>
      <c r="I12" s="489">
        <v>0.5556635856628418</v>
      </c>
      <c r="J12" s="489">
        <v>0.62934333086013794</v>
      </c>
      <c r="K12" s="489">
        <v>0.39233207702636719</v>
      </c>
      <c r="L12" s="489">
        <v>7.7378332614898682E-2</v>
      </c>
      <c r="M12" s="489">
        <v>1.5116055146791041E-4</v>
      </c>
      <c r="N12" s="494">
        <v>133178</v>
      </c>
      <c r="O12" s="475" t="s">
        <v>82</v>
      </c>
    </row>
    <row r="13" spans="1:16" ht="75.75" customHeight="1">
      <c r="A13" s="491" t="s">
        <v>21</v>
      </c>
      <c r="B13" s="495">
        <v>0</v>
      </c>
      <c r="C13" s="495">
        <v>0</v>
      </c>
      <c r="D13" s="489">
        <v>0</v>
      </c>
      <c r="E13" s="489">
        <v>0</v>
      </c>
      <c r="F13" s="489">
        <v>3.3419200000000003E-2</v>
      </c>
      <c r="G13" s="489">
        <v>2.9521E-3</v>
      </c>
      <c r="H13" s="489">
        <v>0.15266479999999999</v>
      </c>
      <c r="I13" s="489">
        <v>0.23155020000000001</v>
      </c>
      <c r="J13" s="489">
        <v>0.28352430000000001</v>
      </c>
      <c r="K13" s="489">
        <v>0.152222</v>
      </c>
      <c r="L13" s="489">
        <v>0</v>
      </c>
      <c r="M13" s="489">
        <v>0</v>
      </c>
      <c r="N13" s="494">
        <v>718570</v>
      </c>
      <c r="O13" s="475" t="s">
        <v>83</v>
      </c>
    </row>
    <row r="14" spans="1:16" ht="75.75" customHeight="1">
      <c r="A14" s="491" t="s">
        <v>23</v>
      </c>
      <c r="B14" s="495">
        <v>0</v>
      </c>
      <c r="C14" s="495">
        <v>0</v>
      </c>
      <c r="D14" s="489">
        <v>0</v>
      </c>
      <c r="E14" s="489">
        <v>5.43369E-2</v>
      </c>
      <c r="F14" s="489">
        <v>7.7479800000000001E-2</v>
      </c>
      <c r="G14" s="489">
        <v>5.96362E-2</v>
      </c>
      <c r="H14" s="489">
        <v>0.122186</v>
      </c>
      <c r="I14" s="489">
        <v>0.14931810000000001</v>
      </c>
      <c r="J14" s="489">
        <v>0.17929719999999999</v>
      </c>
      <c r="K14" s="489">
        <v>0.1209597</v>
      </c>
      <c r="L14" s="489">
        <v>0</v>
      </c>
      <c r="M14" s="489">
        <v>0</v>
      </c>
      <c r="N14" s="494">
        <v>133178</v>
      </c>
      <c r="O14" s="475" t="s">
        <v>84</v>
      </c>
    </row>
    <row r="15" spans="1:16" ht="75.75" customHeight="1">
      <c r="A15" s="491" t="s">
        <v>24</v>
      </c>
      <c r="B15" s="495">
        <v>0</v>
      </c>
      <c r="C15" s="495">
        <v>0</v>
      </c>
      <c r="D15" s="489">
        <v>0</v>
      </c>
      <c r="E15" s="489">
        <v>0</v>
      </c>
      <c r="F15" s="489">
        <v>18.7</v>
      </c>
      <c r="G15" s="489">
        <v>18.964878354203936</v>
      </c>
      <c r="H15" s="489">
        <v>18.703567799642219</v>
      </c>
      <c r="I15" s="489">
        <v>18.703567799642219</v>
      </c>
      <c r="J15" s="489">
        <v>18.703567799642219</v>
      </c>
      <c r="K15" s="489">
        <v>18.703567799642219</v>
      </c>
      <c r="L15" s="489">
        <v>0</v>
      </c>
      <c r="M15" s="489">
        <v>0</v>
      </c>
      <c r="N15" s="493">
        <v>15648</v>
      </c>
      <c r="O15" s="475" t="s">
        <v>85</v>
      </c>
    </row>
    <row r="16" spans="1:16" ht="75.75" customHeight="1">
      <c r="A16" s="491" t="s">
        <v>25</v>
      </c>
      <c r="B16" s="495">
        <v>0</v>
      </c>
      <c r="C16" s="495">
        <v>0</v>
      </c>
      <c r="D16" s="489">
        <v>0</v>
      </c>
      <c r="E16" s="489">
        <v>0</v>
      </c>
      <c r="F16" s="489">
        <v>17.017444903058085</v>
      </c>
      <c r="G16" s="489">
        <v>17.017444903058085</v>
      </c>
      <c r="H16" s="489">
        <v>17.017444903058085</v>
      </c>
      <c r="I16" s="489">
        <v>17.017444903058085</v>
      </c>
      <c r="J16" s="489">
        <v>17.017444903058085</v>
      </c>
      <c r="K16" s="489">
        <v>17.017444903058085</v>
      </c>
      <c r="L16" s="489">
        <v>0</v>
      </c>
      <c r="M16" s="489">
        <v>0</v>
      </c>
      <c r="N16" s="493">
        <v>972</v>
      </c>
      <c r="O16" s="475" t="s">
        <v>85</v>
      </c>
    </row>
    <row r="17" spans="1:15" ht="75.75" customHeight="1">
      <c r="A17" s="491" t="s">
        <v>27</v>
      </c>
      <c r="B17" s="492">
        <v>0.04</v>
      </c>
      <c r="C17" s="492">
        <v>0.04</v>
      </c>
      <c r="D17" s="489">
        <v>1.2769445776939392E-2</v>
      </c>
      <c r="E17" s="489">
        <v>1.2058593332767487E-2</v>
      </c>
      <c r="F17" s="489">
        <v>1.969686895608902E-2</v>
      </c>
      <c r="G17" s="489">
        <v>0.16704349219799042</v>
      </c>
      <c r="H17" s="489">
        <v>0.19209551438689232</v>
      </c>
      <c r="I17" s="489">
        <v>0.20427533239126205</v>
      </c>
      <c r="J17" s="489">
        <v>0.21263467520475388</v>
      </c>
      <c r="K17" s="489">
        <v>0.18562242016196251</v>
      </c>
      <c r="L17" s="489">
        <v>2.9788941144943237E-2</v>
      </c>
      <c r="M17" s="489">
        <v>4.4293880462646484E-2</v>
      </c>
      <c r="N17" s="493">
        <v>1278202</v>
      </c>
      <c r="O17" s="475" t="s">
        <v>86</v>
      </c>
    </row>
    <row r="18" spans="1:15" ht="160.5" customHeight="1">
      <c r="A18" s="491" t="s">
        <v>26</v>
      </c>
      <c r="B18" s="492">
        <v>0.01</v>
      </c>
      <c r="C18" s="492">
        <v>0.01</v>
      </c>
      <c r="D18" s="489">
        <v>1.1465738527476788E-2</v>
      </c>
      <c r="E18" s="489">
        <v>1.3987943530082703E-2</v>
      </c>
      <c r="F18" s="489">
        <v>1.4786232262849808E-2</v>
      </c>
      <c r="G18" s="489">
        <v>1.5152087435126305E-2</v>
      </c>
      <c r="H18" s="489">
        <v>1.6949338838458061E-2</v>
      </c>
      <c r="I18" s="489">
        <v>1.7762394621968269E-2</v>
      </c>
      <c r="J18" s="489">
        <v>1.707758940756321E-2</v>
      </c>
      <c r="K18" s="489">
        <v>1.5507201664149761E-2</v>
      </c>
      <c r="L18" s="489">
        <v>1.2745589949190617E-2</v>
      </c>
      <c r="M18" s="489">
        <v>1.1460551060736179E-2</v>
      </c>
      <c r="N18" s="493">
        <v>119606</v>
      </c>
      <c r="O18" s="475" t="s">
        <v>87</v>
      </c>
    </row>
    <row r="19" spans="1:15" ht="50">
      <c r="A19" s="491" t="s">
        <v>56</v>
      </c>
      <c r="B19" s="492">
        <v>0</v>
      </c>
      <c r="C19" s="492">
        <v>0</v>
      </c>
      <c r="D19" s="489">
        <v>7.2695836424827576E-3</v>
      </c>
      <c r="E19" s="489">
        <v>3.580629825592041E-2</v>
      </c>
      <c r="F19" s="489">
        <v>4.6173933893442154E-2</v>
      </c>
      <c r="G19" s="489">
        <v>4.6004347503185272E-2</v>
      </c>
      <c r="H19" s="489">
        <v>6.6882669925689697E-2</v>
      </c>
      <c r="I19" s="489">
        <v>7.7819600701332092E-2</v>
      </c>
      <c r="J19" s="489">
        <v>7.6827466487884521E-2</v>
      </c>
      <c r="K19" s="489">
        <v>5.6665807962417603E-2</v>
      </c>
      <c r="L19" s="489">
        <v>2.0815497264266014E-2</v>
      </c>
      <c r="M19" s="489">
        <v>7.0209093391895294E-3</v>
      </c>
      <c r="N19" s="493">
        <v>2795</v>
      </c>
      <c r="O19" s="475" t="s">
        <v>88</v>
      </c>
    </row>
    <row r="20" spans="1:15" ht="51" customHeight="1">
      <c r="A20" s="488" t="s">
        <v>55</v>
      </c>
      <c r="B20" s="492">
        <v>0</v>
      </c>
      <c r="C20" s="492">
        <v>0</v>
      </c>
      <c r="D20" s="489">
        <v>0</v>
      </c>
      <c r="E20" s="489">
        <v>0</v>
      </c>
      <c r="F20" s="489">
        <v>13.16</v>
      </c>
      <c r="G20" s="489">
        <v>13.16</v>
      </c>
      <c r="H20" s="489">
        <v>13.16</v>
      </c>
      <c r="I20" s="489">
        <v>13.16</v>
      </c>
      <c r="J20" s="489">
        <v>13.16</v>
      </c>
      <c r="K20" s="489">
        <v>13.16</v>
      </c>
      <c r="L20" s="489">
        <v>0</v>
      </c>
      <c r="M20" s="489">
        <v>0</v>
      </c>
      <c r="N20" s="499">
        <v>3</v>
      </c>
      <c r="O20" s="475" t="s">
        <v>89</v>
      </c>
    </row>
    <row r="21" spans="1:15">
      <c r="A21" s="534"/>
      <c r="B21" s="535"/>
      <c r="C21" s="535"/>
      <c r="D21" s="535"/>
      <c r="E21" s="535"/>
      <c r="F21" s="535"/>
      <c r="G21" s="535"/>
      <c r="H21" s="535"/>
      <c r="I21" s="535"/>
      <c r="J21" s="535"/>
      <c r="K21" s="535"/>
      <c r="L21" s="535"/>
      <c r="M21" s="535"/>
      <c r="N21" s="537"/>
      <c r="O21" s="481"/>
    </row>
    <row r="22" spans="1:15" ht="14">
      <c r="A22" s="260" t="s">
        <v>66</v>
      </c>
      <c r="B22" s="383"/>
      <c r="C22" s="383"/>
      <c r="D22" s="383"/>
      <c r="E22" s="383"/>
      <c r="F22" s="384"/>
      <c r="G22" s="383"/>
      <c r="H22" s="384"/>
      <c r="I22" s="383"/>
      <c r="J22" s="383"/>
      <c r="K22" s="383"/>
      <c r="L22" s="383"/>
      <c r="M22" s="383"/>
      <c r="N22" s="381"/>
      <c r="O22" s="383"/>
    </row>
    <row r="23" spans="1:15" ht="18" customHeight="1">
      <c r="A23" s="674" t="s">
        <v>90</v>
      </c>
      <c r="B23" s="674"/>
      <c r="C23" s="674"/>
      <c r="D23" s="674"/>
      <c r="E23" s="674"/>
      <c r="F23" s="674"/>
      <c r="G23" s="674"/>
      <c r="H23" s="674"/>
      <c r="I23" s="674"/>
      <c r="J23" s="674"/>
      <c r="K23" s="674"/>
      <c r="L23" s="674"/>
      <c r="M23" s="674"/>
      <c r="N23" s="674"/>
      <c r="O23" s="674"/>
    </row>
    <row r="24" spans="1:15" ht="14">
      <c r="A24" s="678" t="s">
        <v>91</v>
      </c>
      <c r="B24" s="679"/>
      <c r="C24" s="679"/>
      <c r="D24" s="679"/>
      <c r="E24" s="679"/>
      <c r="F24" s="679"/>
      <c r="G24" s="679"/>
      <c r="H24" s="679"/>
      <c r="I24" s="679"/>
      <c r="J24" s="679"/>
      <c r="K24" s="679"/>
      <c r="L24" s="679"/>
      <c r="M24" s="679"/>
      <c r="N24" s="679"/>
      <c r="O24" s="679"/>
    </row>
    <row r="25" spans="1:15" ht="14">
      <c r="A25" s="678" t="s">
        <v>92</v>
      </c>
      <c r="B25" s="679"/>
      <c r="C25" s="679"/>
      <c r="D25" s="679"/>
      <c r="E25" s="679"/>
      <c r="F25" s="679"/>
      <c r="G25" s="679"/>
      <c r="H25" s="679"/>
      <c r="I25" s="679"/>
      <c r="J25" s="679"/>
      <c r="K25" s="679"/>
      <c r="L25" s="679"/>
      <c r="M25" s="679"/>
      <c r="N25" s="679"/>
      <c r="O25" s="477"/>
    </row>
    <row r="26" spans="1:15" ht="14">
      <c r="A26" s="486" t="s">
        <v>93</v>
      </c>
      <c r="B26" s="477"/>
      <c r="C26" s="477"/>
      <c r="D26" s="477"/>
      <c r="E26" s="477"/>
      <c r="F26" s="477"/>
      <c r="N26"/>
    </row>
    <row r="27" spans="1:15" s="151" customFormat="1" ht="14">
      <c r="A27" s="487" t="s">
        <v>94</v>
      </c>
      <c r="B27" s="477"/>
      <c r="C27" s="477"/>
      <c r="D27" s="477"/>
      <c r="E27" s="477"/>
      <c r="F27" s="477"/>
      <c r="G27" s="477"/>
      <c r="H27" s="477"/>
      <c r="I27" s="477"/>
      <c r="J27" s="477"/>
      <c r="K27" s="477"/>
      <c r="L27" s="477"/>
      <c r="M27" s="477"/>
      <c r="N27" s="477"/>
      <c r="O27" s="477"/>
    </row>
    <row r="28" spans="1:15" ht="14">
      <c r="A28" s="680" t="s">
        <v>95</v>
      </c>
      <c r="B28" s="681"/>
      <c r="C28" s="681"/>
      <c r="D28" s="681"/>
      <c r="E28" s="681"/>
      <c r="F28" s="681"/>
      <c r="G28" s="681"/>
      <c r="H28" s="681"/>
      <c r="I28" s="681"/>
      <c r="J28" s="681"/>
      <c r="K28" s="681"/>
      <c r="L28" s="681"/>
      <c r="M28" s="681"/>
      <c r="N28" s="681"/>
      <c r="O28" s="496" t="s">
        <v>96</v>
      </c>
    </row>
    <row r="29" spans="1:15" ht="14">
      <c r="A29" s="588"/>
      <c r="B29" s="500"/>
      <c r="C29" s="500"/>
      <c r="D29" s="500"/>
      <c r="E29" s="500"/>
      <c r="F29" s="500"/>
      <c r="G29" s="500"/>
      <c r="H29" s="500"/>
      <c r="I29" s="500"/>
      <c r="J29" s="500"/>
      <c r="K29" s="500"/>
      <c r="L29" s="500"/>
      <c r="M29" s="500"/>
      <c r="N29" s="500"/>
      <c r="O29" s="500"/>
    </row>
    <row r="30" spans="1:15" ht="14">
      <c r="A30" s="243" t="s">
        <v>73</v>
      </c>
      <c r="N30" s="381"/>
    </row>
  </sheetData>
  <mergeCells count="5">
    <mergeCell ref="A7:N7"/>
    <mergeCell ref="A25:N25"/>
    <mergeCell ref="A28:N28"/>
    <mergeCell ref="A24:O24"/>
    <mergeCell ref="A23:O23"/>
  </mergeCells>
  <phoneticPr fontId="42" type="noConversion"/>
  <printOptions horizontalCentered="1"/>
  <pageMargins left="0" right="0" top="0.55000000000000004" bottom="0.17" header="0.3" footer="0.15"/>
  <pageSetup paperSize="5" scale="54" orientation="landscape" cellComments="atEnd" r:id="rId1"/>
  <headerFooter alignWithMargins="0">
    <oddHeader xml:space="preserve">&amp;C&amp;"Arial,Bold"
</oddHeader>
    <oddFooter>&amp;Rpage 2 of 11
&amp;A
&amp;D</oddFooter>
  </headerFooter>
  <customProperties>
    <customPr name="_pios_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Z55"/>
  <sheetViews>
    <sheetView showGridLines="0" showRuler="0" zoomScaleNormal="100" zoomScaleSheetLayoutView="100" workbookViewId="0">
      <selection activeCell="A14" sqref="A14"/>
    </sheetView>
  </sheetViews>
  <sheetFormatPr defaultColWidth="9.26953125" defaultRowHeight="40.5" customHeight="1"/>
  <cols>
    <col min="1" max="1" width="35" customWidth="1"/>
    <col min="2" max="9" width="10.7265625" customWidth="1"/>
    <col min="10" max="10" width="11.453125" customWidth="1"/>
    <col min="11" max="13" width="10.7265625" customWidth="1"/>
    <col min="14" max="14" width="14.26953125" style="205" bestFit="1" customWidth="1"/>
    <col min="15" max="15" width="149.54296875" customWidth="1"/>
  </cols>
  <sheetData>
    <row r="1" spans="1:16" ht="12.5">
      <c r="N1" s="385"/>
    </row>
    <row r="2" spans="1:16" ht="13">
      <c r="H2" s="149" t="s">
        <v>39</v>
      </c>
      <c r="N2" s="385"/>
    </row>
    <row r="3" spans="1:16" ht="13">
      <c r="H3" s="202" t="str">
        <f>'Program MW '!H3</f>
        <v>September 2020</v>
      </c>
      <c r="N3" s="385"/>
    </row>
    <row r="4" spans="1:16" ht="12.5">
      <c r="F4" s="151"/>
      <c r="G4" s="151"/>
      <c r="I4" s="151"/>
      <c r="N4" s="385"/>
      <c r="O4" s="41"/>
    </row>
    <row r="5" spans="1:16" ht="13">
      <c r="B5" s="151"/>
      <c r="C5" s="151"/>
      <c r="D5" s="151"/>
      <c r="F5" s="149"/>
      <c r="N5" s="385"/>
    </row>
    <row r="6" spans="1:16" ht="13">
      <c r="F6" s="149"/>
      <c r="N6" s="385"/>
    </row>
    <row r="7" spans="1:16" ht="22.5" customHeight="1">
      <c r="A7" s="682" t="s">
        <v>97</v>
      </c>
      <c r="B7" s="683"/>
      <c r="C7" s="683"/>
      <c r="D7" s="683"/>
      <c r="E7" s="683"/>
      <c r="F7" s="683"/>
      <c r="G7" s="683"/>
      <c r="H7" s="683"/>
      <c r="I7" s="683"/>
      <c r="J7" s="683"/>
      <c r="K7" s="683"/>
      <c r="L7" s="683"/>
      <c r="M7" s="683"/>
      <c r="N7" s="684"/>
      <c r="O7" s="39"/>
    </row>
    <row r="8" spans="1:16" ht="40.5" customHeight="1">
      <c r="A8" s="40" t="s">
        <v>1</v>
      </c>
      <c r="B8" s="484" t="s">
        <v>41</v>
      </c>
      <c r="C8" s="484" t="s">
        <v>42</v>
      </c>
      <c r="D8" s="484" t="s">
        <v>43</v>
      </c>
      <c r="E8" s="484" t="s">
        <v>44</v>
      </c>
      <c r="F8" s="484" t="s">
        <v>31</v>
      </c>
      <c r="G8" s="484" t="s">
        <v>45</v>
      </c>
      <c r="H8" s="484" t="s">
        <v>60</v>
      </c>
      <c r="I8" s="484" t="s">
        <v>75</v>
      </c>
      <c r="J8" s="484" t="s">
        <v>76</v>
      </c>
      <c r="K8" s="484" t="s">
        <v>62</v>
      </c>
      <c r="L8" s="484" t="s">
        <v>77</v>
      </c>
      <c r="M8" s="484" t="s">
        <v>63</v>
      </c>
      <c r="N8" s="483" t="str">
        <f>'Ex ante LI &amp; Eligibility Stats'!N8:N8</f>
        <v>Eligible Accounts as of January</v>
      </c>
      <c r="O8" s="287" t="s">
        <v>79</v>
      </c>
    </row>
    <row r="9" spans="1:16" ht="75.75" customHeight="1">
      <c r="A9" s="488" t="s">
        <v>8</v>
      </c>
      <c r="B9" s="489">
        <v>378.93</v>
      </c>
      <c r="C9" s="489">
        <v>378.93</v>
      </c>
      <c r="D9" s="489">
        <v>573.46600341796875</v>
      </c>
      <c r="E9" s="489">
        <v>573.46600341796875</v>
      </c>
      <c r="F9" s="489">
        <v>573.46600341796875</v>
      </c>
      <c r="G9" s="489">
        <v>573.46600341796875</v>
      </c>
      <c r="H9" s="489">
        <v>573.46600341796875</v>
      </c>
      <c r="I9" s="489">
        <v>573.46600341796875</v>
      </c>
      <c r="J9" s="489">
        <v>573.46600341796875</v>
      </c>
      <c r="K9" s="489">
        <v>573.46600341796875</v>
      </c>
      <c r="L9" s="489">
        <v>573.46600341796875</v>
      </c>
      <c r="M9" s="489">
        <v>573.46600341796875</v>
      </c>
      <c r="N9" s="497">
        <v>5432</v>
      </c>
      <c r="O9" s="489">
        <v>573.46600341796875</v>
      </c>
      <c r="P9" s="489">
        <v>573.46600341796875</v>
      </c>
    </row>
    <row r="10" spans="1:16" ht="75.75" customHeight="1">
      <c r="A10" s="491" t="s">
        <v>11</v>
      </c>
      <c r="B10" s="492">
        <v>0.73</v>
      </c>
      <c r="C10" s="492">
        <v>0.73</v>
      </c>
      <c r="D10" s="489">
        <v>0.73</v>
      </c>
      <c r="E10" s="489">
        <v>0.73</v>
      </c>
      <c r="F10" s="489">
        <v>0.73</v>
      </c>
      <c r="G10" s="489">
        <v>0.73</v>
      </c>
      <c r="H10" s="489">
        <v>0.73</v>
      </c>
      <c r="I10" s="489">
        <v>0.73</v>
      </c>
      <c r="J10" s="489">
        <v>0.73</v>
      </c>
      <c r="K10" s="489">
        <v>0.73</v>
      </c>
      <c r="L10" s="489">
        <v>0.73</v>
      </c>
      <c r="M10" s="489">
        <v>0.73</v>
      </c>
      <c r="N10" s="494">
        <v>25707</v>
      </c>
      <c r="O10" s="288" t="str">
        <f>+'Ex ante LI &amp; Eligibility Stats'!O10</f>
        <v>This Schedule is the default commodity rate for customers currently receiving bundled utility service on a commercial/industrial rate schedule for customers whose Maximum Monthly Demand is equal to or exceeds or is expected to equal or exceed 20 kW for twelve consecutive months. This Schedule is not applicable to Direct Access (DA) or Community Choice Aggregation (CCA) customers.</v>
      </c>
    </row>
    <row r="11" spans="1:16" ht="75.75" customHeight="1">
      <c r="A11" s="491" t="s">
        <v>17</v>
      </c>
      <c r="B11" s="492">
        <v>0.16</v>
      </c>
      <c r="C11" s="492">
        <v>0.16</v>
      </c>
      <c r="D11" s="489">
        <v>0.22</v>
      </c>
      <c r="E11" s="489">
        <v>0.22</v>
      </c>
      <c r="F11" s="489">
        <v>0.22</v>
      </c>
      <c r="G11" s="489">
        <v>0.22</v>
      </c>
      <c r="H11" s="489">
        <v>0.22</v>
      </c>
      <c r="I11" s="489">
        <v>0.22</v>
      </c>
      <c r="J11" s="489">
        <v>0.22</v>
      </c>
      <c r="K11" s="489">
        <v>0.22</v>
      </c>
      <c r="L11" s="489">
        <v>0.22</v>
      </c>
      <c r="M11" s="489">
        <v>0.22</v>
      </c>
      <c r="N11" s="494">
        <v>718570</v>
      </c>
      <c r="O11" s="288" t="str">
        <f>+'Ex ante LI &amp; Eligibility Stats'!O11</f>
        <v>AC Saver Day Ahead (thermostats) is a voluntary demand response program available to all residential customers with air conditioner (AC) units installed at their premise with SDG&amp;E approved technology capable of curtailing the customers’ AC unit. Residential customers with Net Energy Metering are not eligible for this schedule. This schedule is available to customers receiving Bundled Utility Service or, Direct Access (DA) service and billed by the Utility. Service on this schedule must be taken in combination with the customer’s otherwise applicable rate schedule. Note: AC Saver Day Of in the past we used 65% based on historical RASS data - growth between 2003-2009 and estimate growth from until 2020.</v>
      </c>
    </row>
    <row r="12" spans="1:16" ht="75.75" customHeight="1">
      <c r="A12" s="491" t="s">
        <v>20</v>
      </c>
      <c r="B12" s="492">
        <v>0.47</v>
      </c>
      <c r="C12" s="492">
        <v>0.47</v>
      </c>
      <c r="D12" s="489">
        <v>0.36</v>
      </c>
      <c r="E12" s="489">
        <v>0.36</v>
      </c>
      <c r="F12" s="489">
        <v>0.36</v>
      </c>
      <c r="G12" s="489">
        <v>0.36</v>
      </c>
      <c r="H12" s="489">
        <v>0.36</v>
      </c>
      <c r="I12" s="489">
        <v>0.36</v>
      </c>
      <c r="J12" s="489">
        <v>0.36</v>
      </c>
      <c r="K12" s="489">
        <v>0.36</v>
      </c>
      <c r="L12" s="489">
        <v>0.36</v>
      </c>
      <c r="M12" s="489">
        <v>0.36</v>
      </c>
      <c r="N12" s="494">
        <v>133178</v>
      </c>
      <c r="O12" s="288" t="str">
        <f>+'Ex ante LI &amp; Eligibility Stats'!O12</f>
        <v>AC Saver Day Ahead (thermostats) is a voluntary demand response program available to all commercial customers with air conditioner (AC) units installed at their premise with SDG&amp;E approved technology capable of curtailing the customers’ AC unit. This schedule is available to customers receiving Bundled Utility Service or, Direct Access (DA) service and billed by the Utility. Service on this schedule must be taken in combination with the customer’s otherwise applicable rate schedule. Note: AC Saver Day Of we used 85% based on commercial estimates.</v>
      </c>
    </row>
    <row r="13" spans="1:16" ht="75.75" customHeight="1">
      <c r="A13" s="491" t="s">
        <v>21</v>
      </c>
      <c r="B13" s="492">
        <v>0.25</v>
      </c>
      <c r="C13" s="492">
        <v>0.25</v>
      </c>
      <c r="D13" s="489">
        <v>0.11</v>
      </c>
      <c r="E13" s="489">
        <v>0.11</v>
      </c>
      <c r="F13" s="489">
        <v>0.11</v>
      </c>
      <c r="G13" s="489">
        <v>0.11</v>
      </c>
      <c r="H13" s="489">
        <v>0.11</v>
      </c>
      <c r="I13" s="489">
        <v>0.11</v>
      </c>
      <c r="J13" s="489">
        <v>0.11</v>
      </c>
      <c r="K13" s="489">
        <v>0.11</v>
      </c>
      <c r="L13" s="489">
        <v>0.11</v>
      </c>
      <c r="M13" s="489">
        <v>0.11</v>
      </c>
      <c r="N13" s="494">
        <v>718570</v>
      </c>
      <c r="O13" s="288" t="str">
        <f>+'Ex ante LI &amp; Eligibility Stats'!O13</f>
        <v>AC Saver is a voluntary demand response program available to all residential customers with air conditioner (AC) units installed at their premise with SDG&amp;E approved technology capable of curtailing the customers’ AC unit. Residential customers with Net Energy Metering are not eligible for this schedule. This schedule is available to customers receiving Bundled Utility Service or, Direct Access (DA) service and billed by the Utility. Service on this schedule must be taken in combination with the customer’s otherwise applicable rate schedule. Note: AC Saver Day Of in the past we used 65% based on historical RASS data - growth between 2003-2009 and estimate growth from until 2020.</v>
      </c>
    </row>
    <row r="14" spans="1:16" ht="75.75" customHeight="1">
      <c r="A14" s="491" t="s">
        <v>23</v>
      </c>
      <c r="B14" s="492">
        <v>0.12</v>
      </c>
      <c r="C14" s="492">
        <v>0.12</v>
      </c>
      <c r="D14" s="489">
        <v>0.09</v>
      </c>
      <c r="E14" s="489">
        <v>0.09</v>
      </c>
      <c r="F14" s="489">
        <v>0.09</v>
      </c>
      <c r="G14" s="489">
        <v>0.09</v>
      </c>
      <c r="H14" s="489">
        <v>0.09</v>
      </c>
      <c r="I14" s="489">
        <v>0.09</v>
      </c>
      <c r="J14" s="489">
        <v>0.09</v>
      </c>
      <c r="K14" s="489">
        <v>0.09</v>
      </c>
      <c r="L14" s="489">
        <v>0.09</v>
      </c>
      <c r="M14" s="489">
        <v>0.09</v>
      </c>
      <c r="N14" s="494">
        <v>133178</v>
      </c>
      <c r="O14" s="288" t="str">
        <f>+'Ex ante LI &amp; Eligibility Stats'!O14</f>
        <v>AC Saver Day Of (switches) is a voluntary demand response program available to all commercial customers with air conditioner (AC) units installed at their premise with SDG&amp;E approved technology capable of curtailing the customers’ AC unit. This schedule is available to customers receiving Bundled Utility Service or, Direct Access (DA) service and billed by the Utility. Service on this schedule must be taken in combination with the customer’s otherwise applicable rate schedule. Note: AC Saver Day Of we used 85% based on commercial estimates</v>
      </c>
    </row>
    <row r="15" spans="1:16" ht="75.75" customHeight="1">
      <c r="A15" s="491" t="s">
        <v>24</v>
      </c>
      <c r="B15" s="492">
        <v>6.95</v>
      </c>
      <c r="C15" s="492">
        <v>6.95</v>
      </c>
      <c r="D15" s="489">
        <v>26.3</v>
      </c>
      <c r="E15" s="489">
        <v>26.3</v>
      </c>
      <c r="F15" s="489">
        <v>26.3</v>
      </c>
      <c r="G15" s="489">
        <v>26.3</v>
      </c>
      <c r="H15" s="489">
        <v>26.3</v>
      </c>
      <c r="I15" s="489">
        <v>26.3</v>
      </c>
      <c r="J15" s="489">
        <v>26.3</v>
      </c>
      <c r="K15" s="489">
        <v>26.3</v>
      </c>
      <c r="L15" s="489">
        <v>26.3</v>
      </c>
      <c r="M15" s="489">
        <v>26.3</v>
      </c>
      <c r="N15" s="494">
        <v>15648</v>
      </c>
      <c r="O15" s="288" t="str">
        <f>+'Ex ante LI &amp; Eligibility Stats'!O15</f>
        <v xml:space="preserve">This schedule is available to commercial and industrial Utility customers receiving Bundled Utility service, Direct Access (“DA”) service or Community Choice Aggregation (“CCA”) service, and being billed on a Utility commercial, industrial or agricultural rate schedule. </v>
      </c>
    </row>
    <row r="16" spans="1:16" ht="75.75" customHeight="1">
      <c r="A16" s="491" t="s">
        <v>25</v>
      </c>
      <c r="B16" s="498">
        <v>18.59</v>
      </c>
      <c r="C16" s="498">
        <v>18.59</v>
      </c>
      <c r="D16" s="489">
        <v>19.600000000000001</v>
      </c>
      <c r="E16" s="489">
        <v>19.600000000000001</v>
      </c>
      <c r="F16" s="489">
        <v>19.600000000000001</v>
      </c>
      <c r="G16" s="489">
        <v>19.600000000000001</v>
      </c>
      <c r="H16" s="489">
        <v>19.600000000000001</v>
      </c>
      <c r="I16" s="489">
        <v>19.600000000000001</v>
      </c>
      <c r="J16" s="489">
        <v>19.600000000000001</v>
      </c>
      <c r="K16" s="489">
        <v>19.600000000000001</v>
      </c>
      <c r="L16" s="489">
        <v>19.600000000000001</v>
      </c>
      <c r="M16" s="489">
        <v>19.600000000000001</v>
      </c>
      <c r="N16" s="494">
        <v>972</v>
      </c>
      <c r="O16" s="288" t="str">
        <f>+'Ex ante LI &amp; Eligibility Stats'!O16</f>
        <v xml:space="preserve">This schedule is available to commercial and industrial Utility customers receiving Bundled Utility service, Direct Access (“DA”) service or Community Choice Aggregation (“CCA”) service, and being billed on a Utility commercial, industrial or agricultural rate schedule. </v>
      </c>
    </row>
    <row r="17" spans="1:26" ht="75.75" customHeight="1">
      <c r="A17" s="491" t="s">
        <v>27</v>
      </c>
      <c r="B17" s="489">
        <v>0.22</v>
      </c>
      <c r="C17" s="489">
        <v>0.22</v>
      </c>
      <c r="D17" s="489">
        <v>0.22</v>
      </c>
      <c r="E17" s="489">
        <v>0.22</v>
      </c>
      <c r="F17" s="489">
        <v>0.22</v>
      </c>
      <c r="G17" s="489">
        <v>0.22</v>
      </c>
      <c r="H17" s="489">
        <v>0.22</v>
      </c>
      <c r="I17" s="489">
        <v>0.22</v>
      </c>
      <c r="J17" s="489">
        <v>0.22</v>
      </c>
      <c r="K17" s="489">
        <v>0.22</v>
      </c>
      <c r="L17" s="489">
        <v>0.22</v>
      </c>
      <c r="M17" s="489">
        <v>0.22</v>
      </c>
      <c r="N17" s="494">
        <v>1278202</v>
      </c>
      <c r="O17" s="288" t="str">
        <f>+'Ex ante LI &amp; Eligibility Stats'!O17</f>
        <v xml:space="preserve">This optional tariff provides residential customers with the opportunity to manage their electric costs by either reducing load during high cost pricing periods defined as a Reduce Your Use (RYU) Event Day, or shifting load from high cost pricing periods to lower cost pricing periods. This Schedule is not applicable to commercial customers. This Schedule is not applicable to Direct Access (DA), Transitional Bundled Service (TBS) or Community Choice Aggregation (CCA) customers. </v>
      </c>
    </row>
    <row r="18" spans="1:26" ht="160.5" customHeight="1">
      <c r="A18" s="491" t="s">
        <v>26</v>
      </c>
      <c r="B18" s="492">
        <v>0.03</v>
      </c>
      <c r="C18" s="492">
        <v>0.03</v>
      </c>
      <c r="D18" s="489">
        <v>0.03</v>
      </c>
      <c r="E18" s="489">
        <v>0.03</v>
      </c>
      <c r="F18" s="489">
        <v>0.03</v>
      </c>
      <c r="G18" s="489">
        <v>0.03</v>
      </c>
      <c r="H18" s="489">
        <v>0.03</v>
      </c>
      <c r="I18" s="489">
        <v>0.03</v>
      </c>
      <c r="J18" s="489">
        <v>0.03</v>
      </c>
      <c r="K18" s="489">
        <v>0.03</v>
      </c>
      <c r="L18" s="489">
        <v>0.03</v>
      </c>
      <c r="M18" s="489">
        <v>0.03</v>
      </c>
      <c r="N18" s="494">
        <v>119606</v>
      </c>
      <c r="O18" s="476" t="str">
        <f>+'Ex ante LI &amp; Eligibility Stats'!O18</f>
        <v>This tariff provides commercial customers with the opportunity to manage their electric costs by either reducing load during high cost pricing periods defined as a Reduce Your Use (RYU) Event Day, or shifting load from high cost pricing periods to lower cost pricing periods. Except as set forth below, this Schedule is the default commodity rate for customers currently receiving bundled utility service on a small non-residential rate schedule; or a medium/large non-residential rate schedule with a Maximum Monthly Demand below 20 kW for three consecutive months. This Schedule is available to general service including lighting, appliances, heating, and power, or any combination thereof, including common use and whose facility is separately metered. In order for this Schedule to take effect, the customer must have a smart meter installed, tested, and verified according to Utility procedures. This Schedule is not applicable to any customer whose Maximum Monthly Demand equals, exceeds, or is expected to equal or exceed 20 kW for 12 consecutive months. This Schedule is available to customers with the Utility Distribution Company (UDC) service of Schedule TOU-A. This Schedule is optionally available to Expanded California Alternate Rates for Energy (CARE) customers. This Schedule is not applicable to residential customers, except for those three-phase residential customers taking service on this schedule as of April 12, 2007 who may remain on this Schedule while service continues in their name at the same service address. Those three-phase residential customers remaining on this Schedule who choose to switch to a residential rate schedule may not return to this Schedule. This Schedule is not applicable to Direct Access (DA), Transitional Bundled Service (TBS) or Community Choice Aggregation (CCA) customers.</v>
      </c>
    </row>
    <row r="19" spans="1:26" ht="66.75" customHeight="1">
      <c r="A19" s="491" t="s">
        <v>56</v>
      </c>
      <c r="B19" s="492">
        <v>1.73</v>
      </c>
      <c r="C19" s="492">
        <v>1.73</v>
      </c>
      <c r="D19" s="492">
        <v>1.73</v>
      </c>
      <c r="E19" s="492">
        <v>1.73</v>
      </c>
      <c r="F19" s="492">
        <v>1.73</v>
      </c>
      <c r="G19" s="492">
        <v>1.73</v>
      </c>
      <c r="H19" s="492">
        <v>1.73</v>
      </c>
      <c r="I19" s="492">
        <v>1.73</v>
      </c>
      <c r="J19" s="492">
        <v>1.73</v>
      </c>
      <c r="K19" s="492">
        <v>1.73</v>
      </c>
      <c r="L19" s="492">
        <v>1.73</v>
      </c>
      <c r="M19" s="492">
        <v>1.73</v>
      </c>
      <c r="N19" s="499">
        <v>2795</v>
      </c>
      <c r="O19" s="475" t="str">
        <f>+'Ex ante LI &amp; Eligibility Stats'!O19</f>
        <v>This Schedule is the standard Schedule for customers whose monthly maximum demand does not exceed 20kW for no more than 3 out of 12 consecutive months for general power service utilized to pump water, or in the production of agricultural products including feed choppers, milking machines, heaters for incubators, brooders, poultry house and flower production lighting, but excluding power service used for the processing of agricultural products, general or protective lighting, or domestic household uses. This schedule is available to agricultural and water pumping customers.</v>
      </c>
    </row>
    <row r="20" spans="1:26" ht="66.75" customHeight="1">
      <c r="A20" s="488" t="s">
        <v>55</v>
      </c>
      <c r="B20" s="492"/>
      <c r="C20" s="492"/>
      <c r="D20" s="492">
        <v>13.16</v>
      </c>
      <c r="E20" s="492">
        <v>13.16</v>
      </c>
      <c r="F20" s="492">
        <v>13.16</v>
      </c>
      <c r="G20" s="492">
        <v>13.16</v>
      </c>
      <c r="H20" s="492">
        <v>13.16</v>
      </c>
      <c r="I20" s="492">
        <v>13.16</v>
      </c>
      <c r="J20" s="492">
        <v>13.16</v>
      </c>
      <c r="K20" s="492">
        <v>13.16</v>
      </c>
      <c r="L20" s="492">
        <v>13.16</v>
      </c>
      <c r="M20" s="492">
        <v>13.16</v>
      </c>
      <c r="N20" s="499">
        <v>3</v>
      </c>
      <c r="O20" s="475" t="s">
        <v>89</v>
      </c>
    </row>
    <row r="21" spans="1:26" ht="23.25" customHeight="1">
      <c r="A21" s="534"/>
      <c r="B21" s="535"/>
      <c r="C21" s="535"/>
      <c r="D21" s="535"/>
      <c r="E21" s="535"/>
      <c r="F21" s="535"/>
      <c r="G21" s="535"/>
      <c r="H21" s="535"/>
      <c r="I21" s="535"/>
      <c r="J21" s="535"/>
      <c r="K21" s="535"/>
      <c r="L21" s="535"/>
      <c r="M21" s="535"/>
      <c r="N21" s="536"/>
      <c r="O21" s="481"/>
    </row>
    <row r="22" spans="1:26" ht="14">
      <c r="A22" s="685" t="s">
        <v>98</v>
      </c>
      <c r="B22" s="685"/>
      <c r="C22" s="685"/>
      <c r="D22" s="685"/>
      <c r="E22" s="685"/>
      <c r="F22" s="685"/>
      <c r="G22" s="685"/>
      <c r="H22" s="685"/>
      <c r="I22" s="685"/>
      <c r="J22" s="685"/>
      <c r="K22" s="685"/>
      <c r="L22" s="685"/>
      <c r="M22" s="685"/>
      <c r="N22" s="685"/>
      <c r="O22" s="685"/>
    </row>
    <row r="23" spans="1:26" s="10" customFormat="1" ht="18.75" customHeight="1">
      <c r="A23" s="674" t="s">
        <v>90</v>
      </c>
      <c r="B23" s="674"/>
      <c r="C23" s="674"/>
      <c r="D23" s="674"/>
      <c r="E23" s="674"/>
      <c r="F23" s="674"/>
      <c r="G23" s="674"/>
      <c r="H23" s="674"/>
      <c r="I23" s="674"/>
      <c r="J23" s="674"/>
      <c r="K23" s="674"/>
      <c r="L23" s="674"/>
      <c r="M23" s="674"/>
      <c r="N23" s="674"/>
      <c r="O23" s="674"/>
      <c r="P23" s="13"/>
      <c r="Q23" s="13"/>
      <c r="R23" s="13"/>
      <c r="S23" s="13"/>
      <c r="T23" s="147"/>
      <c r="U23" s="147"/>
      <c r="V23" s="147"/>
      <c r="W23" s="147"/>
      <c r="X23" s="147"/>
      <c r="Y23" s="147"/>
      <c r="Z23" s="147"/>
    </row>
    <row r="24" spans="1:26" ht="12.75" customHeight="1">
      <c r="A24" s="678" t="s">
        <v>99</v>
      </c>
      <c r="B24" s="679"/>
      <c r="C24" s="679"/>
      <c r="D24" s="679"/>
      <c r="E24" s="679"/>
      <c r="F24" s="679"/>
      <c r="G24" s="679"/>
      <c r="H24" s="679"/>
      <c r="I24" s="679"/>
      <c r="J24" s="679"/>
      <c r="K24" s="679"/>
      <c r="L24" s="679"/>
      <c r="M24" s="679"/>
      <c r="N24" s="679"/>
      <c r="O24" s="679"/>
    </row>
    <row r="25" spans="1:26" ht="12.75" customHeight="1">
      <c r="A25" s="678" t="s">
        <v>100</v>
      </c>
      <c r="B25" s="679"/>
      <c r="C25" s="679"/>
      <c r="D25" s="679"/>
      <c r="E25" s="679"/>
      <c r="F25" s="679"/>
      <c r="G25" s="679"/>
      <c r="H25" s="679"/>
      <c r="I25" s="679"/>
      <c r="J25" s="679"/>
      <c r="K25" s="679"/>
      <c r="L25" s="679"/>
      <c r="M25" s="679"/>
      <c r="N25" s="679"/>
      <c r="O25" s="679"/>
    </row>
    <row r="26" spans="1:26" s="10" customFormat="1" ht="14">
      <c r="A26" s="680" t="s">
        <v>95</v>
      </c>
      <c r="B26" s="681"/>
      <c r="C26" s="681"/>
      <c r="D26" s="681"/>
      <c r="E26" s="681"/>
      <c r="F26" s="681"/>
      <c r="G26" s="681"/>
      <c r="H26" s="681"/>
      <c r="I26" s="681"/>
      <c r="J26" s="681"/>
      <c r="K26" s="681"/>
      <c r="L26" s="681"/>
      <c r="M26" s="681"/>
      <c r="N26" s="681"/>
      <c r="O26" s="477"/>
      <c r="P26" s="13"/>
      <c r="Q26" s="13"/>
      <c r="R26" s="13"/>
      <c r="S26" s="13"/>
      <c r="T26" s="147"/>
      <c r="U26" s="147"/>
      <c r="V26" s="147"/>
      <c r="W26" s="147"/>
      <c r="X26" s="147"/>
      <c r="Y26" s="147"/>
      <c r="Z26" s="147"/>
    </row>
    <row r="27" spans="1:26" s="10" customFormat="1" ht="14">
      <c r="A27" s="680"/>
      <c r="B27" s="681"/>
      <c r="C27" s="681"/>
      <c r="D27" s="681"/>
      <c r="E27" s="681"/>
      <c r="F27" s="681"/>
      <c r="G27" s="681"/>
      <c r="H27" s="681"/>
      <c r="I27" s="681"/>
      <c r="J27" s="681"/>
      <c r="K27" s="681"/>
      <c r="L27" s="681"/>
      <c r="M27" s="681"/>
      <c r="N27" s="681"/>
      <c r="O27" s="477"/>
      <c r="P27" s="13"/>
      <c r="Q27" s="13"/>
      <c r="R27" s="13"/>
      <c r="S27" s="13"/>
      <c r="T27" s="147"/>
      <c r="U27" s="147"/>
      <c r="V27" s="147"/>
      <c r="W27" s="147"/>
      <c r="X27" s="147"/>
      <c r="Y27" s="147"/>
      <c r="Z27" s="147"/>
    </row>
    <row r="28" spans="1:26" ht="40.5" customHeight="1">
      <c r="A28" s="261" t="s">
        <v>73</v>
      </c>
      <c r="N28" s="385"/>
    </row>
    <row r="55" spans="1:1" ht="40.5" customHeight="1">
      <c r="A55" s="208"/>
    </row>
  </sheetData>
  <mergeCells count="7">
    <mergeCell ref="A7:N7"/>
    <mergeCell ref="A27:N27"/>
    <mergeCell ref="A22:O22"/>
    <mergeCell ref="A25:O25"/>
    <mergeCell ref="A24:O24"/>
    <mergeCell ref="A26:N26"/>
    <mergeCell ref="A23:O23"/>
  </mergeCells>
  <phoneticPr fontId="0" type="noConversion"/>
  <printOptions horizontalCentered="1"/>
  <pageMargins left="0" right="0" top="0" bottom="0" header="0.3" footer="0.15"/>
  <pageSetup paperSize="5" scale="50" orientation="landscape" cellComments="atEnd" r:id="rId1"/>
  <headerFooter alignWithMargins="0">
    <oddHeader xml:space="preserve">&amp;C&amp;"Arial,Bold"
</oddHeader>
    <oddFooter>&amp;Rpage 3 of 11
&amp;A
&amp;D</oddFooter>
  </headerFooter>
  <customProperties>
    <customPr name="_pios_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pageSetUpPr fitToPage="1"/>
  </sheetPr>
  <dimension ref="A1:Y60"/>
  <sheetViews>
    <sheetView topLeftCell="A26" zoomScale="80" zoomScaleNormal="80" zoomScaleSheetLayoutView="70" workbookViewId="0"/>
  </sheetViews>
  <sheetFormatPr defaultColWidth="9.26953125" defaultRowHeight="12.5"/>
  <cols>
    <col min="1" max="1" width="45.7265625" style="44" customWidth="1"/>
    <col min="2" max="4" width="10.7265625" style="44" customWidth="1"/>
    <col min="5" max="5" width="12.7265625" style="44" customWidth="1"/>
    <col min="6" max="8" width="10.54296875" style="44" customWidth="1"/>
    <col min="9" max="9" width="12.7265625" style="44" customWidth="1"/>
    <col min="10" max="12" width="10.7265625" style="44" customWidth="1"/>
    <col min="13" max="13" width="12.7265625" style="44" customWidth="1"/>
    <col min="14" max="16" width="10.7265625" style="44" customWidth="1"/>
    <col min="17" max="17" width="12.7265625" style="44" customWidth="1"/>
    <col min="18" max="20" width="10.7265625" style="44" customWidth="1"/>
    <col min="21" max="21" width="12.7265625" style="44" customWidth="1"/>
    <col min="22" max="24" width="10.7265625" style="44" customWidth="1"/>
    <col min="25" max="25" width="12.7265625" style="44" customWidth="1"/>
    <col min="26" max="16384" width="9.26953125" style="44"/>
  </cols>
  <sheetData>
    <row r="1" spans="1:25" ht="13">
      <c r="A1" s="43" t="s">
        <v>101</v>
      </c>
    </row>
    <row r="3" spans="1:25" ht="21.75" customHeight="1">
      <c r="A3" s="94">
        <v>2016</v>
      </c>
      <c r="B3" s="686" t="s">
        <v>41</v>
      </c>
      <c r="C3" s="686"/>
      <c r="D3" s="686"/>
      <c r="E3" s="686"/>
      <c r="F3" s="687" t="s">
        <v>42</v>
      </c>
      <c r="G3" s="687"/>
      <c r="H3" s="687"/>
      <c r="I3" s="687"/>
      <c r="J3" s="687" t="s">
        <v>43</v>
      </c>
      <c r="K3" s="687"/>
      <c r="L3" s="687"/>
      <c r="M3" s="687"/>
      <c r="N3" s="687" t="s">
        <v>44</v>
      </c>
      <c r="O3" s="687"/>
      <c r="P3" s="687"/>
      <c r="Q3" s="687"/>
      <c r="R3" s="687" t="s">
        <v>31</v>
      </c>
      <c r="S3" s="687"/>
      <c r="T3" s="687"/>
      <c r="U3" s="687"/>
      <c r="V3" s="687" t="s">
        <v>45</v>
      </c>
      <c r="W3" s="687"/>
      <c r="X3" s="687"/>
      <c r="Y3" s="687"/>
    </row>
    <row r="4" spans="1:25" ht="79.5" customHeight="1">
      <c r="A4" s="589" t="s">
        <v>102</v>
      </c>
      <c r="B4" s="54" t="s">
        <v>103</v>
      </c>
      <c r="C4" s="54" t="s">
        <v>104</v>
      </c>
      <c r="D4" s="54" t="s">
        <v>105</v>
      </c>
      <c r="E4" s="54" t="s">
        <v>106</v>
      </c>
      <c r="F4" s="54" t="s">
        <v>103</v>
      </c>
      <c r="G4" s="54" t="s">
        <v>104</v>
      </c>
      <c r="H4" s="54" t="s">
        <v>105</v>
      </c>
      <c r="I4" s="54" t="s">
        <v>106</v>
      </c>
      <c r="J4" s="54" t="s">
        <v>103</v>
      </c>
      <c r="K4" s="54" t="s">
        <v>104</v>
      </c>
      <c r="L4" s="54" t="s">
        <v>105</v>
      </c>
      <c r="M4" s="54" t="s">
        <v>106</v>
      </c>
      <c r="N4" s="54" t="s">
        <v>103</v>
      </c>
      <c r="O4" s="54" t="s">
        <v>104</v>
      </c>
      <c r="P4" s="54" t="s">
        <v>105</v>
      </c>
      <c r="Q4" s="54" t="s">
        <v>106</v>
      </c>
      <c r="R4" s="54" t="s">
        <v>103</v>
      </c>
      <c r="S4" s="54" t="s">
        <v>104</v>
      </c>
      <c r="T4" s="54" t="s">
        <v>105</v>
      </c>
      <c r="U4" s="54" t="s">
        <v>106</v>
      </c>
      <c r="V4" s="54" t="s">
        <v>103</v>
      </c>
      <c r="W4" s="54" t="s">
        <v>104</v>
      </c>
      <c r="X4" s="54" t="s">
        <v>105</v>
      </c>
      <c r="Y4" s="54" t="s">
        <v>106</v>
      </c>
    </row>
    <row r="5" spans="1:25" ht="13">
      <c r="A5" s="95" t="s">
        <v>107</v>
      </c>
      <c r="B5" s="56"/>
      <c r="C5" s="57">
        <v>5.8977000000000004</v>
      </c>
      <c r="D5" s="58">
        <v>2.3029999999999999</v>
      </c>
      <c r="E5" s="59">
        <f>SUM(B5:D5)</f>
        <v>8.2007000000000012</v>
      </c>
      <c r="F5" s="55"/>
      <c r="G5" s="58">
        <v>5.8977000000000004</v>
      </c>
      <c r="H5" s="58">
        <v>2.3029999999999999</v>
      </c>
      <c r="I5" s="60">
        <f>SUM(G5:H5)</f>
        <v>8.2007000000000012</v>
      </c>
      <c r="J5" s="55"/>
      <c r="K5" s="58"/>
      <c r="L5" s="58"/>
      <c r="M5" s="60">
        <f>SUM(K5:L5)</f>
        <v>0</v>
      </c>
      <c r="N5" s="55"/>
      <c r="O5" s="58"/>
      <c r="P5" s="58"/>
      <c r="Q5" s="60">
        <f>SUM(O5:P5)</f>
        <v>0</v>
      </c>
      <c r="R5" s="55"/>
      <c r="S5" s="58"/>
      <c r="T5" s="58"/>
      <c r="U5" s="60">
        <f>SUM(S5:T5)</f>
        <v>0</v>
      </c>
      <c r="V5" s="55"/>
      <c r="W5" s="58"/>
      <c r="X5" s="58"/>
      <c r="Y5" s="60">
        <f>SUM(W5:X5)</f>
        <v>0</v>
      </c>
    </row>
    <row r="6" spans="1:25" ht="13">
      <c r="A6" s="95" t="s">
        <v>108</v>
      </c>
      <c r="B6" s="103"/>
      <c r="C6" s="104">
        <v>12.8962</v>
      </c>
      <c r="D6" s="57">
        <v>1.4750000000000001</v>
      </c>
      <c r="E6" s="59">
        <f>SUM(B6:D6)</f>
        <v>14.3712</v>
      </c>
      <c r="F6" s="55"/>
      <c r="G6" s="58">
        <v>12.911899999999999</v>
      </c>
      <c r="H6" s="61">
        <v>1.4750000000000001</v>
      </c>
      <c r="I6" s="60">
        <f>SUM(G6:H6)</f>
        <v>14.386899999999999</v>
      </c>
      <c r="J6" s="62"/>
      <c r="K6" s="58"/>
      <c r="L6" s="61"/>
      <c r="M6" s="60">
        <f>SUM(K6:L6)</f>
        <v>0</v>
      </c>
      <c r="N6" s="62"/>
      <c r="O6" s="58"/>
      <c r="P6" s="61"/>
      <c r="Q6" s="60">
        <f>SUM(O6:P6)</f>
        <v>0</v>
      </c>
      <c r="R6" s="62"/>
      <c r="S6" s="58"/>
      <c r="T6" s="61"/>
      <c r="U6" s="60">
        <f>SUM(S6:T6)</f>
        <v>0</v>
      </c>
      <c r="V6" s="62"/>
      <c r="W6" s="58"/>
      <c r="X6" s="61"/>
      <c r="Y6" s="60">
        <f>SUM(W6:X6)</f>
        <v>0</v>
      </c>
    </row>
    <row r="7" spans="1:25" s="43" customFormat="1" ht="13">
      <c r="A7" s="96" t="s">
        <v>109</v>
      </c>
      <c r="B7" s="105"/>
      <c r="C7" s="106">
        <f>SUM(C5:C6)</f>
        <v>18.793900000000001</v>
      </c>
      <c r="D7" s="106">
        <f>SUM(D5:D6)</f>
        <v>3.778</v>
      </c>
      <c r="E7" s="106">
        <f>SUM(E5:E6)</f>
        <v>22.571899999999999</v>
      </c>
      <c r="F7" s="63"/>
      <c r="G7" s="60">
        <f t="shared" ref="G7:Y7" si="0">SUM(G5:G6)</f>
        <v>18.8096</v>
      </c>
      <c r="H7" s="60">
        <f t="shared" si="0"/>
        <v>3.778</v>
      </c>
      <c r="I7" s="60">
        <f t="shared" si="0"/>
        <v>22.587600000000002</v>
      </c>
      <c r="J7" s="60"/>
      <c r="K7" s="60">
        <f t="shared" si="0"/>
        <v>0</v>
      </c>
      <c r="L7" s="60">
        <f t="shared" si="0"/>
        <v>0</v>
      </c>
      <c r="M7" s="60">
        <f t="shared" si="0"/>
        <v>0</v>
      </c>
      <c r="N7" s="60"/>
      <c r="O7" s="60">
        <f t="shared" si="0"/>
        <v>0</v>
      </c>
      <c r="P7" s="60">
        <f t="shared" si="0"/>
        <v>0</v>
      </c>
      <c r="Q7" s="60">
        <f t="shared" si="0"/>
        <v>0</v>
      </c>
      <c r="R7" s="60"/>
      <c r="S7" s="60">
        <f t="shared" si="0"/>
        <v>0</v>
      </c>
      <c r="T7" s="60">
        <f t="shared" si="0"/>
        <v>0</v>
      </c>
      <c r="U7" s="60">
        <f t="shared" si="0"/>
        <v>0</v>
      </c>
      <c r="V7" s="60"/>
      <c r="W7" s="60">
        <f t="shared" si="0"/>
        <v>0</v>
      </c>
      <c r="X7" s="60">
        <f t="shared" si="0"/>
        <v>0</v>
      </c>
      <c r="Y7" s="60">
        <f t="shared" si="0"/>
        <v>0</v>
      </c>
    </row>
    <row r="8" spans="1:25" ht="4.5" customHeight="1">
      <c r="A8" s="96"/>
      <c r="B8" s="63"/>
      <c r="C8" s="107"/>
      <c r="D8" s="107"/>
      <c r="E8" s="108"/>
      <c r="F8" s="63"/>
      <c r="G8" s="62"/>
      <c r="H8" s="62"/>
      <c r="I8" s="60"/>
      <c r="J8" s="64"/>
      <c r="K8" s="62"/>
      <c r="L8" s="62"/>
      <c r="M8" s="60"/>
      <c r="N8" s="64"/>
      <c r="O8" s="62"/>
      <c r="P8" s="62"/>
      <c r="Q8" s="60"/>
      <c r="R8" s="64"/>
      <c r="S8" s="62"/>
      <c r="T8" s="62"/>
      <c r="U8" s="60"/>
      <c r="V8" s="64"/>
      <c r="W8" s="62"/>
      <c r="X8" s="62"/>
      <c r="Y8" s="60"/>
    </row>
    <row r="9" spans="1:25" ht="13">
      <c r="A9" s="97" t="s">
        <v>51</v>
      </c>
      <c r="B9" s="65"/>
      <c r="C9" s="54"/>
      <c r="D9" s="54"/>
      <c r="E9" s="590"/>
      <c r="F9" s="65"/>
      <c r="G9" s="66"/>
      <c r="H9" s="67"/>
      <c r="I9" s="67"/>
      <c r="J9" s="68"/>
      <c r="K9" s="66"/>
      <c r="L9" s="67"/>
      <c r="M9" s="60"/>
      <c r="N9" s="68"/>
      <c r="O9" s="66"/>
      <c r="P9" s="67"/>
      <c r="Q9" s="60"/>
      <c r="R9" s="68"/>
      <c r="S9" s="66"/>
      <c r="T9" s="67"/>
      <c r="U9" s="60"/>
      <c r="V9" s="68"/>
      <c r="W9" s="66"/>
      <c r="X9" s="67"/>
      <c r="Y9" s="60">
        <f>SUM(W9:X9)</f>
        <v>0</v>
      </c>
    </row>
    <row r="10" spans="1:25" ht="13">
      <c r="A10" s="95" t="s">
        <v>110</v>
      </c>
      <c r="B10" s="103"/>
      <c r="C10" s="103"/>
      <c r="D10" s="57"/>
      <c r="E10" s="59"/>
      <c r="F10" s="55"/>
      <c r="G10" s="58"/>
      <c r="H10" s="57"/>
      <c r="I10" s="59"/>
      <c r="J10" s="62"/>
      <c r="K10" s="57" t="s">
        <v>57</v>
      </c>
      <c r="L10" s="57"/>
      <c r="M10" s="60"/>
      <c r="N10" s="62"/>
      <c r="O10" s="57" t="s">
        <v>57</v>
      </c>
      <c r="P10" s="57"/>
      <c r="Q10" s="60"/>
      <c r="R10" s="62"/>
      <c r="S10" s="57" t="s">
        <v>57</v>
      </c>
      <c r="T10" s="57"/>
      <c r="U10" s="60"/>
      <c r="V10" s="62"/>
      <c r="W10" s="57" t="s">
        <v>57</v>
      </c>
      <c r="X10" s="57"/>
      <c r="Y10" s="60">
        <f>SUM(W10:X10)</f>
        <v>0</v>
      </c>
    </row>
    <row r="11" spans="1:25" ht="13">
      <c r="A11" s="95" t="s">
        <v>111</v>
      </c>
      <c r="B11" s="103"/>
      <c r="C11" s="103"/>
      <c r="D11" s="57"/>
      <c r="E11" s="59"/>
      <c r="F11" s="55"/>
      <c r="G11" s="58"/>
      <c r="H11" s="58"/>
      <c r="I11" s="62"/>
      <c r="J11" s="62"/>
      <c r="K11" s="58"/>
      <c r="L11" s="58"/>
      <c r="M11" s="60"/>
      <c r="N11" s="62"/>
      <c r="O11" s="58"/>
      <c r="P11" s="58"/>
      <c r="Q11" s="60"/>
      <c r="R11" s="62"/>
      <c r="S11" s="58"/>
      <c r="T11" s="58"/>
      <c r="U11" s="60"/>
      <c r="V11" s="62"/>
      <c r="W11" s="58"/>
      <c r="X11" s="58"/>
      <c r="Y11" s="60">
        <f>SUM(W11:X11)</f>
        <v>0</v>
      </c>
    </row>
    <row r="12" spans="1:25" ht="13">
      <c r="A12" s="95"/>
      <c r="B12" s="56"/>
      <c r="C12" s="57"/>
      <c r="D12" s="57"/>
      <c r="E12" s="109"/>
      <c r="F12" s="55"/>
      <c r="G12" s="58"/>
      <c r="H12" s="58"/>
      <c r="I12" s="62"/>
      <c r="J12" s="62"/>
      <c r="K12" s="58"/>
      <c r="L12" s="58"/>
      <c r="M12" s="60" t="s">
        <v>57</v>
      </c>
      <c r="N12" s="62"/>
      <c r="O12" s="58"/>
      <c r="P12" s="58"/>
      <c r="Q12" s="60" t="s">
        <v>57</v>
      </c>
      <c r="R12" s="62"/>
      <c r="S12" s="58"/>
      <c r="T12" s="58"/>
      <c r="U12" s="60" t="s">
        <v>57</v>
      </c>
      <c r="V12" s="62"/>
      <c r="W12" s="58"/>
      <c r="X12" s="58"/>
      <c r="Y12" s="60" t="s">
        <v>57</v>
      </c>
    </row>
    <row r="13" spans="1:25" s="43" customFormat="1" ht="13">
      <c r="A13" s="96" t="s">
        <v>109</v>
      </c>
      <c r="B13" s="105"/>
      <c r="C13" s="106">
        <v>0</v>
      </c>
      <c r="D13" s="106">
        <f>SUM(D10:D12)</f>
        <v>0</v>
      </c>
      <c r="E13" s="106">
        <f>SUM(E10:E12)</f>
        <v>0</v>
      </c>
      <c r="F13" s="63"/>
      <c r="G13" s="60">
        <f>SUM(G9:G12)</f>
        <v>0</v>
      </c>
      <c r="H13" s="60">
        <f>SUM(H9:H12)</f>
        <v>0</v>
      </c>
      <c r="I13" s="60">
        <f>SUM(I9:I12)</f>
        <v>0</v>
      </c>
      <c r="J13" s="64"/>
      <c r="K13" s="60">
        <f>SUM(K9:K12)</f>
        <v>0</v>
      </c>
      <c r="L13" s="60">
        <f>SUM(L9:L12)</f>
        <v>0</v>
      </c>
      <c r="M13" s="60">
        <f>SUM(M9:M12)</f>
        <v>0</v>
      </c>
      <c r="N13" s="64"/>
      <c r="O13" s="60">
        <f>SUM(O9:O12)</f>
        <v>0</v>
      </c>
      <c r="P13" s="60">
        <f>SUM(P9:P12)</f>
        <v>0</v>
      </c>
      <c r="Q13" s="60">
        <f>SUM(Q9:Q12)</f>
        <v>0</v>
      </c>
      <c r="R13" s="64"/>
      <c r="S13" s="60">
        <f>SUM(S9:S12)</f>
        <v>0</v>
      </c>
      <c r="T13" s="60">
        <f>SUM(T9:T12)</f>
        <v>0</v>
      </c>
      <c r="U13" s="60">
        <f>SUM(U9:U12)</f>
        <v>0</v>
      </c>
      <c r="V13" s="64"/>
      <c r="W13" s="60">
        <f>SUM(W9:W12)</f>
        <v>0</v>
      </c>
      <c r="X13" s="60">
        <f>SUM(X9:X12)</f>
        <v>0</v>
      </c>
      <c r="Y13" s="60">
        <f>SUM(Y9:Y12)</f>
        <v>0</v>
      </c>
    </row>
    <row r="14" spans="1:25" ht="4.5" customHeight="1">
      <c r="A14" s="96"/>
      <c r="B14" s="63"/>
      <c r="C14" s="107"/>
      <c r="D14" s="107"/>
      <c r="E14" s="108"/>
      <c r="F14" s="63"/>
      <c r="G14" s="62"/>
      <c r="H14" s="62"/>
      <c r="I14" s="60"/>
      <c r="J14" s="64"/>
      <c r="K14" s="62"/>
      <c r="L14" s="62"/>
      <c r="M14" s="60">
        <f>SUM(M9:M12)</f>
        <v>0</v>
      </c>
      <c r="N14" s="64"/>
      <c r="O14" s="62"/>
      <c r="P14" s="62"/>
      <c r="Q14" s="60">
        <f>SUM(Q9:Q12)</f>
        <v>0</v>
      </c>
      <c r="R14" s="64"/>
      <c r="S14" s="62"/>
      <c r="T14" s="62"/>
      <c r="U14" s="60">
        <f>SUM(U9:U12)</f>
        <v>0</v>
      </c>
      <c r="V14" s="64"/>
      <c r="W14" s="62"/>
      <c r="X14" s="62"/>
      <c r="Y14" s="60"/>
    </row>
    <row r="15" spans="1:25" s="43" customFormat="1" ht="17.25" customHeight="1">
      <c r="A15" s="96" t="s">
        <v>106</v>
      </c>
      <c r="B15" s="63"/>
      <c r="C15" s="106">
        <f>C7+C13</f>
        <v>18.793900000000001</v>
      </c>
      <c r="D15" s="106">
        <f>D7+D13</f>
        <v>3.778</v>
      </c>
      <c r="E15" s="106">
        <f>E7+E13</f>
        <v>22.571899999999999</v>
      </c>
      <c r="F15" s="63"/>
      <c r="G15" s="60">
        <f>G7+G13</f>
        <v>18.8096</v>
      </c>
      <c r="H15" s="60">
        <f>H7+H13</f>
        <v>3.778</v>
      </c>
      <c r="I15" s="60">
        <f>I7+I13</f>
        <v>22.587600000000002</v>
      </c>
      <c r="J15" s="64"/>
      <c r="K15" s="60">
        <f>K7+K13</f>
        <v>0</v>
      </c>
      <c r="L15" s="60">
        <f>L7+L13</f>
        <v>0</v>
      </c>
      <c r="M15" s="60">
        <f>M7+M13</f>
        <v>0</v>
      </c>
      <c r="N15" s="64"/>
      <c r="O15" s="60">
        <f>O7+O13</f>
        <v>0</v>
      </c>
      <c r="P15" s="60">
        <f>P7+P13</f>
        <v>0</v>
      </c>
      <c r="Q15" s="60">
        <f>Q7+Q13</f>
        <v>0</v>
      </c>
      <c r="R15" s="64"/>
      <c r="S15" s="60">
        <f>S7+S13</f>
        <v>0</v>
      </c>
      <c r="T15" s="60">
        <f>T7+T13</f>
        <v>0</v>
      </c>
      <c r="U15" s="60">
        <f>U7+U13</f>
        <v>0</v>
      </c>
      <c r="V15" s="64"/>
      <c r="W15" s="60">
        <f>W7+W13</f>
        <v>0</v>
      </c>
      <c r="X15" s="60">
        <f>X7+X13</f>
        <v>0</v>
      </c>
      <c r="Y15" s="60">
        <f>Y7+Y13</f>
        <v>0</v>
      </c>
    </row>
    <row r="16" spans="1:25" ht="17.25" customHeight="1">
      <c r="A16" s="98"/>
      <c r="B16" s="81"/>
      <c r="C16" s="110"/>
      <c r="D16" s="110"/>
      <c r="E16" s="111"/>
      <c r="F16" s="81"/>
      <c r="G16" s="69"/>
      <c r="H16" s="69"/>
      <c r="I16" s="70"/>
      <c r="J16" s="70"/>
      <c r="K16" s="69"/>
      <c r="L16" s="69"/>
      <c r="M16" s="70"/>
      <c r="N16" s="70"/>
      <c r="O16" s="69"/>
      <c r="P16" s="69"/>
      <c r="Q16" s="70"/>
      <c r="R16" s="70"/>
      <c r="S16" s="69"/>
      <c r="T16" s="69"/>
      <c r="U16" s="70"/>
      <c r="V16" s="70"/>
      <c r="W16" s="69"/>
      <c r="X16" s="69"/>
      <c r="Y16" s="70"/>
    </row>
    <row r="17" spans="1:25" ht="13">
      <c r="A17" s="589" t="s">
        <v>112</v>
      </c>
      <c r="B17" s="112"/>
      <c r="C17" s="113"/>
      <c r="D17" s="113"/>
      <c r="E17" s="114"/>
      <c r="F17" s="122"/>
      <c r="G17" s="71"/>
      <c r="H17" s="71"/>
      <c r="I17" s="72"/>
      <c r="J17" s="72"/>
      <c r="K17" s="71"/>
      <c r="L17" s="71"/>
      <c r="M17" s="72"/>
      <c r="N17" s="72"/>
      <c r="O17" s="71"/>
      <c r="P17" s="71"/>
      <c r="Q17" s="72"/>
      <c r="R17" s="72"/>
      <c r="S17" s="71"/>
      <c r="T17" s="71"/>
      <c r="U17" s="72"/>
      <c r="V17" s="72"/>
      <c r="W17" s="71"/>
      <c r="X17" s="71"/>
      <c r="Y17" s="73"/>
    </row>
    <row r="18" spans="1:25" ht="13">
      <c r="A18" s="99" t="s">
        <v>113</v>
      </c>
      <c r="B18" s="56"/>
      <c r="C18" s="103"/>
      <c r="D18" s="103"/>
      <c r="E18" s="109"/>
      <c r="F18" s="56"/>
      <c r="G18" s="58"/>
      <c r="H18" s="58"/>
      <c r="I18" s="62"/>
      <c r="J18" s="56"/>
      <c r="K18" s="58"/>
      <c r="L18" s="58"/>
      <c r="M18" s="62"/>
      <c r="N18" s="56"/>
      <c r="O18" s="58"/>
      <c r="P18" s="58"/>
      <c r="Q18" s="62"/>
      <c r="R18" s="56"/>
      <c r="S18" s="58"/>
      <c r="T18" s="58"/>
      <c r="U18" s="62"/>
      <c r="V18" s="56"/>
      <c r="W18" s="58"/>
      <c r="X18" s="58"/>
      <c r="Y18" s="62"/>
    </row>
    <row r="19" spans="1:25" ht="13">
      <c r="A19" s="95"/>
      <c r="B19" s="55"/>
      <c r="C19" s="115"/>
      <c r="D19" s="115"/>
      <c r="E19" s="116">
        <v>59.3</v>
      </c>
      <c r="F19" s="55"/>
      <c r="G19" s="58"/>
      <c r="H19" s="58"/>
      <c r="I19" s="116">
        <v>59.3</v>
      </c>
      <c r="J19" s="62"/>
      <c r="K19" s="58"/>
      <c r="L19" s="58"/>
      <c r="M19" s="62"/>
      <c r="N19" s="62"/>
      <c r="O19" s="58"/>
      <c r="P19" s="58"/>
      <c r="Q19" s="62"/>
      <c r="R19" s="62"/>
      <c r="S19" s="58"/>
      <c r="T19" s="58"/>
      <c r="U19" s="62"/>
      <c r="V19" s="62"/>
      <c r="W19" s="58"/>
      <c r="X19" s="58"/>
      <c r="Y19" s="62"/>
    </row>
    <row r="20" spans="1:25" s="43" customFormat="1" ht="13">
      <c r="A20" s="100" t="s">
        <v>109</v>
      </c>
      <c r="B20" s="106">
        <f>SUM(B18:B19)</f>
        <v>0</v>
      </c>
      <c r="C20" s="106"/>
      <c r="D20" s="106"/>
      <c r="E20" s="106">
        <v>59.3</v>
      </c>
      <c r="F20" s="74">
        <f>SUM(F18:F19)</f>
        <v>0</v>
      </c>
      <c r="G20" s="75"/>
      <c r="H20" s="75"/>
      <c r="I20" s="106">
        <v>59.3</v>
      </c>
      <c r="J20" s="60">
        <f>SUM(J18:J19)</f>
        <v>0</v>
      </c>
      <c r="K20" s="75"/>
      <c r="L20" s="75"/>
      <c r="M20" s="60"/>
      <c r="N20" s="60">
        <f>SUM(N18:N19)</f>
        <v>0</v>
      </c>
      <c r="O20" s="75"/>
      <c r="P20" s="75"/>
      <c r="Q20" s="60"/>
      <c r="R20" s="60">
        <f>SUM(R18:R19)</f>
        <v>0</v>
      </c>
      <c r="S20" s="75"/>
      <c r="T20" s="75"/>
      <c r="U20" s="60"/>
      <c r="V20" s="60">
        <f>SUM(V18:V19)</f>
        <v>0</v>
      </c>
      <c r="W20" s="75"/>
      <c r="X20" s="75"/>
      <c r="Y20" s="60"/>
    </row>
    <row r="21" spans="1:25" ht="4.5" customHeight="1">
      <c r="A21" s="96"/>
      <c r="B21" s="107"/>
      <c r="C21" s="107"/>
      <c r="D21" s="107"/>
      <c r="E21" s="108"/>
      <c r="F21" s="63"/>
      <c r="G21" s="62"/>
      <c r="H21" s="62"/>
      <c r="I21" s="108"/>
      <c r="J21" s="64"/>
      <c r="K21" s="62"/>
      <c r="L21" s="62"/>
      <c r="M21" s="60"/>
      <c r="N21" s="64"/>
      <c r="O21" s="62"/>
      <c r="P21" s="62"/>
      <c r="Q21" s="60"/>
      <c r="R21" s="64"/>
      <c r="S21" s="62"/>
      <c r="T21" s="62"/>
      <c r="U21" s="60"/>
      <c r="V21" s="64"/>
      <c r="W21" s="62"/>
      <c r="X21" s="62"/>
      <c r="Y21" s="60"/>
    </row>
    <row r="22" spans="1:25" s="43" customFormat="1" ht="13">
      <c r="A22" s="96" t="s">
        <v>114</v>
      </c>
      <c r="B22" s="76">
        <f>B20</f>
        <v>0</v>
      </c>
      <c r="C22" s="76"/>
      <c r="D22" s="76"/>
      <c r="E22" s="77">
        <v>59.3</v>
      </c>
      <c r="F22" s="74">
        <f>F20</f>
        <v>0</v>
      </c>
      <c r="G22" s="76"/>
      <c r="H22" s="76"/>
      <c r="I22" s="77">
        <v>59.3</v>
      </c>
      <c r="J22" s="64">
        <f>J20</f>
        <v>0</v>
      </c>
      <c r="K22" s="76"/>
      <c r="L22" s="76"/>
      <c r="M22" s="77"/>
      <c r="N22" s="64">
        <f>N20</f>
        <v>0</v>
      </c>
      <c r="O22" s="76"/>
      <c r="P22" s="76"/>
      <c r="Q22" s="77"/>
      <c r="R22" s="64">
        <f>R20</f>
        <v>0</v>
      </c>
      <c r="S22" s="76"/>
      <c r="T22" s="76"/>
      <c r="U22" s="77"/>
      <c r="V22" s="64">
        <f>V20</f>
        <v>0</v>
      </c>
      <c r="W22" s="76"/>
      <c r="X22" s="76"/>
      <c r="Y22" s="77"/>
    </row>
    <row r="23" spans="1:25" ht="13">
      <c r="A23" s="43"/>
      <c r="B23" s="82"/>
      <c r="C23" s="83"/>
      <c r="D23" s="83"/>
      <c r="E23" s="84"/>
      <c r="F23" s="82"/>
      <c r="G23" s="83"/>
      <c r="H23" s="84"/>
      <c r="I23" s="82"/>
      <c r="J23" s="82"/>
      <c r="K23" s="83"/>
      <c r="L23" s="84"/>
      <c r="M23" s="82"/>
      <c r="N23" s="82"/>
      <c r="O23" s="83"/>
      <c r="P23" s="84"/>
      <c r="Q23" s="82"/>
      <c r="R23" s="82"/>
      <c r="S23" s="83"/>
      <c r="T23" s="84"/>
      <c r="U23" s="82"/>
      <c r="V23" s="82"/>
      <c r="W23" s="83"/>
      <c r="X23" s="84"/>
      <c r="Y23" s="82"/>
    </row>
    <row r="24" spans="1:25">
      <c r="B24" s="53"/>
      <c r="C24" s="53"/>
      <c r="D24" s="53"/>
      <c r="E24" s="53"/>
      <c r="F24" s="53"/>
      <c r="G24" s="53"/>
      <c r="H24" s="53"/>
      <c r="I24" s="53"/>
      <c r="J24" s="53"/>
      <c r="K24" s="53"/>
      <c r="L24" s="53"/>
      <c r="M24" s="53"/>
      <c r="N24" s="53"/>
      <c r="O24" s="53"/>
      <c r="P24" s="53"/>
      <c r="Q24" s="53"/>
      <c r="R24" s="53"/>
      <c r="S24" s="53"/>
      <c r="T24" s="53"/>
      <c r="U24" s="53"/>
      <c r="V24" s="53"/>
      <c r="W24" s="53"/>
      <c r="X24" s="53"/>
      <c r="Y24" s="53"/>
    </row>
    <row r="25" spans="1:25" ht="13">
      <c r="A25" s="101"/>
      <c r="B25" s="687" t="s">
        <v>60</v>
      </c>
      <c r="C25" s="687"/>
      <c r="D25" s="687"/>
      <c r="E25" s="687"/>
      <c r="F25" s="687" t="s">
        <v>75</v>
      </c>
      <c r="G25" s="687"/>
      <c r="H25" s="687"/>
      <c r="I25" s="687" t="s">
        <v>60</v>
      </c>
      <c r="J25" s="687" t="s">
        <v>76</v>
      </c>
      <c r="K25" s="687"/>
      <c r="L25" s="687"/>
      <c r="M25" s="687" t="s">
        <v>60</v>
      </c>
      <c r="N25" s="687" t="s">
        <v>62</v>
      </c>
      <c r="O25" s="687"/>
      <c r="P25" s="687"/>
      <c r="Q25" s="687" t="s">
        <v>60</v>
      </c>
      <c r="R25" s="687" t="s">
        <v>77</v>
      </c>
      <c r="S25" s="687"/>
      <c r="T25" s="687"/>
      <c r="U25" s="687" t="s">
        <v>60</v>
      </c>
      <c r="V25" s="687" t="s">
        <v>63</v>
      </c>
      <c r="W25" s="687"/>
      <c r="X25" s="687"/>
      <c r="Y25" s="687" t="s">
        <v>60</v>
      </c>
    </row>
    <row r="26" spans="1:25" ht="39">
      <c r="A26" s="589" t="s">
        <v>102</v>
      </c>
      <c r="B26" s="54" t="s">
        <v>103</v>
      </c>
      <c r="C26" s="54" t="s">
        <v>104</v>
      </c>
      <c r="D26" s="54" t="s">
        <v>105</v>
      </c>
      <c r="E26" s="54" t="s">
        <v>106</v>
      </c>
      <c r="F26" s="54" t="s">
        <v>103</v>
      </c>
      <c r="G26" s="54" t="s">
        <v>104</v>
      </c>
      <c r="H26" s="54" t="s">
        <v>105</v>
      </c>
      <c r="I26" s="54" t="s">
        <v>106</v>
      </c>
      <c r="J26" s="54" t="s">
        <v>103</v>
      </c>
      <c r="K26" s="54" t="s">
        <v>104</v>
      </c>
      <c r="L26" s="54" t="s">
        <v>105</v>
      </c>
      <c r="M26" s="54" t="s">
        <v>106</v>
      </c>
      <c r="N26" s="54" t="s">
        <v>103</v>
      </c>
      <c r="O26" s="54" t="s">
        <v>104</v>
      </c>
      <c r="P26" s="54" t="s">
        <v>105</v>
      </c>
      <c r="Q26" s="54" t="s">
        <v>106</v>
      </c>
      <c r="R26" s="54" t="s">
        <v>103</v>
      </c>
      <c r="S26" s="54" t="s">
        <v>104</v>
      </c>
      <c r="T26" s="54" t="s">
        <v>105</v>
      </c>
      <c r="U26" s="54" t="s">
        <v>106</v>
      </c>
      <c r="V26" s="54" t="s">
        <v>103</v>
      </c>
      <c r="W26" s="54" t="s">
        <v>104</v>
      </c>
      <c r="X26" s="54" t="s">
        <v>105</v>
      </c>
      <c r="Y26" s="54" t="s">
        <v>106</v>
      </c>
    </row>
    <row r="27" spans="1:25" ht="13">
      <c r="A27" s="95" t="s">
        <v>115</v>
      </c>
      <c r="B27" s="78"/>
      <c r="C27" s="78"/>
      <c r="D27" s="58"/>
      <c r="E27" s="117"/>
      <c r="F27" s="62"/>
      <c r="G27" s="58"/>
      <c r="H27" s="61"/>
      <c r="I27" s="60"/>
      <c r="J27" s="62"/>
      <c r="K27" s="58"/>
      <c r="L27" s="61"/>
      <c r="M27" s="60"/>
      <c r="N27" s="62"/>
      <c r="O27" s="58"/>
      <c r="P27" s="61"/>
      <c r="Q27" s="60"/>
      <c r="R27" s="62"/>
      <c r="S27" s="58"/>
      <c r="T27" s="61"/>
      <c r="U27" s="60"/>
      <c r="V27" s="62"/>
      <c r="W27" s="58"/>
      <c r="X27" s="61"/>
      <c r="Y27" s="60"/>
    </row>
    <row r="28" spans="1:25" ht="13">
      <c r="A28" s="95" t="s">
        <v>108</v>
      </c>
      <c r="B28" s="78"/>
      <c r="C28" s="118"/>
      <c r="D28" s="58"/>
      <c r="E28" s="117">
        <f>SUM(B28:D28)</f>
        <v>0</v>
      </c>
      <c r="F28" s="62"/>
      <c r="G28" s="58"/>
      <c r="H28" s="61"/>
      <c r="I28" s="60">
        <f>SUM(G28:H28)</f>
        <v>0</v>
      </c>
      <c r="J28" s="62"/>
      <c r="K28" s="58"/>
      <c r="L28" s="61"/>
      <c r="M28" s="60">
        <f>SUM(K28:L28)</f>
        <v>0</v>
      </c>
      <c r="N28" s="62"/>
      <c r="O28" s="58"/>
      <c r="P28" s="61"/>
      <c r="Q28" s="60">
        <f t="shared" ref="Q28:Q33" si="1">SUM(O28:P28)</f>
        <v>0</v>
      </c>
      <c r="R28" s="62"/>
      <c r="S28" s="58"/>
      <c r="T28" s="61"/>
      <c r="U28" s="60">
        <f>SUM(S28:T28)</f>
        <v>0</v>
      </c>
      <c r="V28" s="62"/>
      <c r="W28" s="58"/>
      <c r="X28" s="61"/>
      <c r="Y28" s="60">
        <f>SUM(W28:X28)</f>
        <v>0</v>
      </c>
    </row>
    <row r="29" spans="1:25" ht="13">
      <c r="A29" s="95" t="s">
        <v>116</v>
      </c>
      <c r="B29" s="78"/>
      <c r="C29" s="58"/>
      <c r="D29" s="58"/>
      <c r="E29" s="117"/>
      <c r="F29" s="62"/>
      <c r="G29" s="58"/>
      <c r="H29" s="61"/>
      <c r="I29" s="60">
        <f>SUM(G29:H29)</f>
        <v>0</v>
      </c>
      <c r="J29" s="62"/>
      <c r="K29" s="58"/>
      <c r="L29" s="61"/>
      <c r="M29" s="60">
        <f t="shared" ref="M29:M40" si="2">SUM(K29:L29)</f>
        <v>0</v>
      </c>
      <c r="N29" s="62"/>
      <c r="O29" s="58"/>
      <c r="P29" s="61"/>
      <c r="Q29" s="60">
        <f t="shared" si="1"/>
        <v>0</v>
      </c>
      <c r="R29" s="62"/>
      <c r="S29" s="58"/>
      <c r="T29" s="61"/>
      <c r="U29" s="60"/>
      <c r="V29" s="62"/>
      <c r="W29" s="58"/>
      <c r="X29" s="61"/>
      <c r="Y29" s="60"/>
    </row>
    <row r="30" spans="1:25" ht="13">
      <c r="A30" s="95" t="s">
        <v>117</v>
      </c>
      <c r="B30" s="78"/>
      <c r="C30" s="58"/>
      <c r="D30" s="58"/>
      <c r="E30" s="117"/>
      <c r="F30" s="62"/>
      <c r="G30" s="79"/>
      <c r="H30" s="79"/>
      <c r="I30" s="60">
        <f>SUM(G30:H30)</f>
        <v>0</v>
      </c>
      <c r="J30" s="62"/>
      <c r="K30" s="79"/>
      <c r="L30" s="79"/>
      <c r="M30" s="60">
        <f t="shared" si="2"/>
        <v>0</v>
      </c>
      <c r="N30" s="62"/>
      <c r="O30" s="79"/>
      <c r="P30" s="79"/>
      <c r="Q30" s="60">
        <f t="shared" si="1"/>
        <v>0</v>
      </c>
      <c r="R30" s="62"/>
      <c r="S30" s="79"/>
      <c r="T30" s="79"/>
      <c r="U30" s="60"/>
      <c r="V30" s="62"/>
      <c r="W30" s="79"/>
      <c r="X30" s="79"/>
      <c r="Y30" s="60"/>
    </row>
    <row r="31" spans="1:25" ht="13">
      <c r="A31" s="95" t="s">
        <v>118</v>
      </c>
      <c r="B31" s="78"/>
      <c r="C31" s="58"/>
      <c r="D31" s="58"/>
      <c r="E31" s="117"/>
      <c r="F31" s="62"/>
      <c r="G31" s="79"/>
      <c r="H31" s="79"/>
      <c r="I31" s="60">
        <f>SUM(G31:H31)</f>
        <v>0</v>
      </c>
      <c r="J31" s="62"/>
      <c r="K31" s="79"/>
      <c r="L31" s="79"/>
      <c r="M31" s="60">
        <f t="shared" si="2"/>
        <v>0</v>
      </c>
      <c r="N31" s="62"/>
      <c r="O31" s="79"/>
      <c r="P31" s="79"/>
      <c r="Q31" s="60">
        <f t="shared" si="1"/>
        <v>0</v>
      </c>
      <c r="R31" s="62"/>
      <c r="S31" s="79"/>
      <c r="T31" s="79"/>
      <c r="U31" s="60"/>
      <c r="V31" s="62"/>
      <c r="W31" s="79"/>
      <c r="X31" s="79"/>
      <c r="Y31" s="60"/>
    </row>
    <row r="32" spans="1:25" ht="13">
      <c r="A32" s="95" t="s">
        <v>119</v>
      </c>
      <c r="B32" s="62"/>
      <c r="C32" s="58"/>
      <c r="D32" s="58"/>
      <c r="E32" s="117">
        <f>SUM(B32:D32)</f>
        <v>0</v>
      </c>
      <c r="F32" s="62"/>
      <c r="G32" s="58"/>
      <c r="H32" s="58"/>
      <c r="I32" s="60">
        <f>SUM(G32:H32)</f>
        <v>0</v>
      </c>
      <c r="J32" s="62"/>
      <c r="K32" s="58"/>
      <c r="L32" s="58"/>
      <c r="M32" s="60">
        <f t="shared" si="2"/>
        <v>0</v>
      </c>
      <c r="N32" s="62"/>
      <c r="O32" s="58"/>
      <c r="P32" s="58"/>
      <c r="Q32" s="60">
        <f t="shared" si="1"/>
        <v>0</v>
      </c>
      <c r="R32" s="62"/>
      <c r="S32" s="58"/>
      <c r="T32" s="58"/>
      <c r="U32" s="60">
        <f>SUM(S32:T32)</f>
        <v>0</v>
      </c>
      <c r="V32" s="62"/>
      <c r="W32" s="58"/>
      <c r="X32" s="58"/>
      <c r="Y32" s="60">
        <f>SUM(W32:X32)</f>
        <v>0</v>
      </c>
    </row>
    <row r="33" spans="1:25" s="43" customFormat="1" ht="13">
      <c r="A33" s="96" t="s">
        <v>109</v>
      </c>
      <c r="B33" s="119"/>
      <c r="C33" s="64">
        <f>SUM(C27:C32)</f>
        <v>0</v>
      </c>
      <c r="D33" s="64">
        <f>SUM(D27:D32)</f>
        <v>0</v>
      </c>
      <c r="E33" s="64">
        <f>SUM(E27:E32)</f>
        <v>0</v>
      </c>
      <c r="F33" s="64"/>
      <c r="G33" s="60">
        <f>SUM(G27:G32)</f>
        <v>0</v>
      </c>
      <c r="H33" s="60">
        <f>SUM(H27:H32)</f>
        <v>0</v>
      </c>
      <c r="I33" s="60">
        <f>SUM(I27:I32)</f>
        <v>0</v>
      </c>
      <c r="J33" s="64"/>
      <c r="K33" s="60">
        <f>SUM(K28:K32)</f>
        <v>0</v>
      </c>
      <c r="L33" s="60">
        <f>SUM(L28:L32)</f>
        <v>0</v>
      </c>
      <c r="M33" s="60">
        <f t="shared" si="2"/>
        <v>0</v>
      </c>
      <c r="N33" s="64"/>
      <c r="O33" s="60">
        <f>SUM(O28:O32)</f>
        <v>0</v>
      </c>
      <c r="P33" s="60">
        <f>SUM(P28:P32)</f>
        <v>0</v>
      </c>
      <c r="Q33" s="60">
        <f t="shared" si="1"/>
        <v>0</v>
      </c>
      <c r="R33" s="64"/>
      <c r="S33" s="60">
        <f>SUM(S28:S32)</f>
        <v>0</v>
      </c>
      <c r="T33" s="60">
        <f>SUM(T28:T32)</f>
        <v>0</v>
      </c>
      <c r="U33" s="60">
        <f>SUM(S33:T33)</f>
        <v>0</v>
      </c>
      <c r="V33" s="64"/>
      <c r="W33" s="60">
        <f>SUM(W28:W32)</f>
        <v>0</v>
      </c>
      <c r="X33" s="60">
        <f>SUM(X28:X32)</f>
        <v>0</v>
      </c>
      <c r="Y33" s="60">
        <f>SUM(W33:X33)</f>
        <v>0</v>
      </c>
    </row>
    <row r="34" spans="1:25" ht="4.5" customHeight="1">
      <c r="A34" s="96"/>
      <c r="B34" s="64"/>
      <c r="C34" s="62"/>
      <c r="D34" s="62"/>
      <c r="E34" s="60"/>
      <c r="F34" s="64"/>
      <c r="G34" s="62"/>
      <c r="H34" s="62"/>
      <c r="I34" s="60"/>
      <c r="J34" s="64"/>
      <c r="K34" s="62"/>
      <c r="L34" s="62"/>
      <c r="M34" s="60"/>
      <c r="N34" s="64"/>
      <c r="O34" s="62"/>
      <c r="P34" s="62"/>
      <c r="Q34" s="60"/>
      <c r="R34" s="64"/>
      <c r="S34" s="62"/>
      <c r="T34" s="62"/>
      <c r="U34" s="60"/>
      <c r="V34" s="64"/>
      <c r="W34" s="62"/>
      <c r="X34" s="62"/>
      <c r="Y34" s="60"/>
    </row>
    <row r="35" spans="1:25" ht="13">
      <c r="A35" s="97" t="s">
        <v>51</v>
      </c>
      <c r="B35" s="68"/>
      <c r="C35" s="66"/>
      <c r="D35" s="66"/>
      <c r="E35" s="67"/>
      <c r="F35" s="68"/>
      <c r="G35" s="66"/>
      <c r="H35" s="67"/>
      <c r="I35" s="60">
        <f>SUM(G35:H35)</f>
        <v>0</v>
      </c>
      <c r="J35" s="68"/>
      <c r="K35" s="66"/>
      <c r="L35" s="67"/>
      <c r="M35" s="60">
        <f t="shared" si="2"/>
        <v>0</v>
      </c>
      <c r="N35" s="68"/>
      <c r="O35" s="60"/>
      <c r="P35" s="67"/>
      <c r="Q35" s="60">
        <f t="shared" ref="Q35:Q40" si="3">SUM(O35:P35)</f>
        <v>0</v>
      </c>
      <c r="R35" s="68"/>
      <c r="S35" s="66"/>
      <c r="T35" s="67"/>
      <c r="U35" s="60">
        <f t="shared" ref="U35:U40" si="4">SUM(S35:T35)</f>
        <v>0</v>
      </c>
      <c r="V35" s="68"/>
      <c r="W35" s="66"/>
      <c r="X35" s="67"/>
      <c r="Y35" s="60">
        <f t="shared" ref="Y35:Y40" si="5">SUM(W35:X35)</f>
        <v>0</v>
      </c>
    </row>
    <row r="36" spans="1:25" ht="13">
      <c r="A36" s="95" t="s">
        <v>110</v>
      </c>
      <c r="B36" s="78"/>
      <c r="C36" s="78"/>
      <c r="D36" s="58"/>
      <c r="E36" s="117"/>
      <c r="F36" s="62"/>
      <c r="G36" s="58"/>
      <c r="H36" s="58"/>
      <c r="I36" s="60">
        <f>SUM(G36:H36)</f>
        <v>0</v>
      </c>
      <c r="J36" s="62"/>
      <c r="K36" s="58"/>
      <c r="L36" s="58"/>
      <c r="M36" s="60">
        <f t="shared" si="2"/>
        <v>0</v>
      </c>
      <c r="N36" s="62"/>
      <c r="O36" s="60"/>
      <c r="P36" s="58"/>
      <c r="Q36" s="60">
        <f t="shared" si="3"/>
        <v>0</v>
      </c>
      <c r="R36" s="62"/>
      <c r="S36" s="58"/>
      <c r="T36" s="58"/>
      <c r="U36" s="60">
        <f t="shared" si="4"/>
        <v>0</v>
      </c>
      <c r="V36" s="62"/>
      <c r="W36" s="58"/>
      <c r="X36" s="58"/>
      <c r="Y36" s="60">
        <f t="shared" si="5"/>
        <v>0</v>
      </c>
    </row>
    <row r="37" spans="1:25" ht="13">
      <c r="A37" s="95" t="s">
        <v>120</v>
      </c>
      <c r="B37" s="78"/>
      <c r="C37" s="78"/>
      <c r="D37" s="58"/>
      <c r="E37" s="117"/>
      <c r="F37" s="62"/>
      <c r="G37" s="58"/>
      <c r="H37" s="58"/>
      <c r="I37" s="60">
        <f>SUM(G37:H37)</f>
        <v>0</v>
      </c>
      <c r="J37" s="62"/>
      <c r="K37" s="58"/>
      <c r="L37" s="58"/>
      <c r="M37" s="60">
        <f t="shared" si="2"/>
        <v>0</v>
      </c>
      <c r="N37" s="62"/>
      <c r="O37" s="60"/>
      <c r="P37" s="58"/>
      <c r="Q37" s="60">
        <f t="shared" si="3"/>
        <v>0</v>
      </c>
      <c r="R37" s="62"/>
      <c r="S37" s="58"/>
      <c r="T37" s="58"/>
      <c r="U37" s="60">
        <f t="shared" si="4"/>
        <v>0</v>
      </c>
      <c r="V37" s="62"/>
      <c r="W37" s="58"/>
      <c r="X37" s="58"/>
      <c r="Y37" s="60">
        <f t="shared" si="5"/>
        <v>0</v>
      </c>
    </row>
    <row r="38" spans="1:25" ht="13">
      <c r="A38" s="95" t="s">
        <v>111</v>
      </c>
      <c r="B38" s="78"/>
      <c r="C38" s="78"/>
      <c r="D38" s="58"/>
      <c r="E38" s="117"/>
      <c r="F38" s="62"/>
      <c r="G38" s="58"/>
      <c r="H38" s="58"/>
      <c r="I38" s="60">
        <f>SUM(G38:H38)</f>
        <v>0</v>
      </c>
      <c r="J38" s="62"/>
      <c r="K38" s="58"/>
      <c r="L38" s="58"/>
      <c r="M38" s="60">
        <f t="shared" si="2"/>
        <v>0</v>
      </c>
      <c r="N38" s="62"/>
      <c r="O38" s="60"/>
      <c r="P38" s="58"/>
      <c r="Q38" s="60">
        <f t="shared" si="3"/>
        <v>0</v>
      </c>
      <c r="R38" s="62"/>
      <c r="S38" s="58"/>
      <c r="T38" s="58"/>
      <c r="U38" s="60">
        <f t="shared" si="4"/>
        <v>0</v>
      </c>
      <c r="V38" s="62"/>
      <c r="W38" s="58"/>
      <c r="X38" s="58"/>
      <c r="Y38" s="60">
        <f t="shared" si="5"/>
        <v>0</v>
      </c>
    </row>
    <row r="39" spans="1:25" ht="13">
      <c r="A39" s="95"/>
      <c r="B39" s="62"/>
      <c r="C39" s="58"/>
      <c r="D39" s="58"/>
      <c r="E39" s="75"/>
      <c r="F39" s="62"/>
      <c r="G39" s="58"/>
      <c r="H39" s="58"/>
      <c r="I39" s="60">
        <f>SUM(G39:H39)</f>
        <v>0</v>
      </c>
      <c r="J39" s="62"/>
      <c r="K39" s="58"/>
      <c r="L39" s="58"/>
      <c r="M39" s="60">
        <f t="shared" si="2"/>
        <v>0</v>
      </c>
      <c r="N39" s="62"/>
      <c r="O39" s="60"/>
      <c r="P39" s="58"/>
      <c r="Q39" s="60">
        <f t="shared" si="3"/>
        <v>0</v>
      </c>
      <c r="R39" s="62"/>
      <c r="S39" s="58"/>
      <c r="T39" s="58"/>
      <c r="U39" s="60">
        <f t="shared" si="4"/>
        <v>0</v>
      </c>
      <c r="V39" s="62"/>
      <c r="W39" s="58"/>
      <c r="X39" s="58"/>
      <c r="Y39" s="60">
        <f t="shared" si="5"/>
        <v>0</v>
      </c>
    </row>
    <row r="40" spans="1:25" s="43" customFormat="1" ht="13">
      <c r="A40" s="96" t="s">
        <v>109</v>
      </c>
      <c r="B40" s="119"/>
      <c r="C40" s="64">
        <f>SUM(C35:C39)</f>
        <v>0</v>
      </c>
      <c r="D40" s="64">
        <f>SUM(D36:D39)</f>
        <v>0</v>
      </c>
      <c r="E40" s="64">
        <f>SUM(E36:E39)</f>
        <v>0</v>
      </c>
      <c r="F40" s="64"/>
      <c r="G40" s="60">
        <f>SUM(G35:G39)</f>
        <v>0</v>
      </c>
      <c r="H40" s="60">
        <f>SUM(H35:H39)</f>
        <v>0</v>
      </c>
      <c r="I40" s="60">
        <f>SUM(I35:I39)</f>
        <v>0</v>
      </c>
      <c r="J40" s="64"/>
      <c r="K40" s="60">
        <f>(K35+K39)</f>
        <v>0</v>
      </c>
      <c r="L40" s="60">
        <f>(L35+L39)</f>
        <v>0</v>
      </c>
      <c r="M40" s="60">
        <f t="shared" si="2"/>
        <v>0</v>
      </c>
      <c r="N40" s="64"/>
      <c r="O40" s="60"/>
      <c r="P40" s="60"/>
      <c r="Q40" s="60">
        <f t="shared" si="3"/>
        <v>0</v>
      </c>
      <c r="R40" s="64"/>
      <c r="S40" s="60"/>
      <c r="T40" s="60"/>
      <c r="U40" s="60">
        <f t="shared" si="4"/>
        <v>0</v>
      </c>
      <c r="V40" s="64"/>
      <c r="W40" s="60"/>
      <c r="X40" s="60"/>
      <c r="Y40" s="60">
        <f t="shared" si="5"/>
        <v>0</v>
      </c>
    </row>
    <row r="41" spans="1:25" ht="4.5" customHeight="1">
      <c r="A41" s="96"/>
      <c r="B41" s="64"/>
      <c r="C41" s="62"/>
      <c r="D41" s="62"/>
      <c r="E41" s="60"/>
      <c r="F41" s="64"/>
      <c r="G41" s="62"/>
      <c r="H41" s="62"/>
      <c r="I41" s="60"/>
      <c r="J41" s="64"/>
      <c r="K41" s="62"/>
      <c r="L41" s="62"/>
      <c r="M41" s="60"/>
      <c r="N41" s="64"/>
      <c r="O41" s="62"/>
      <c r="P41" s="62"/>
      <c r="Q41" s="60"/>
      <c r="R41" s="64"/>
      <c r="S41" s="62"/>
      <c r="T41" s="62"/>
      <c r="U41" s="60"/>
      <c r="V41" s="64"/>
      <c r="W41" s="62"/>
      <c r="X41" s="62"/>
      <c r="Y41" s="60"/>
    </row>
    <row r="42" spans="1:25" ht="17.25" customHeight="1">
      <c r="A42" s="96" t="s">
        <v>106</v>
      </c>
      <c r="B42" s="64"/>
      <c r="C42" s="64">
        <f>C33+C40</f>
        <v>0</v>
      </c>
      <c r="D42" s="64">
        <f>D33+D40</f>
        <v>0</v>
      </c>
      <c r="E42" s="64">
        <f>E33+E40</f>
        <v>0</v>
      </c>
      <c r="F42" s="64"/>
      <c r="G42" s="60">
        <f>G33+G40</f>
        <v>0</v>
      </c>
      <c r="H42" s="60">
        <f>H33+H40</f>
        <v>0</v>
      </c>
      <c r="I42" s="60">
        <f>I33+I40</f>
        <v>0</v>
      </c>
      <c r="J42" s="64"/>
      <c r="K42" s="60">
        <f>(K33+K40)</f>
        <v>0</v>
      </c>
      <c r="L42" s="60">
        <f>(L33+L40)</f>
        <v>0</v>
      </c>
      <c r="M42" s="60">
        <f>(M33+M40)</f>
        <v>0</v>
      </c>
      <c r="N42" s="60">
        <f>N33+N40</f>
        <v>0</v>
      </c>
      <c r="O42" s="60">
        <f>O33+O40</f>
        <v>0</v>
      </c>
      <c r="P42" s="60">
        <f>(P33+P40)</f>
        <v>0</v>
      </c>
      <c r="Q42" s="60">
        <f>(Q33+Q40)</f>
        <v>0</v>
      </c>
      <c r="R42" s="60">
        <f t="shared" ref="R42:Y42" si="6">SUM(R33:R40)</f>
        <v>0</v>
      </c>
      <c r="S42" s="60">
        <f t="shared" si="6"/>
        <v>0</v>
      </c>
      <c r="T42" s="60">
        <f t="shared" si="6"/>
        <v>0</v>
      </c>
      <c r="U42" s="60">
        <f t="shared" si="6"/>
        <v>0</v>
      </c>
      <c r="V42" s="60">
        <f t="shared" si="6"/>
        <v>0</v>
      </c>
      <c r="W42" s="60">
        <f t="shared" si="6"/>
        <v>0</v>
      </c>
      <c r="X42" s="60">
        <f t="shared" si="6"/>
        <v>0</v>
      </c>
      <c r="Y42" s="60">
        <f t="shared" si="6"/>
        <v>0</v>
      </c>
    </row>
    <row r="43" spans="1:25" ht="17.25" customHeight="1">
      <c r="A43" s="98"/>
      <c r="B43" s="70"/>
      <c r="C43" s="69"/>
      <c r="D43" s="69"/>
      <c r="E43" s="70"/>
      <c r="F43" s="70"/>
      <c r="G43" s="69"/>
      <c r="H43" s="69"/>
      <c r="I43" s="70"/>
      <c r="J43" s="70"/>
      <c r="K43" s="69"/>
      <c r="L43" s="69"/>
      <c r="M43" s="70"/>
      <c r="N43" s="70"/>
      <c r="O43" s="69"/>
      <c r="P43" s="69"/>
      <c r="Q43" s="70"/>
      <c r="R43" s="70"/>
      <c r="S43" s="69"/>
      <c r="T43" s="69"/>
      <c r="U43" s="70"/>
      <c r="V43" s="70"/>
      <c r="W43" s="69"/>
      <c r="X43" s="69"/>
      <c r="Y43" s="70"/>
    </row>
    <row r="44" spans="1:25" ht="13">
      <c r="A44" s="589" t="s">
        <v>112</v>
      </c>
      <c r="B44" s="120"/>
      <c r="C44" s="71"/>
      <c r="D44" s="71"/>
      <c r="E44" s="121"/>
      <c r="F44" s="72"/>
      <c r="G44" s="71"/>
      <c r="H44" s="71"/>
      <c r="I44" s="72"/>
      <c r="J44" s="72"/>
      <c r="K44" s="71"/>
      <c r="L44" s="71"/>
      <c r="M44" s="72"/>
      <c r="N44" s="72"/>
      <c r="O44" s="71"/>
      <c r="P44" s="71"/>
      <c r="Q44" s="72"/>
      <c r="R44" s="72"/>
      <c r="S44" s="71"/>
      <c r="T44" s="71"/>
      <c r="U44" s="72"/>
      <c r="V44" s="72"/>
      <c r="W44" s="71"/>
      <c r="X44" s="71"/>
      <c r="Y44" s="73"/>
    </row>
    <row r="45" spans="1:25" ht="13">
      <c r="A45" s="99" t="s">
        <v>113</v>
      </c>
      <c r="B45" s="62"/>
      <c r="C45" s="78"/>
      <c r="D45" s="78"/>
      <c r="E45" s="75"/>
      <c r="F45" s="56"/>
      <c r="G45" s="78"/>
      <c r="H45" s="78"/>
      <c r="I45" s="75"/>
      <c r="J45" s="56"/>
      <c r="K45" s="78"/>
      <c r="L45" s="78"/>
      <c r="M45" s="75"/>
      <c r="N45" s="56"/>
      <c r="O45" s="78"/>
      <c r="P45" s="78"/>
      <c r="Q45" s="75"/>
      <c r="R45" s="56"/>
      <c r="S45" s="78"/>
      <c r="T45" s="78"/>
      <c r="U45" s="75"/>
      <c r="V45" s="56"/>
      <c r="W45" s="78"/>
      <c r="X45" s="78"/>
      <c r="Y45" s="75"/>
    </row>
    <row r="46" spans="1:25" ht="13">
      <c r="A46" s="95"/>
      <c r="B46" s="62"/>
      <c r="C46" s="58"/>
      <c r="D46" s="58"/>
      <c r="E46" s="75"/>
      <c r="F46" s="62"/>
      <c r="G46" s="58"/>
      <c r="H46" s="58"/>
      <c r="I46" s="75"/>
      <c r="J46" s="62"/>
      <c r="K46" s="58"/>
      <c r="L46" s="58"/>
      <c r="M46" s="75"/>
      <c r="N46" s="62"/>
      <c r="O46" s="58"/>
      <c r="P46" s="58"/>
      <c r="Q46" s="75"/>
      <c r="R46" s="62"/>
      <c r="S46" s="58"/>
      <c r="T46" s="58"/>
      <c r="U46" s="75"/>
      <c r="V46" s="62"/>
      <c r="W46" s="58"/>
      <c r="X46" s="58"/>
      <c r="Y46" s="75"/>
    </row>
    <row r="47" spans="1:25" s="43" customFormat="1" ht="13">
      <c r="A47" s="100" t="s">
        <v>109</v>
      </c>
      <c r="B47" s="64">
        <f>SUM(B45:B46)</f>
        <v>0</v>
      </c>
      <c r="C47" s="64"/>
      <c r="D47" s="64"/>
      <c r="E47" s="64"/>
      <c r="F47" s="64">
        <f>SUM(F45:F46)</f>
        <v>0</v>
      </c>
      <c r="G47" s="64"/>
      <c r="H47" s="64"/>
      <c r="I47" s="64">
        <f>SUM(I45:I46)</f>
        <v>0</v>
      </c>
      <c r="J47" s="64"/>
      <c r="K47" s="64"/>
      <c r="L47" s="64"/>
      <c r="M47" s="64">
        <f>SUM(M45:M46)</f>
        <v>0</v>
      </c>
      <c r="N47" s="64"/>
      <c r="O47" s="64"/>
      <c r="P47" s="64"/>
      <c r="Q47" s="64">
        <f>SUM(Q45:Q46)</f>
        <v>0</v>
      </c>
      <c r="R47" s="64"/>
      <c r="S47" s="64"/>
      <c r="T47" s="64"/>
      <c r="U47" s="64">
        <f>SUM(U45:U46)</f>
        <v>0</v>
      </c>
      <c r="V47" s="64"/>
      <c r="W47" s="64"/>
      <c r="X47" s="64"/>
      <c r="Y47" s="64"/>
    </row>
    <row r="48" spans="1:25" ht="4.5" customHeight="1">
      <c r="A48" s="96"/>
      <c r="B48" s="62"/>
      <c r="C48" s="62"/>
      <c r="D48" s="62"/>
      <c r="E48" s="60"/>
      <c r="F48" s="62"/>
      <c r="G48" s="62"/>
      <c r="H48" s="62"/>
      <c r="I48" s="60"/>
      <c r="J48" s="62"/>
      <c r="K48" s="62"/>
      <c r="L48" s="62"/>
      <c r="M48" s="60"/>
      <c r="N48" s="62"/>
      <c r="O48" s="62"/>
      <c r="P48" s="62"/>
      <c r="Q48" s="60"/>
      <c r="R48" s="62"/>
      <c r="S48" s="62"/>
      <c r="T48" s="62"/>
      <c r="U48" s="60"/>
      <c r="V48" s="62"/>
      <c r="W48" s="62"/>
      <c r="X48" s="62"/>
      <c r="Y48" s="60"/>
    </row>
    <row r="49" spans="1:25" s="46" customFormat="1" ht="13">
      <c r="A49" s="96" t="s">
        <v>114</v>
      </c>
      <c r="B49" s="80">
        <f>B47</f>
        <v>0</v>
      </c>
      <c r="C49" s="80"/>
      <c r="D49" s="80"/>
      <c r="E49" s="80"/>
      <c r="F49" s="80">
        <f>F47</f>
        <v>0</v>
      </c>
      <c r="G49" s="80"/>
      <c r="H49" s="80"/>
      <c r="I49" s="80">
        <f>I47</f>
        <v>0</v>
      </c>
      <c r="J49" s="80"/>
      <c r="K49" s="80"/>
      <c r="L49" s="80"/>
      <c r="M49" s="80">
        <f>M47</f>
        <v>0</v>
      </c>
      <c r="N49" s="80"/>
      <c r="O49" s="80"/>
      <c r="P49" s="80"/>
      <c r="Q49" s="80">
        <f>Q47</f>
        <v>0</v>
      </c>
      <c r="R49" s="80"/>
      <c r="S49" s="80"/>
      <c r="T49" s="80"/>
      <c r="U49" s="80">
        <f>U47</f>
        <v>0</v>
      </c>
      <c r="V49" s="80"/>
      <c r="W49" s="80"/>
      <c r="X49" s="80"/>
      <c r="Y49" s="80"/>
    </row>
    <row r="50" spans="1:25" s="51" customFormat="1" ht="13">
      <c r="A50" s="43"/>
      <c r="B50" s="47"/>
      <c r="C50" s="47"/>
      <c r="D50" s="47"/>
      <c r="E50" s="48"/>
      <c r="F50" s="46"/>
      <c r="G50" s="49"/>
      <c r="H50" s="50"/>
      <c r="I50" s="46"/>
      <c r="J50" s="46"/>
      <c r="K50" s="49"/>
      <c r="L50" s="50"/>
      <c r="M50" s="46"/>
      <c r="N50" s="46"/>
      <c r="O50" s="49"/>
      <c r="P50" s="50"/>
      <c r="Q50" s="46"/>
      <c r="R50" s="46"/>
      <c r="S50" s="49"/>
      <c r="T50" s="50"/>
      <c r="U50" s="46"/>
      <c r="V50" s="46"/>
      <c r="W50" s="49"/>
      <c r="X50" s="50"/>
      <c r="Y50" s="46"/>
    </row>
    <row r="51" spans="1:25" ht="13">
      <c r="A51" s="43" t="s">
        <v>66</v>
      </c>
      <c r="B51" s="43"/>
      <c r="C51" s="45" t="s">
        <v>121</v>
      </c>
      <c r="D51" s="45"/>
      <c r="E51" s="45"/>
      <c r="F51" s="43"/>
      <c r="G51" s="45"/>
      <c r="H51" s="45"/>
      <c r="I51" s="43"/>
      <c r="J51" s="43"/>
      <c r="K51" s="45"/>
      <c r="L51" s="45"/>
      <c r="M51" s="43"/>
      <c r="N51" s="43"/>
      <c r="O51" s="45"/>
      <c r="P51" s="45"/>
      <c r="Q51" s="43"/>
      <c r="R51" s="43"/>
      <c r="S51" s="45"/>
      <c r="T51" s="45"/>
      <c r="V51" s="43"/>
      <c r="W51" s="45"/>
      <c r="X51" s="45"/>
      <c r="Y51" s="43"/>
    </row>
    <row r="52" spans="1:25">
      <c r="W52" s="45"/>
      <c r="X52" s="45"/>
    </row>
    <row r="53" spans="1:25" ht="13">
      <c r="A53" s="43" t="s">
        <v>122</v>
      </c>
      <c r="B53" s="43" t="s">
        <v>123</v>
      </c>
      <c r="D53" s="45"/>
      <c r="G53" s="45"/>
      <c r="I53" s="43"/>
      <c r="K53" s="45"/>
      <c r="M53" s="43"/>
      <c r="O53" s="45"/>
      <c r="P53" s="45"/>
      <c r="S53" s="45"/>
      <c r="T53" s="45"/>
      <c r="W53" s="45"/>
      <c r="X53" s="45"/>
    </row>
    <row r="54" spans="1:25" ht="13">
      <c r="A54" s="43" t="s">
        <v>124</v>
      </c>
      <c r="B54" s="43" t="s">
        <v>125</v>
      </c>
      <c r="D54" s="45"/>
      <c r="G54" s="45"/>
      <c r="I54" s="43"/>
      <c r="K54" s="45"/>
      <c r="M54" s="43"/>
      <c r="O54" s="45"/>
      <c r="P54" s="45"/>
      <c r="S54" s="45"/>
      <c r="T54" s="45"/>
    </row>
    <row r="55" spans="1:25" ht="13">
      <c r="A55" s="43" t="s">
        <v>126</v>
      </c>
      <c r="B55" s="43" t="s">
        <v>127</v>
      </c>
      <c r="D55" s="45"/>
      <c r="G55" s="45"/>
      <c r="I55" s="43"/>
      <c r="K55" s="45"/>
      <c r="M55" s="43"/>
      <c r="U55" s="52"/>
      <c r="V55" s="52"/>
      <c r="Y55" s="52"/>
    </row>
    <row r="56" spans="1:25" ht="13">
      <c r="A56" s="43" t="s">
        <v>128</v>
      </c>
      <c r="B56" s="43" t="s">
        <v>129</v>
      </c>
      <c r="D56" s="45"/>
      <c r="F56" s="52"/>
      <c r="I56" s="52"/>
      <c r="J56" s="52"/>
      <c r="M56" s="52"/>
      <c r="N56" s="52"/>
      <c r="Q56" s="52"/>
      <c r="R56" s="52"/>
      <c r="W56" s="45"/>
      <c r="X56" s="45"/>
    </row>
    <row r="57" spans="1:25" ht="13">
      <c r="A57" s="43"/>
      <c r="B57" s="43"/>
      <c r="D57" s="45"/>
      <c r="G57" s="45"/>
      <c r="I57" s="43"/>
      <c r="K57" s="45"/>
      <c r="M57" s="43"/>
      <c r="O57" s="45"/>
      <c r="P57" s="45"/>
      <c r="S57" s="45"/>
      <c r="T57" s="45"/>
      <c r="U57" s="52"/>
      <c r="V57" s="52"/>
      <c r="Y57" s="52"/>
    </row>
    <row r="58" spans="1:25">
      <c r="A58" s="52"/>
      <c r="B58" s="52"/>
      <c r="F58" s="52"/>
      <c r="I58" s="52"/>
      <c r="J58" s="52"/>
      <c r="M58" s="52"/>
      <c r="N58" s="52"/>
      <c r="Q58" s="52"/>
      <c r="R58" s="52"/>
      <c r="U58" s="52"/>
      <c r="V58" s="52"/>
      <c r="Y58" s="52"/>
    </row>
    <row r="59" spans="1:25">
      <c r="A59" s="52"/>
      <c r="B59" s="52"/>
      <c r="F59" s="52"/>
      <c r="I59" s="52"/>
      <c r="J59" s="52"/>
      <c r="M59" s="52"/>
      <c r="N59" s="52"/>
      <c r="Q59" s="52"/>
      <c r="R59" s="52"/>
      <c r="U59" s="52"/>
      <c r="V59" s="52"/>
      <c r="Y59" s="52"/>
    </row>
    <row r="60" spans="1:25">
      <c r="A60" s="52"/>
      <c r="B60" s="52"/>
      <c r="F60" s="52"/>
      <c r="I60" s="52"/>
      <c r="J60" s="52"/>
      <c r="M60" s="52"/>
      <c r="N60" s="52"/>
      <c r="Q60" s="52"/>
      <c r="R60" s="52"/>
      <c r="U60" s="52"/>
      <c r="V60" s="52"/>
      <c r="Y60" s="52"/>
    </row>
  </sheetData>
  <sheetProtection password="F485" sheet="1" objects="1" scenarios="1"/>
  <mergeCells count="12">
    <mergeCell ref="B3:E3"/>
    <mergeCell ref="F3:I3"/>
    <mergeCell ref="B25:E25"/>
    <mergeCell ref="F25:I25"/>
    <mergeCell ref="V3:Y3"/>
    <mergeCell ref="R25:U25"/>
    <mergeCell ref="V25:Y25"/>
    <mergeCell ref="N25:Q25"/>
    <mergeCell ref="J25:M25"/>
    <mergeCell ref="J3:M3"/>
    <mergeCell ref="N3:Q3"/>
    <mergeCell ref="R3:U3"/>
  </mergeCells>
  <phoneticPr fontId="0" type="noConversion"/>
  <printOptions horizontalCentered="1" verticalCentered="1"/>
  <pageMargins left="0" right="0" top="1" bottom="1" header="0.5" footer="0.5"/>
  <pageSetup scale="44" orientation="landscape" cellComments="asDisplayed" r:id="rId1"/>
  <headerFooter alignWithMargins="0">
    <oddHeader xml:space="preserve">&amp;C&amp;"Arial,Bold"San Diego Gas and Electric
Program Subscription Statistics
MARCH 2016
</oddHeader>
    <oddFooter>&amp;L&amp;F</oddFooter>
  </headerFooter>
  <customProperties>
    <customPr name="_pios_id" r:id="rId2"/>
  </customProperties>
  <ignoredErrors>
    <ignoredError sqref="M28:M33 M35:M40" unlocked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0"/>
    <pageSetUpPr fitToPage="1"/>
  </sheetPr>
  <dimension ref="A2:N49"/>
  <sheetViews>
    <sheetView showRuler="0" showWhiteSpace="0" topLeftCell="A6" zoomScale="80" zoomScaleNormal="80" workbookViewId="0">
      <selection activeCell="R29" sqref="R29"/>
    </sheetView>
  </sheetViews>
  <sheetFormatPr defaultColWidth="9.26953125" defaultRowHeight="12.5"/>
  <cols>
    <col min="1" max="1" width="48" style="44" customWidth="1"/>
    <col min="2" max="3" width="13" style="44" customWidth="1"/>
    <col min="4" max="13" width="13.453125" style="44" customWidth="1"/>
    <col min="14" max="14" width="23.26953125" style="44" bestFit="1" customWidth="1"/>
    <col min="15" max="16384" width="9.26953125" style="44"/>
  </cols>
  <sheetData>
    <row r="2" spans="1:13" ht="20">
      <c r="B2" s="364" t="s">
        <v>39</v>
      </c>
      <c r="C2" s="43"/>
      <c r="D2" s="43"/>
      <c r="E2" s="365"/>
      <c r="F2" s="365"/>
      <c r="G2" s="365"/>
      <c r="H2" s="365"/>
      <c r="I2" s="365"/>
      <c r="J2" s="365"/>
      <c r="K2" s="365"/>
      <c r="L2" s="365"/>
      <c r="M2" s="365"/>
    </row>
    <row r="3" spans="1:13" ht="18">
      <c r="B3" s="688" t="s">
        <v>130</v>
      </c>
      <c r="C3" s="688"/>
      <c r="D3" s="688"/>
      <c r="E3" s="688"/>
      <c r="F3" s="688"/>
      <c r="G3" s="688"/>
      <c r="H3" s="688"/>
      <c r="I3" s="688"/>
      <c r="J3" s="688"/>
      <c r="K3" s="688"/>
      <c r="L3" s="688"/>
      <c r="M3" s="688"/>
    </row>
    <row r="4" spans="1:13" ht="18">
      <c r="A4" s="165"/>
      <c r="B4" s="43"/>
      <c r="C4" s="43"/>
      <c r="D4" s="43"/>
      <c r="E4" s="43"/>
      <c r="F4" s="366"/>
      <c r="G4" s="689" t="str">
        <f>'Program MW '!H3</f>
        <v>September 2020</v>
      </c>
      <c r="H4" s="689"/>
      <c r="I4" s="366"/>
      <c r="J4" s="43"/>
      <c r="K4" s="43"/>
      <c r="L4" s="43"/>
      <c r="M4" s="43"/>
    </row>
    <row r="5" spans="1:13">
      <c r="B5" s="203"/>
      <c r="C5" s="203"/>
      <c r="D5" s="203"/>
    </row>
    <row r="7" spans="1:13" ht="21.75" customHeight="1">
      <c r="A7" s="94"/>
      <c r="B7" s="166" t="s">
        <v>10</v>
      </c>
      <c r="C7" s="166" t="s">
        <v>28</v>
      </c>
      <c r="D7" s="166" t="s">
        <v>43</v>
      </c>
      <c r="E7" s="166" t="s">
        <v>44</v>
      </c>
      <c r="F7" s="166" t="s">
        <v>131</v>
      </c>
      <c r="G7" s="166" t="s">
        <v>45</v>
      </c>
      <c r="H7" s="166" t="s">
        <v>60</v>
      </c>
      <c r="I7" s="166" t="s">
        <v>75</v>
      </c>
      <c r="J7" s="166" t="s">
        <v>76</v>
      </c>
      <c r="K7" s="166" t="s">
        <v>62</v>
      </c>
      <c r="L7" s="166" t="s">
        <v>77</v>
      </c>
      <c r="M7" s="167" t="s">
        <v>63</v>
      </c>
    </row>
    <row r="8" spans="1:13" ht="26">
      <c r="A8" s="290" t="s">
        <v>132</v>
      </c>
      <c r="B8" s="317" t="s">
        <v>104</v>
      </c>
      <c r="C8" s="128" t="s">
        <v>104</v>
      </c>
      <c r="D8" s="128" t="s">
        <v>104</v>
      </c>
      <c r="E8" s="128" t="s">
        <v>104</v>
      </c>
      <c r="F8" s="128" t="s">
        <v>104</v>
      </c>
      <c r="G8" s="128" t="s">
        <v>104</v>
      </c>
      <c r="H8" s="128" t="s">
        <v>104</v>
      </c>
      <c r="I8" s="128" t="s">
        <v>104</v>
      </c>
      <c r="J8" s="128" t="s">
        <v>104</v>
      </c>
      <c r="K8" s="128" t="s">
        <v>104</v>
      </c>
      <c r="L8" s="128" t="s">
        <v>133</v>
      </c>
      <c r="M8" s="128" t="s">
        <v>133</v>
      </c>
    </row>
    <row r="9" spans="1:13">
      <c r="A9" s="316" t="s">
        <v>107</v>
      </c>
      <c r="B9" s="318">
        <v>1.23E-2</v>
      </c>
      <c r="C9" s="318">
        <v>1.23E-2</v>
      </c>
      <c r="D9" s="318">
        <v>1.23E-2</v>
      </c>
      <c r="E9" s="318">
        <v>1.23E-2</v>
      </c>
      <c r="F9" s="318">
        <v>1.23E-2</v>
      </c>
      <c r="G9" s="318">
        <v>1.23E-2</v>
      </c>
      <c r="H9" s="318">
        <v>1.23E-2</v>
      </c>
      <c r="I9" s="318">
        <v>1.23E-2</v>
      </c>
      <c r="J9" s="318">
        <v>1.23E-2</v>
      </c>
      <c r="K9" s="318">
        <v>0</v>
      </c>
      <c r="L9" s="318">
        <v>0</v>
      </c>
      <c r="M9" s="318">
        <v>1.23E-2</v>
      </c>
    </row>
    <row r="10" spans="1:13">
      <c r="A10" s="316" t="s">
        <v>108</v>
      </c>
      <c r="B10" s="318">
        <v>0</v>
      </c>
      <c r="C10" s="318">
        <v>0</v>
      </c>
      <c r="D10" s="318">
        <v>0</v>
      </c>
      <c r="E10" s="318">
        <v>0</v>
      </c>
      <c r="F10" s="318">
        <v>0</v>
      </c>
      <c r="G10" s="318">
        <v>0</v>
      </c>
      <c r="H10" s="318">
        <v>0</v>
      </c>
      <c r="I10" s="318">
        <v>0</v>
      </c>
      <c r="J10" s="318">
        <v>0</v>
      </c>
      <c r="K10" s="318">
        <v>0</v>
      </c>
      <c r="L10" s="318">
        <v>0</v>
      </c>
      <c r="M10" s="318">
        <v>0</v>
      </c>
    </row>
    <row r="11" spans="1:13">
      <c r="A11" s="169" t="s">
        <v>134</v>
      </c>
      <c r="B11" s="318">
        <v>0</v>
      </c>
      <c r="C11" s="318">
        <v>0</v>
      </c>
      <c r="D11" s="318">
        <v>0</v>
      </c>
      <c r="E11" s="318">
        <v>0</v>
      </c>
      <c r="F11" s="318">
        <v>0</v>
      </c>
      <c r="G11" s="318">
        <v>0</v>
      </c>
      <c r="H11" s="318">
        <v>0</v>
      </c>
      <c r="I11" s="318">
        <v>0</v>
      </c>
      <c r="J11" s="318">
        <v>0</v>
      </c>
      <c r="K11" s="318">
        <v>0</v>
      </c>
      <c r="L11" s="318">
        <v>0</v>
      </c>
      <c r="M11" s="57">
        <v>0</v>
      </c>
    </row>
    <row r="12" spans="1:13">
      <c r="A12" s="169" t="s">
        <v>135</v>
      </c>
      <c r="B12" s="318">
        <v>0</v>
      </c>
      <c r="C12" s="318">
        <v>0</v>
      </c>
      <c r="D12" s="318">
        <v>0</v>
      </c>
      <c r="E12" s="318">
        <v>0</v>
      </c>
      <c r="F12" s="318">
        <v>0</v>
      </c>
      <c r="G12" s="318">
        <v>0</v>
      </c>
      <c r="H12" s="318">
        <v>0</v>
      </c>
      <c r="I12" s="318">
        <v>0</v>
      </c>
      <c r="J12" s="318">
        <v>0</v>
      </c>
      <c r="K12" s="318">
        <v>0</v>
      </c>
      <c r="L12" s="318">
        <v>0</v>
      </c>
      <c r="M12" s="104">
        <v>0</v>
      </c>
    </row>
    <row r="13" spans="1:13" s="43" customFormat="1" ht="13">
      <c r="A13" s="168" t="s">
        <v>109</v>
      </c>
      <c r="B13" s="106">
        <f t="shared" ref="B13:G13" si="0">SUM(B9:B12)</f>
        <v>1.23E-2</v>
      </c>
      <c r="C13" s="106">
        <f t="shared" si="0"/>
        <v>1.23E-2</v>
      </c>
      <c r="D13" s="106">
        <f t="shared" si="0"/>
        <v>1.23E-2</v>
      </c>
      <c r="E13" s="106">
        <f t="shared" si="0"/>
        <v>1.23E-2</v>
      </c>
      <c r="F13" s="106">
        <f t="shared" si="0"/>
        <v>1.23E-2</v>
      </c>
      <c r="G13" s="106">
        <f t="shared" si="0"/>
        <v>1.23E-2</v>
      </c>
      <c r="H13" s="60">
        <f t="shared" ref="H13" si="1">SUM(H9:H12)</f>
        <v>1.23E-2</v>
      </c>
      <c r="I13" s="60">
        <f t="shared" ref="I13:M13" si="2">SUM(I9:I12)</f>
        <v>1.23E-2</v>
      </c>
      <c r="J13" s="60">
        <f t="shared" si="2"/>
        <v>1.23E-2</v>
      </c>
      <c r="K13" s="458">
        <f t="shared" si="2"/>
        <v>0</v>
      </c>
      <c r="L13" s="458">
        <f t="shared" si="2"/>
        <v>0</v>
      </c>
      <c r="M13" s="60">
        <f t="shared" si="2"/>
        <v>1.23E-2</v>
      </c>
    </row>
    <row r="14" spans="1:13" s="51" customFormat="1" ht="13">
      <c r="A14" s="43"/>
      <c r="B14" s="47"/>
      <c r="C14" s="49"/>
      <c r="D14" s="49"/>
      <c r="E14" s="49"/>
      <c r="F14" s="49"/>
      <c r="G14" s="49"/>
    </row>
    <row r="15" spans="1:13" ht="14">
      <c r="A15" s="262" t="s">
        <v>66</v>
      </c>
      <c r="G15" s="45"/>
    </row>
    <row r="16" spans="1:13" ht="15.5">
      <c r="A16" s="405" t="s">
        <v>136</v>
      </c>
      <c r="B16" s="203"/>
      <c r="C16" s="203"/>
      <c r="D16" s="300"/>
      <c r="E16" s="300"/>
      <c r="F16" s="300"/>
      <c r="G16" s="203"/>
      <c r="H16" s="203"/>
      <c r="I16" s="203"/>
      <c r="J16" s="203"/>
      <c r="K16" s="203"/>
    </row>
    <row r="17" spans="1:14" ht="15.5">
      <c r="A17" s="404"/>
    </row>
    <row r="20" spans="1:14" ht="21.75" customHeight="1">
      <c r="A20" s="94"/>
      <c r="B20" s="166" t="s">
        <v>10</v>
      </c>
      <c r="C20" s="166" t="s">
        <v>28</v>
      </c>
      <c r="D20" s="166" t="s">
        <v>43</v>
      </c>
      <c r="E20" s="166" t="s">
        <v>44</v>
      </c>
      <c r="F20" s="166" t="s">
        <v>131</v>
      </c>
      <c r="G20" s="166" t="s">
        <v>45</v>
      </c>
      <c r="H20" s="166" t="s">
        <v>60</v>
      </c>
      <c r="I20" s="166" t="s">
        <v>75</v>
      </c>
      <c r="J20" s="166" t="s">
        <v>76</v>
      </c>
      <c r="K20" s="166" t="s">
        <v>62</v>
      </c>
      <c r="L20" s="166" t="s">
        <v>77</v>
      </c>
      <c r="M20" s="167" t="s">
        <v>63</v>
      </c>
      <c r="N20" s="369"/>
    </row>
    <row r="21" spans="1:14" ht="52">
      <c r="A21" s="289" t="s">
        <v>132</v>
      </c>
      <c r="B21" s="128" t="s">
        <v>137</v>
      </c>
      <c r="C21" s="128" t="str">
        <f>B21</f>
        <v>Technology Deployment- Residential MWs</v>
      </c>
      <c r="D21" s="128" t="str">
        <f>B21</f>
        <v>Technology Deployment- Residential MWs</v>
      </c>
      <c r="E21" s="128" t="str">
        <f t="shared" ref="E21:M21" si="3">C21</f>
        <v>Technology Deployment- Residential MWs</v>
      </c>
      <c r="F21" s="128" t="str">
        <f t="shared" si="3"/>
        <v>Technology Deployment- Residential MWs</v>
      </c>
      <c r="G21" s="128" t="str">
        <f t="shared" si="3"/>
        <v>Technology Deployment- Residential MWs</v>
      </c>
      <c r="H21" s="128" t="str">
        <f t="shared" si="3"/>
        <v>Technology Deployment- Residential MWs</v>
      </c>
      <c r="I21" s="128" t="str">
        <f t="shared" si="3"/>
        <v>Technology Deployment- Residential MWs</v>
      </c>
      <c r="J21" s="128" t="str">
        <f t="shared" si="3"/>
        <v>Technology Deployment- Residential MWs</v>
      </c>
      <c r="K21" s="128" t="str">
        <f t="shared" si="3"/>
        <v>Technology Deployment- Residential MWs</v>
      </c>
      <c r="L21" s="128" t="str">
        <f t="shared" si="3"/>
        <v>Technology Deployment- Residential MWs</v>
      </c>
      <c r="M21" s="128" t="str">
        <f t="shared" si="3"/>
        <v>Technology Deployment- Residential MWs</v>
      </c>
      <c r="N21" s="369"/>
    </row>
    <row r="22" spans="1:14">
      <c r="A22" s="169" t="s">
        <v>17</v>
      </c>
      <c r="B22" s="57">
        <f>'Program MW '!D15</f>
        <v>3.0827200000000001</v>
      </c>
      <c r="C22" s="57">
        <f>'Program MW '!G15</f>
        <v>3.1022400000000001</v>
      </c>
      <c r="D22" s="57">
        <f>'Program MW '!J15</f>
        <v>4.2930799999999998</v>
      </c>
      <c r="E22" s="57">
        <f>'Program MW '!M15</f>
        <v>3.3770000000000002</v>
      </c>
      <c r="F22" s="57">
        <f>'Program MW '!P15</f>
        <v>3.4425600000000003</v>
      </c>
      <c r="G22" s="57">
        <f>'Program MW '!S15</f>
        <v>3.2876799999999999</v>
      </c>
      <c r="H22" s="57">
        <f>'Program MW '!D38</f>
        <v>3.3235399999999999</v>
      </c>
      <c r="I22" s="57">
        <f>'Program MW '!G38</f>
        <v>3.3682000000000003</v>
      </c>
      <c r="J22" s="57">
        <f>'Program MW '!J38</f>
        <v>3.4177</v>
      </c>
      <c r="K22" s="57">
        <v>0</v>
      </c>
      <c r="L22" s="57">
        <v>0</v>
      </c>
      <c r="M22" s="57">
        <v>0</v>
      </c>
      <c r="N22" s="369"/>
    </row>
    <row r="23" spans="1:14">
      <c r="A23" s="169" t="s">
        <v>27</v>
      </c>
      <c r="B23" s="57">
        <f>'Ex post LI &amp; Eligibility Stats'!B11*1008/1000</f>
        <v>0.16128000000000001</v>
      </c>
      <c r="C23" s="57">
        <f>'Ex post LI &amp; Eligibility Stats'!C11*1014/1000</f>
        <v>0.16224</v>
      </c>
      <c r="D23" s="57">
        <f>'Ex post LI &amp; Eligibility Stats'!D11*1015/1000</f>
        <v>0.2233</v>
      </c>
      <c r="E23" s="57">
        <f>'Ex post LI &amp; Eligibility Stats'!E11*960/1000</f>
        <v>0.2112</v>
      </c>
      <c r="F23" s="57">
        <f>'Ex post LI &amp; Eligibility Stats'!F11*994/1000</f>
        <v>0.21868000000000001</v>
      </c>
      <c r="G23" s="57">
        <f>'Ex post LI &amp; Eligibility Stats'!G11*980/1000</f>
        <v>0.21559999999999999</v>
      </c>
      <c r="H23" s="57">
        <f>'Ex post LI &amp; Eligibility Stats'!H11*977/1000</f>
        <v>0.21493999999999999</v>
      </c>
      <c r="I23" s="57">
        <f>'Ex post LI &amp; Eligibility Stats'!I11*960/1000</f>
        <v>0.2112</v>
      </c>
      <c r="J23" s="57">
        <f>'Ex post LI &amp; Eligibility Stats'!J11*948/1000</f>
        <v>0.20856</v>
      </c>
      <c r="K23" s="57">
        <v>0</v>
      </c>
      <c r="L23" s="57">
        <v>0</v>
      </c>
      <c r="M23" s="57">
        <v>0</v>
      </c>
    </row>
    <row r="24" spans="1:14">
      <c r="A24" s="169" t="s">
        <v>135</v>
      </c>
      <c r="B24" s="57">
        <f>'Ex post LI &amp; Eligibility Stats'!B11*1489/1000</f>
        <v>0.23824000000000001</v>
      </c>
      <c r="C24" s="57">
        <f>'Ex post LI &amp; Eligibility Stats'!C11*1487/1000</f>
        <v>0.23792000000000002</v>
      </c>
      <c r="D24" s="57">
        <f>'Ex post LI &amp; Eligibility Stats'!D11*1490/1000</f>
        <v>0.32780000000000004</v>
      </c>
      <c r="E24" s="57">
        <f>'Ex post LI &amp; Eligibility Stats'!E11*1442/1000</f>
        <v>0.31724000000000002</v>
      </c>
      <c r="F24" s="57">
        <f>'Ex post LI &amp; Eligibility Stats'!F11*1513/1000</f>
        <v>0.33285999999999999</v>
      </c>
      <c r="G24" s="57">
        <f>'Ex post LI &amp; Eligibility Stats'!G11*1511/1000</f>
        <v>0.33241999999999999</v>
      </c>
      <c r="H24" s="57">
        <f>'Ex post LI &amp; Eligibility Stats'!H11*1574/1000</f>
        <v>0.34628000000000003</v>
      </c>
      <c r="I24" s="57">
        <f>'Ex post LI &amp; Eligibility Stats'!I11*1877/1000</f>
        <v>0.41293999999999997</v>
      </c>
      <c r="J24" s="57">
        <f>'Ex post LI &amp; Eligibility Stats'!J11*1909/1000</f>
        <v>0.41998000000000002</v>
      </c>
      <c r="K24" s="57">
        <v>0</v>
      </c>
      <c r="L24" s="57">
        <v>0</v>
      </c>
      <c r="M24" s="57">
        <v>0</v>
      </c>
    </row>
    <row r="25" spans="1:14" s="43" customFormat="1" ht="13">
      <c r="A25" s="168" t="s">
        <v>109</v>
      </c>
      <c r="B25" s="106">
        <f t="shared" ref="B25:L25" si="4">SUM(B22:B24)</f>
        <v>3.48224</v>
      </c>
      <c r="C25" s="60">
        <f t="shared" si="4"/>
        <v>3.5024000000000002</v>
      </c>
      <c r="D25" s="60">
        <f t="shared" si="4"/>
        <v>4.8441799999999997</v>
      </c>
      <c r="E25" s="60">
        <f t="shared" si="4"/>
        <v>3.90544</v>
      </c>
      <c r="F25" s="60">
        <f t="shared" ref="F25" si="5">SUM(F22:F24)</f>
        <v>3.9941000000000004</v>
      </c>
      <c r="G25" s="60">
        <f t="shared" si="4"/>
        <v>3.8356999999999997</v>
      </c>
      <c r="H25" s="60">
        <f t="shared" si="4"/>
        <v>3.88476</v>
      </c>
      <c r="I25" s="60">
        <f t="shared" ref="I25:J25" si="6">SUM(I22:I24)</f>
        <v>3.99234</v>
      </c>
      <c r="J25" s="60">
        <f t="shared" si="6"/>
        <v>4.0462400000000001</v>
      </c>
      <c r="K25" s="60">
        <f t="shared" si="4"/>
        <v>0</v>
      </c>
      <c r="L25" s="60">
        <f t="shared" si="4"/>
        <v>0</v>
      </c>
      <c r="M25" s="60">
        <f t="shared" ref="M25" si="7">SUM(M22:M24)</f>
        <v>0</v>
      </c>
    </row>
    <row r="26" spans="1:14" s="51" customFormat="1" ht="13">
      <c r="A26" s="43"/>
      <c r="B26" s="47"/>
      <c r="C26" s="49"/>
      <c r="D26" s="49"/>
      <c r="E26" s="49"/>
      <c r="F26" s="49"/>
      <c r="G26" s="49"/>
    </row>
    <row r="27" spans="1:14" ht="14">
      <c r="A27" s="262" t="s">
        <v>66</v>
      </c>
      <c r="G27" s="45"/>
    </row>
    <row r="28" spans="1:14" ht="15.5">
      <c r="A28" s="403" t="s">
        <v>138</v>
      </c>
      <c r="G28" s="45"/>
    </row>
    <row r="29" spans="1:14" ht="15.5">
      <c r="A29" s="404"/>
      <c r="C29" s="45"/>
      <c r="D29" s="45"/>
      <c r="E29" s="45"/>
      <c r="F29" s="45"/>
      <c r="G29" s="45"/>
    </row>
    <row r="30" spans="1:14">
      <c r="C30" s="45"/>
      <c r="D30" s="45"/>
      <c r="E30" s="45"/>
      <c r="F30" s="45"/>
      <c r="G30" s="45"/>
    </row>
    <row r="31" spans="1:14" ht="21.75" customHeight="1">
      <c r="A31" s="94"/>
      <c r="B31" s="166" t="s">
        <v>10</v>
      </c>
      <c r="C31" s="166" t="s">
        <v>28</v>
      </c>
      <c r="D31" s="166" t="s">
        <v>43</v>
      </c>
      <c r="E31" s="166" t="s">
        <v>44</v>
      </c>
      <c r="F31" s="166" t="s">
        <v>131</v>
      </c>
      <c r="G31" s="166" t="s">
        <v>45</v>
      </c>
      <c r="H31" s="166" t="s">
        <v>60</v>
      </c>
      <c r="I31" s="166" t="s">
        <v>75</v>
      </c>
      <c r="J31" s="166" t="s">
        <v>76</v>
      </c>
      <c r="K31" s="166" t="s">
        <v>62</v>
      </c>
      <c r="L31" s="166" t="s">
        <v>77</v>
      </c>
      <c r="M31" s="167" t="s">
        <v>63</v>
      </c>
    </row>
    <row r="32" spans="1:14" ht="52">
      <c r="A32" s="289" t="s">
        <v>132</v>
      </c>
      <c r="B32" s="128" t="s">
        <v>139</v>
      </c>
      <c r="C32" s="128" t="str">
        <f>B32</f>
        <v>Technology Deployment- Commercial MWs</v>
      </c>
      <c r="D32" s="128" t="str">
        <f>B32</f>
        <v>Technology Deployment- Commercial MWs</v>
      </c>
      <c r="E32" s="128" t="str">
        <f t="shared" ref="E32" si="8">C32</f>
        <v>Technology Deployment- Commercial MWs</v>
      </c>
      <c r="F32" s="128" t="str">
        <f t="shared" ref="F32" si="9">D32</f>
        <v>Technology Deployment- Commercial MWs</v>
      </c>
      <c r="G32" s="128" t="str">
        <f t="shared" ref="G32" si="10">E32</f>
        <v>Technology Deployment- Commercial MWs</v>
      </c>
      <c r="H32" s="128" t="str">
        <f t="shared" ref="H32" si="11">F32</f>
        <v>Technology Deployment- Commercial MWs</v>
      </c>
      <c r="I32" s="128" t="s">
        <v>140</v>
      </c>
      <c r="J32" s="128" t="str">
        <f t="shared" ref="J32" si="12">H32</f>
        <v>Technology Deployment- Commercial MWs</v>
      </c>
      <c r="K32" s="128" t="str">
        <f>B32</f>
        <v>Technology Deployment- Commercial MWs</v>
      </c>
      <c r="L32" s="128" t="s">
        <v>140</v>
      </c>
      <c r="M32" s="128" t="str">
        <f t="shared" ref="M32" si="13">K32</f>
        <v>Technology Deployment- Commercial MWs</v>
      </c>
    </row>
    <row r="33" spans="1:13">
      <c r="A33" s="169" t="s">
        <v>20</v>
      </c>
      <c r="B33" s="57">
        <f>'Program MW '!D18</f>
        <v>0.37775999999999998</v>
      </c>
      <c r="C33" s="57">
        <f>'Program MW '!G16</f>
        <v>0.76703999999999994</v>
      </c>
      <c r="D33" s="57">
        <f>'Program MW '!J16</f>
        <v>0.58787999999999996</v>
      </c>
      <c r="E33" s="57">
        <f>'Program MW '!M16</f>
        <v>0.34559999999999996</v>
      </c>
      <c r="F33" s="57">
        <f>'Program MW '!P16</f>
        <v>0.34991999999999995</v>
      </c>
      <c r="G33" s="57">
        <f>'Program MW '!S16</f>
        <v>0.35279999999999995</v>
      </c>
      <c r="H33" s="57">
        <f>'Program MW '!D39</f>
        <v>0.35495999999999994</v>
      </c>
      <c r="I33" s="57">
        <f>'Program MW '!G39</f>
        <v>0.37475999999999998</v>
      </c>
      <c r="J33" s="57">
        <f>'Program MW '!J41</f>
        <v>0.28538999999999998</v>
      </c>
      <c r="K33" s="57">
        <v>0</v>
      </c>
      <c r="L33" s="57">
        <v>0</v>
      </c>
      <c r="M33" s="57">
        <v>0</v>
      </c>
    </row>
    <row r="34" spans="1:13">
      <c r="A34" s="169" t="s">
        <v>26</v>
      </c>
      <c r="B34" s="57">
        <f>'Ex post LI &amp; Eligibility Stats'!B12*1165/1000</f>
        <v>0.54754999999999998</v>
      </c>
      <c r="C34" s="57">
        <f>'Ex post LI &amp; Eligibility Stats'!C12*1151/1000</f>
        <v>0.54096999999999995</v>
      </c>
      <c r="D34" s="57">
        <f>'Ex post LI &amp; Eligibility Stats'!D12*727/1000</f>
        <v>0.26171999999999995</v>
      </c>
      <c r="E34" s="57">
        <f>'Ex post LI &amp; Eligibility Stats'!E12*1152/1000</f>
        <v>0.41471999999999998</v>
      </c>
      <c r="F34" s="57">
        <f>'Ex post LI &amp; Eligibility Stats'!F12*774/1000</f>
        <v>0.27864</v>
      </c>
      <c r="G34" s="57">
        <f>'Ex post LI &amp; Eligibility Stats'!G12*709/1000</f>
        <v>0.25523999999999997</v>
      </c>
      <c r="H34" s="57">
        <f>'Ex post LI &amp; Eligibility Stats'!H12*698/1000</f>
        <v>0.25128</v>
      </c>
      <c r="I34" s="57">
        <f>'Ex post LI &amp; Eligibility Stats'!I12*687/1000</f>
        <v>0.24731999999999998</v>
      </c>
      <c r="J34" s="57">
        <f>'Ex post LI &amp; Eligibility Stats'!J12*679/1000</f>
        <v>0.24443999999999999</v>
      </c>
      <c r="K34" s="57">
        <v>0</v>
      </c>
      <c r="L34" s="57">
        <v>0</v>
      </c>
      <c r="M34" s="57">
        <v>0</v>
      </c>
    </row>
    <row r="35" spans="1:13">
      <c r="A35" s="501" t="s">
        <v>56</v>
      </c>
      <c r="B35" s="473">
        <v>0</v>
      </c>
      <c r="C35" s="473">
        <v>0</v>
      </c>
      <c r="D35" s="473">
        <v>0</v>
      </c>
      <c r="E35" s="473">
        <v>0</v>
      </c>
      <c r="F35" s="473">
        <v>0</v>
      </c>
      <c r="G35" s="473">
        <v>0</v>
      </c>
      <c r="H35" s="473">
        <v>0</v>
      </c>
      <c r="I35" s="473">
        <v>0</v>
      </c>
      <c r="J35" s="473">
        <v>0</v>
      </c>
      <c r="K35" s="57">
        <v>0</v>
      </c>
      <c r="L35" s="57">
        <v>0</v>
      </c>
      <c r="M35" s="57">
        <v>0</v>
      </c>
    </row>
    <row r="36" spans="1:13">
      <c r="A36" s="169" t="s">
        <v>107</v>
      </c>
      <c r="B36" s="57">
        <f>'Ex post LI &amp; Eligibility Stats'!B12*570/1000</f>
        <v>0.26789999999999997</v>
      </c>
      <c r="C36" s="57">
        <f>'Ex post LI &amp; Eligibility Stats'!C12*569/1000</f>
        <v>0.26743</v>
      </c>
      <c r="D36" s="57">
        <f>'Ex post LI &amp; Eligibility Stats'!D12*466/1000</f>
        <v>0.16775999999999999</v>
      </c>
      <c r="E36" s="57">
        <f>'Ex post LI &amp; Eligibility Stats'!E12*569/1000</f>
        <v>0.20483999999999999</v>
      </c>
      <c r="F36" s="57">
        <f>'Ex post LI &amp; Eligibility Stats'!F12*457/1000</f>
        <v>0.16451999999999997</v>
      </c>
      <c r="G36" s="57">
        <f>'Ex post LI &amp; Eligibility Stats'!G12*447/1000</f>
        <v>0.16091999999999998</v>
      </c>
      <c r="H36" s="57">
        <f>'Ex post LI &amp; Eligibility Stats'!H12*440/1000</f>
        <v>0.15840000000000001</v>
      </c>
      <c r="I36" s="57">
        <f>'Ex post LI &amp; Eligibility Stats'!I12*388/1000</f>
        <v>0.13968</v>
      </c>
      <c r="J36" s="57">
        <f>'Ex post LI &amp; Eligibility Stats'!J12*386/1000</f>
        <v>0.13896</v>
      </c>
      <c r="K36" s="57">
        <v>0</v>
      </c>
      <c r="L36" s="57">
        <v>0</v>
      </c>
      <c r="M36" s="57">
        <v>0</v>
      </c>
    </row>
    <row r="37" spans="1:13">
      <c r="A37" s="169" t="s">
        <v>108</v>
      </c>
      <c r="B37" s="57">
        <f>'Ex post LI &amp; Eligibility Stats'!B13*570/1000</f>
        <v>0.14249999999999999</v>
      </c>
      <c r="C37" s="57">
        <f>'Program MW '!E19</f>
        <v>0</v>
      </c>
      <c r="D37" s="57">
        <f>'Program MW '!F19</f>
        <v>0</v>
      </c>
      <c r="E37" s="57">
        <v>0</v>
      </c>
      <c r="F37" s="57">
        <v>0</v>
      </c>
      <c r="G37" s="57">
        <v>0</v>
      </c>
      <c r="H37" s="57">
        <v>0</v>
      </c>
      <c r="I37" s="57">
        <v>0</v>
      </c>
      <c r="J37" s="57">
        <v>0</v>
      </c>
      <c r="K37" s="57">
        <v>0</v>
      </c>
      <c r="L37" s="57">
        <v>0</v>
      </c>
      <c r="M37" s="57">
        <v>0</v>
      </c>
    </row>
    <row r="38" spans="1:13">
      <c r="A38" s="169" t="s">
        <v>134</v>
      </c>
      <c r="B38" s="57">
        <f>'Ex post LI &amp; Eligibility Stats'!B14*570/1000</f>
        <v>6.8399999999999989E-2</v>
      </c>
      <c r="C38" s="57">
        <f>'Program MW '!E20</f>
        <v>0</v>
      </c>
      <c r="D38" s="57">
        <f>'Program MW '!F20</f>
        <v>0</v>
      </c>
      <c r="E38" s="57">
        <v>0</v>
      </c>
      <c r="F38" s="57">
        <v>0</v>
      </c>
      <c r="G38" s="57">
        <v>0</v>
      </c>
      <c r="H38" s="57">
        <v>0</v>
      </c>
      <c r="I38" s="57">
        <v>0</v>
      </c>
      <c r="J38" s="57">
        <v>0</v>
      </c>
      <c r="K38" s="57">
        <v>0</v>
      </c>
      <c r="L38" s="57">
        <v>0</v>
      </c>
      <c r="M38" s="57">
        <v>0</v>
      </c>
    </row>
    <row r="39" spans="1:13">
      <c r="A39" s="169" t="s">
        <v>135</v>
      </c>
      <c r="B39" s="57">
        <f>'Ex post LI &amp; Eligibility Stats'!B15*1/1000</f>
        <v>6.9500000000000004E-3</v>
      </c>
      <c r="C39" s="57">
        <f>'Ex post LI &amp; Eligibility Stats'!C15*1/1000</f>
        <v>6.9500000000000004E-3</v>
      </c>
      <c r="D39" s="57">
        <f>'Ex post LI &amp; Eligibility Stats'!D15*1/1000</f>
        <v>2.63E-2</v>
      </c>
      <c r="E39" s="57">
        <v>0</v>
      </c>
      <c r="F39" s="57">
        <v>0</v>
      </c>
      <c r="G39" s="57">
        <v>0</v>
      </c>
      <c r="H39" s="57">
        <v>0</v>
      </c>
      <c r="I39" s="57">
        <v>0</v>
      </c>
      <c r="J39" s="57">
        <v>0</v>
      </c>
      <c r="K39" s="57">
        <v>0</v>
      </c>
      <c r="L39" s="57">
        <v>0</v>
      </c>
      <c r="M39" s="57">
        <v>0</v>
      </c>
    </row>
    <row r="40" spans="1:13" s="43" customFormat="1" ht="13">
      <c r="A40" s="168" t="s">
        <v>109</v>
      </c>
      <c r="B40" s="106">
        <f t="shared" ref="B40:C40" si="14">SUM(B33:B39)</f>
        <v>1.41106</v>
      </c>
      <c r="C40" s="106">
        <f t="shared" si="14"/>
        <v>1.58239</v>
      </c>
      <c r="D40" s="106">
        <f t="shared" ref="D40:M40" si="15">SUM(D33:D39)</f>
        <v>1.0436599999999998</v>
      </c>
      <c r="E40" s="106">
        <f t="shared" si="15"/>
        <v>0.96515999999999991</v>
      </c>
      <c r="F40" s="106">
        <f t="shared" ref="F40" si="16">SUM(F33:F39)</f>
        <v>0.79308000000000001</v>
      </c>
      <c r="G40" s="106">
        <f t="shared" si="15"/>
        <v>0.76895999999999987</v>
      </c>
      <c r="H40" s="106">
        <f t="shared" si="15"/>
        <v>0.76463999999999988</v>
      </c>
      <c r="I40" s="106">
        <f t="shared" si="15"/>
        <v>0.76175999999999999</v>
      </c>
      <c r="J40" s="106">
        <f t="shared" ref="J40" si="17">SUM(J33:J39)</f>
        <v>0.66879</v>
      </c>
      <c r="K40" s="106">
        <f t="shared" si="15"/>
        <v>0</v>
      </c>
      <c r="L40" s="106">
        <f t="shared" si="15"/>
        <v>0</v>
      </c>
      <c r="M40" s="106">
        <f t="shared" si="15"/>
        <v>0</v>
      </c>
    </row>
    <row r="41" spans="1:13">
      <c r="C41" s="45"/>
      <c r="D41" s="45"/>
      <c r="E41" s="45"/>
      <c r="F41" s="45"/>
      <c r="G41" s="45"/>
    </row>
    <row r="42" spans="1:13" ht="14">
      <c r="A42" s="262" t="s">
        <v>66</v>
      </c>
      <c r="G42" s="45"/>
    </row>
    <row r="43" spans="1:13" ht="14">
      <c r="A43" s="504" t="s">
        <v>138</v>
      </c>
      <c r="B43" s="203"/>
      <c r="C43" s="203"/>
      <c r="D43" s="300"/>
      <c r="E43" s="300"/>
      <c r="F43" s="300"/>
      <c r="G43" s="203"/>
      <c r="H43" s="203"/>
      <c r="I43" s="203"/>
      <c r="J43" s="203"/>
      <c r="K43" s="203"/>
    </row>
    <row r="44" spans="1:13" ht="14">
      <c r="A44" s="511"/>
      <c r="B44" s="203"/>
      <c r="C44" s="203"/>
      <c r="D44" s="300"/>
      <c r="E44" s="300"/>
      <c r="F44" s="300"/>
      <c r="G44" s="203"/>
      <c r="H44" s="203"/>
      <c r="I44" s="203"/>
      <c r="J44" s="203"/>
      <c r="K44" s="203"/>
    </row>
    <row r="45" spans="1:13" ht="14">
      <c r="A45" s="263" t="s">
        <v>73</v>
      </c>
    </row>
    <row r="47" spans="1:13" ht="14.5">
      <c r="A47" s="148" t="s">
        <v>57</v>
      </c>
    </row>
    <row r="49" spans="1:1">
      <c r="A49" s="212"/>
    </row>
  </sheetData>
  <mergeCells count="2">
    <mergeCell ref="B3:M3"/>
    <mergeCell ref="G4:H4"/>
  </mergeCells>
  <printOptions horizontalCentered="1"/>
  <pageMargins left="0" right="0" top="0.55000000000000004" bottom="0.17" header="0.3" footer="0.15"/>
  <pageSetup paperSize="5" scale="69" orientation="landscape" cellComments="atEnd" r:id="rId1"/>
  <headerFooter alignWithMargins="0">
    <oddHeader xml:space="preserve">&amp;C&amp;"Arial,Bold"
</oddHeader>
    <oddFooter>&amp;Rpage 4 of 12
&amp;A
&amp;D &amp;T</oddFooter>
  </headerFooter>
  <customProperties>
    <customPr name="_pios_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DR45"/>
  <sheetViews>
    <sheetView zoomScaleNormal="100" workbookViewId="0">
      <pane xSplit="1" ySplit="10" topLeftCell="B11" activePane="bottomRight" state="frozen"/>
      <selection pane="topRight" activeCell="V16" sqref="V16"/>
      <selection pane="bottomLeft" activeCell="V16" sqref="V16"/>
      <selection pane="bottomRight"/>
    </sheetView>
  </sheetViews>
  <sheetFormatPr defaultRowHeight="12"/>
  <cols>
    <col min="1" max="1" width="84.26953125" style="278" customWidth="1"/>
    <col min="2" max="3" width="12.7265625" style="278" customWidth="1"/>
    <col min="4" max="4" width="9.453125" style="278" bestFit="1" customWidth="1"/>
    <col min="5" max="10" width="12.7265625" style="278" customWidth="1"/>
    <col min="11" max="11" width="10.7265625" style="278" customWidth="1"/>
    <col min="12" max="13" width="12.7265625" style="278" customWidth="1"/>
    <col min="14" max="14" width="17.26953125" style="278" customWidth="1"/>
    <col min="15" max="15" width="11.7265625" style="278" customWidth="1"/>
    <col min="16" max="16" width="13.26953125" style="278" hidden="1" customWidth="1"/>
    <col min="17" max="17" width="11.7265625" style="278" customWidth="1"/>
    <col min="18" max="256" width="9.26953125" style="278"/>
    <col min="257" max="257" width="70" style="278" customWidth="1"/>
    <col min="258" max="269" width="12.7265625" style="278" customWidth="1"/>
    <col min="270" max="270" width="11" style="278" customWidth="1"/>
    <col min="271" max="271" width="0" style="278" hidden="1" customWidth="1"/>
    <col min="272" max="273" width="11.7265625" style="278" customWidth="1"/>
    <col min="274" max="512" width="9.26953125" style="278"/>
    <col min="513" max="513" width="70" style="278" customWidth="1"/>
    <col min="514" max="525" width="12.7265625" style="278" customWidth="1"/>
    <col min="526" max="526" width="11" style="278" customWidth="1"/>
    <col min="527" max="527" width="0" style="278" hidden="1" customWidth="1"/>
    <col min="528" max="529" width="11.7265625" style="278" customWidth="1"/>
    <col min="530" max="768" width="9.26953125" style="278"/>
    <col min="769" max="769" width="70" style="278" customWidth="1"/>
    <col min="770" max="781" width="12.7265625" style="278" customWidth="1"/>
    <col min="782" max="782" width="11" style="278" customWidth="1"/>
    <col min="783" max="783" width="0" style="278" hidden="1" customWidth="1"/>
    <col min="784" max="785" width="11.7265625" style="278" customWidth="1"/>
    <col min="786" max="1024" width="9.26953125" style="278"/>
    <col min="1025" max="1025" width="70" style="278" customWidth="1"/>
    <col min="1026" max="1037" width="12.7265625" style="278" customWidth="1"/>
    <col min="1038" max="1038" width="11" style="278" customWidth="1"/>
    <col min="1039" max="1039" width="0" style="278" hidden="1" customWidth="1"/>
    <col min="1040" max="1041" width="11.7265625" style="278" customWidth="1"/>
    <col min="1042" max="1280" width="9.26953125" style="278"/>
    <col min="1281" max="1281" width="70" style="278" customWidth="1"/>
    <col min="1282" max="1293" width="12.7265625" style="278" customWidth="1"/>
    <col min="1294" max="1294" width="11" style="278" customWidth="1"/>
    <col min="1295" max="1295" width="0" style="278" hidden="1" customWidth="1"/>
    <col min="1296" max="1297" width="11.7265625" style="278" customWidth="1"/>
    <col min="1298" max="1536" width="9.26953125" style="278"/>
    <col min="1537" max="1537" width="70" style="278" customWidth="1"/>
    <col min="1538" max="1549" width="12.7265625" style="278" customWidth="1"/>
    <col min="1550" max="1550" width="11" style="278" customWidth="1"/>
    <col min="1551" max="1551" width="0" style="278" hidden="1" customWidth="1"/>
    <col min="1552" max="1553" width="11.7265625" style="278" customWidth="1"/>
    <col min="1554" max="1792" width="9.26953125" style="278"/>
    <col min="1793" max="1793" width="70" style="278" customWidth="1"/>
    <col min="1794" max="1805" width="12.7265625" style="278" customWidth="1"/>
    <col min="1806" max="1806" width="11" style="278" customWidth="1"/>
    <col min="1807" max="1807" width="0" style="278" hidden="1" customWidth="1"/>
    <col min="1808" max="1809" width="11.7265625" style="278" customWidth="1"/>
    <col min="1810" max="2048" width="9.26953125" style="278"/>
    <col min="2049" max="2049" width="70" style="278" customWidth="1"/>
    <col min="2050" max="2061" width="12.7265625" style="278" customWidth="1"/>
    <col min="2062" max="2062" width="11" style="278" customWidth="1"/>
    <col min="2063" max="2063" width="0" style="278" hidden="1" customWidth="1"/>
    <col min="2064" max="2065" width="11.7265625" style="278" customWidth="1"/>
    <col min="2066" max="2304" width="9.26953125" style="278"/>
    <col min="2305" max="2305" width="70" style="278" customWidth="1"/>
    <col min="2306" max="2317" width="12.7265625" style="278" customWidth="1"/>
    <col min="2318" max="2318" width="11" style="278" customWidth="1"/>
    <col min="2319" max="2319" width="0" style="278" hidden="1" customWidth="1"/>
    <col min="2320" max="2321" width="11.7265625" style="278" customWidth="1"/>
    <col min="2322" max="2560" width="9.26953125" style="278"/>
    <col min="2561" max="2561" width="70" style="278" customWidth="1"/>
    <col min="2562" max="2573" width="12.7265625" style="278" customWidth="1"/>
    <col min="2574" max="2574" width="11" style="278" customWidth="1"/>
    <col min="2575" max="2575" width="0" style="278" hidden="1" customWidth="1"/>
    <col min="2576" max="2577" width="11.7265625" style="278" customWidth="1"/>
    <col min="2578" max="2816" width="9.26953125" style="278"/>
    <col min="2817" max="2817" width="70" style="278" customWidth="1"/>
    <col min="2818" max="2829" width="12.7265625" style="278" customWidth="1"/>
    <col min="2830" max="2830" width="11" style="278" customWidth="1"/>
    <col min="2831" max="2831" width="0" style="278" hidden="1" customWidth="1"/>
    <col min="2832" max="2833" width="11.7265625" style="278" customWidth="1"/>
    <col min="2834" max="3072" width="9.26953125" style="278"/>
    <col min="3073" max="3073" width="70" style="278" customWidth="1"/>
    <col min="3074" max="3085" width="12.7265625" style="278" customWidth="1"/>
    <col min="3086" max="3086" width="11" style="278" customWidth="1"/>
    <col min="3087" max="3087" width="0" style="278" hidden="1" customWidth="1"/>
    <col min="3088" max="3089" width="11.7265625" style="278" customWidth="1"/>
    <col min="3090" max="3328" width="9.26953125" style="278"/>
    <col min="3329" max="3329" width="70" style="278" customWidth="1"/>
    <col min="3330" max="3341" width="12.7265625" style="278" customWidth="1"/>
    <col min="3342" max="3342" width="11" style="278" customWidth="1"/>
    <col min="3343" max="3343" width="0" style="278" hidden="1" customWidth="1"/>
    <col min="3344" max="3345" width="11.7265625" style="278" customWidth="1"/>
    <col min="3346" max="3584" width="9.26953125" style="278"/>
    <col min="3585" max="3585" width="70" style="278" customWidth="1"/>
    <col min="3586" max="3597" width="12.7265625" style="278" customWidth="1"/>
    <col min="3598" max="3598" width="11" style="278" customWidth="1"/>
    <col min="3599" max="3599" width="0" style="278" hidden="1" customWidth="1"/>
    <col min="3600" max="3601" width="11.7265625" style="278" customWidth="1"/>
    <col min="3602" max="3840" width="9.26953125" style="278"/>
    <col min="3841" max="3841" width="70" style="278" customWidth="1"/>
    <col min="3842" max="3853" width="12.7265625" style="278" customWidth="1"/>
    <col min="3854" max="3854" width="11" style="278" customWidth="1"/>
    <col min="3855" max="3855" width="0" style="278" hidden="1" customWidth="1"/>
    <col min="3856" max="3857" width="11.7265625" style="278" customWidth="1"/>
    <col min="3858" max="4096" width="9.26953125" style="278"/>
    <col min="4097" max="4097" width="70" style="278" customWidth="1"/>
    <col min="4098" max="4109" width="12.7265625" style="278" customWidth="1"/>
    <col min="4110" max="4110" width="11" style="278" customWidth="1"/>
    <col min="4111" max="4111" width="0" style="278" hidden="1" customWidth="1"/>
    <col min="4112" max="4113" width="11.7265625" style="278" customWidth="1"/>
    <col min="4114" max="4352" width="9.26953125" style="278"/>
    <col min="4353" max="4353" width="70" style="278" customWidth="1"/>
    <col min="4354" max="4365" width="12.7265625" style="278" customWidth="1"/>
    <col min="4366" max="4366" width="11" style="278" customWidth="1"/>
    <col min="4367" max="4367" width="0" style="278" hidden="1" customWidth="1"/>
    <col min="4368" max="4369" width="11.7265625" style="278" customWidth="1"/>
    <col min="4370" max="4608" width="9.26953125" style="278"/>
    <col min="4609" max="4609" width="70" style="278" customWidth="1"/>
    <col min="4610" max="4621" width="12.7265625" style="278" customWidth="1"/>
    <col min="4622" max="4622" width="11" style="278" customWidth="1"/>
    <col min="4623" max="4623" width="0" style="278" hidden="1" customWidth="1"/>
    <col min="4624" max="4625" width="11.7265625" style="278" customWidth="1"/>
    <col min="4626" max="4864" width="9.26953125" style="278"/>
    <col min="4865" max="4865" width="70" style="278" customWidth="1"/>
    <col min="4866" max="4877" width="12.7265625" style="278" customWidth="1"/>
    <col min="4878" max="4878" width="11" style="278" customWidth="1"/>
    <col min="4879" max="4879" width="0" style="278" hidden="1" customWidth="1"/>
    <col min="4880" max="4881" width="11.7265625" style="278" customWidth="1"/>
    <col min="4882" max="5120" width="9.26953125" style="278"/>
    <col min="5121" max="5121" width="70" style="278" customWidth="1"/>
    <col min="5122" max="5133" width="12.7265625" style="278" customWidth="1"/>
    <col min="5134" max="5134" width="11" style="278" customWidth="1"/>
    <col min="5135" max="5135" width="0" style="278" hidden="1" customWidth="1"/>
    <col min="5136" max="5137" width="11.7265625" style="278" customWidth="1"/>
    <col min="5138" max="5376" width="9.26953125" style="278"/>
    <col min="5377" max="5377" width="70" style="278" customWidth="1"/>
    <col min="5378" max="5389" width="12.7265625" style="278" customWidth="1"/>
    <col min="5390" max="5390" width="11" style="278" customWidth="1"/>
    <col min="5391" max="5391" width="0" style="278" hidden="1" customWidth="1"/>
    <col min="5392" max="5393" width="11.7265625" style="278" customWidth="1"/>
    <col min="5394" max="5632" width="9.26953125" style="278"/>
    <col min="5633" max="5633" width="70" style="278" customWidth="1"/>
    <col min="5634" max="5645" width="12.7265625" style="278" customWidth="1"/>
    <col min="5646" max="5646" width="11" style="278" customWidth="1"/>
    <col min="5647" max="5647" width="0" style="278" hidden="1" customWidth="1"/>
    <col min="5648" max="5649" width="11.7265625" style="278" customWidth="1"/>
    <col min="5650" max="5888" width="9.26953125" style="278"/>
    <col min="5889" max="5889" width="70" style="278" customWidth="1"/>
    <col min="5890" max="5901" width="12.7265625" style="278" customWidth="1"/>
    <col min="5902" max="5902" width="11" style="278" customWidth="1"/>
    <col min="5903" max="5903" width="0" style="278" hidden="1" customWidth="1"/>
    <col min="5904" max="5905" width="11.7265625" style="278" customWidth="1"/>
    <col min="5906" max="6144" width="9.26953125" style="278"/>
    <col min="6145" max="6145" width="70" style="278" customWidth="1"/>
    <col min="6146" max="6157" width="12.7265625" style="278" customWidth="1"/>
    <col min="6158" max="6158" width="11" style="278" customWidth="1"/>
    <col min="6159" max="6159" width="0" style="278" hidden="1" customWidth="1"/>
    <col min="6160" max="6161" width="11.7265625" style="278" customWidth="1"/>
    <col min="6162" max="6400" width="9.26953125" style="278"/>
    <col min="6401" max="6401" width="70" style="278" customWidth="1"/>
    <col min="6402" max="6413" width="12.7265625" style="278" customWidth="1"/>
    <col min="6414" max="6414" width="11" style="278" customWidth="1"/>
    <col min="6415" max="6415" width="0" style="278" hidden="1" customWidth="1"/>
    <col min="6416" max="6417" width="11.7265625" style="278" customWidth="1"/>
    <col min="6418" max="6656" width="9.26953125" style="278"/>
    <col min="6657" max="6657" width="70" style="278" customWidth="1"/>
    <col min="6658" max="6669" width="12.7265625" style="278" customWidth="1"/>
    <col min="6670" max="6670" width="11" style="278" customWidth="1"/>
    <col min="6671" max="6671" width="0" style="278" hidden="1" customWidth="1"/>
    <col min="6672" max="6673" width="11.7265625" style="278" customWidth="1"/>
    <col min="6674" max="6912" width="9.26953125" style="278"/>
    <col min="6913" max="6913" width="70" style="278" customWidth="1"/>
    <col min="6914" max="6925" width="12.7265625" style="278" customWidth="1"/>
    <col min="6926" max="6926" width="11" style="278" customWidth="1"/>
    <col min="6927" max="6927" width="0" style="278" hidden="1" customWidth="1"/>
    <col min="6928" max="6929" width="11.7265625" style="278" customWidth="1"/>
    <col min="6930" max="7168" width="9.26953125" style="278"/>
    <col min="7169" max="7169" width="70" style="278" customWidth="1"/>
    <col min="7170" max="7181" width="12.7265625" style="278" customWidth="1"/>
    <col min="7182" max="7182" width="11" style="278" customWidth="1"/>
    <col min="7183" max="7183" width="0" style="278" hidden="1" customWidth="1"/>
    <col min="7184" max="7185" width="11.7265625" style="278" customWidth="1"/>
    <col min="7186" max="7424" width="9.26953125" style="278"/>
    <col min="7425" max="7425" width="70" style="278" customWidth="1"/>
    <col min="7426" max="7437" width="12.7265625" style="278" customWidth="1"/>
    <col min="7438" max="7438" width="11" style="278" customWidth="1"/>
    <col min="7439" max="7439" width="0" style="278" hidden="1" customWidth="1"/>
    <col min="7440" max="7441" width="11.7265625" style="278" customWidth="1"/>
    <col min="7442" max="7680" width="9.26953125" style="278"/>
    <col min="7681" max="7681" width="70" style="278" customWidth="1"/>
    <col min="7682" max="7693" width="12.7265625" style="278" customWidth="1"/>
    <col min="7694" max="7694" width="11" style="278" customWidth="1"/>
    <col min="7695" max="7695" width="0" style="278" hidden="1" customWidth="1"/>
    <col min="7696" max="7697" width="11.7265625" style="278" customWidth="1"/>
    <col min="7698" max="7936" width="9.26953125" style="278"/>
    <col min="7937" max="7937" width="70" style="278" customWidth="1"/>
    <col min="7938" max="7949" width="12.7265625" style="278" customWidth="1"/>
    <col min="7950" max="7950" width="11" style="278" customWidth="1"/>
    <col min="7951" max="7951" width="0" style="278" hidden="1" customWidth="1"/>
    <col min="7952" max="7953" width="11.7265625" style="278" customWidth="1"/>
    <col min="7954" max="8192" width="9.26953125" style="278"/>
    <col min="8193" max="8193" width="70" style="278" customWidth="1"/>
    <col min="8194" max="8205" width="12.7265625" style="278" customWidth="1"/>
    <col min="8206" max="8206" width="11" style="278" customWidth="1"/>
    <col min="8207" max="8207" width="0" style="278" hidden="1" customWidth="1"/>
    <col min="8208" max="8209" width="11.7265625" style="278" customWidth="1"/>
    <col min="8210" max="8448" width="9.26953125" style="278"/>
    <col min="8449" max="8449" width="70" style="278" customWidth="1"/>
    <col min="8450" max="8461" width="12.7265625" style="278" customWidth="1"/>
    <col min="8462" max="8462" width="11" style="278" customWidth="1"/>
    <col min="8463" max="8463" width="0" style="278" hidden="1" customWidth="1"/>
    <col min="8464" max="8465" width="11.7265625" style="278" customWidth="1"/>
    <col min="8466" max="8704" width="9.26953125" style="278"/>
    <col min="8705" max="8705" width="70" style="278" customWidth="1"/>
    <col min="8706" max="8717" width="12.7265625" style="278" customWidth="1"/>
    <col min="8718" max="8718" width="11" style="278" customWidth="1"/>
    <col min="8719" max="8719" width="0" style="278" hidden="1" customWidth="1"/>
    <col min="8720" max="8721" width="11.7265625" style="278" customWidth="1"/>
    <col min="8722" max="8960" width="9.26953125" style="278"/>
    <col min="8961" max="8961" width="70" style="278" customWidth="1"/>
    <col min="8962" max="8973" width="12.7265625" style="278" customWidth="1"/>
    <col min="8974" max="8974" width="11" style="278" customWidth="1"/>
    <col min="8975" max="8975" width="0" style="278" hidden="1" customWidth="1"/>
    <col min="8976" max="8977" width="11.7265625" style="278" customWidth="1"/>
    <col min="8978" max="9216" width="9.26953125" style="278"/>
    <col min="9217" max="9217" width="70" style="278" customWidth="1"/>
    <col min="9218" max="9229" width="12.7265625" style="278" customWidth="1"/>
    <col min="9230" max="9230" width="11" style="278" customWidth="1"/>
    <col min="9231" max="9231" width="0" style="278" hidden="1" customWidth="1"/>
    <col min="9232" max="9233" width="11.7265625" style="278" customWidth="1"/>
    <col min="9234" max="9472" width="9.26953125" style="278"/>
    <col min="9473" max="9473" width="70" style="278" customWidth="1"/>
    <col min="9474" max="9485" width="12.7265625" style="278" customWidth="1"/>
    <col min="9486" max="9486" width="11" style="278" customWidth="1"/>
    <col min="9487" max="9487" width="0" style="278" hidden="1" customWidth="1"/>
    <col min="9488" max="9489" width="11.7265625" style="278" customWidth="1"/>
    <col min="9490" max="9728" width="9.26953125" style="278"/>
    <col min="9729" max="9729" width="70" style="278" customWidth="1"/>
    <col min="9730" max="9741" width="12.7265625" style="278" customWidth="1"/>
    <col min="9742" max="9742" width="11" style="278" customWidth="1"/>
    <col min="9743" max="9743" width="0" style="278" hidden="1" customWidth="1"/>
    <col min="9744" max="9745" width="11.7265625" style="278" customWidth="1"/>
    <col min="9746" max="9984" width="9.26953125" style="278"/>
    <col min="9985" max="9985" width="70" style="278" customWidth="1"/>
    <col min="9986" max="9997" width="12.7265625" style="278" customWidth="1"/>
    <col min="9998" max="9998" width="11" style="278" customWidth="1"/>
    <col min="9999" max="9999" width="0" style="278" hidden="1" customWidth="1"/>
    <col min="10000" max="10001" width="11.7265625" style="278" customWidth="1"/>
    <col min="10002" max="10240" width="9.26953125" style="278"/>
    <col min="10241" max="10241" width="70" style="278" customWidth="1"/>
    <col min="10242" max="10253" width="12.7265625" style="278" customWidth="1"/>
    <col min="10254" max="10254" width="11" style="278" customWidth="1"/>
    <col min="10255" max="10255" width="0" style="278" hidden="1" customWidth="1"/>
    <col min="10256" max="10257" width="11.7265625" style="278" customWidth="1"/>
    <col min="10258" max="10496" width="9.26953125" style="278"/>
    <col min="10497" max="10497" width="70" style="278" customWidth="1"/>
    <col min="10498" max="10509" width="12.7265625" style="278" customWidth="1"/>
    <col min="10510" max="10510" width="11" style="278" customWidth="1"/>
    <col min="10511" max="10511" width="0" style="278" hidden="1" customWidth="1"/>
    <col min="10512" max="10513" width="11.7265625" style="278" customWidth="1"/>
    <col min="10514" max="10752" width="9.26953125" style="278"/>
    <col min="10753" max="10753" width="70" style="278" customWidth="1"/>
    <col min="10754" max="10765" width="12.7265625" style="278" customWidth="1"/>
    <col min="10766" max="10766" width="11" style="278" customWidth="1"/>
    <col min="10767" max="10767" width="0" style="278" hidden="1" customWidth="1"/>
    <col min="10768" max="10769" width="11.7265625" style="278" customWidth="1"/>
    <col min="10770" max="11008" width="9.26953125" style="278"/>
    <col min="11009" max="11009" width="70" style="278" customWidth="1"/>
    <col min="11010" max="11021" width="12.7265625" style="278" customWidth="1"/>
    <col min="11022" max="11022" width="11" style="278" customWidth="1"/>
    <col min="11023" max="11023" width="0" style="278" hidden="1" customWidth="1"/>
    <col min="11024" max="11025" width="11.7265625" style="278" customWidth="1"/>
    <col min="11026" max="11264" width="9.26953125" style="278"/>
    <col min="11265" max="11265" width="70" style="278" customWidth="1"/>
    <col min="11266" max="11277" width="12.7265625" style="278" customWidth="1"/>
    <col min="11278" max="11278" width="11" style="278" customWidth="1"/>
    <col min="11279" max="11279" width="0" style="278" hidden="1" customWidth="1"/>
    <col min="11280" max="11281" width="11.7265625" style="278" customWidth="1"/>
    <col min="11282" max="11520" width="9.26953125" style="278"/>
    <col min="11521" max="11521" width="70" style="278" customWidth="1"/>
    <col min="11522" max="11533" width="12.7265625" style="278" customWidth="1"/>
    <col min="11534" max="11534" width="11" style="278" customWidth="1"/>
    <col min="11535" max="11535" width="0" style="278" hidden="1" customWidth="1"/>
    <col min="11536" max="11537" width="11.7265625" style="278" customWidth="1"/>
    <col min="11538" max="11776" width="9.26953125" style="278"/>
    <col min="11777" max="11777" width="70" style="278" customWidth="1"/>
    <col min="11778" max="11789" width="12.7265625" style="278" customWidth="1"/>
    <col min="11790" max="11790" width="11" style="278" customWidth="1"/>
    <col min="11791" max="11791" width="0" style="278" hidden="1" customWidth="1"/>
    <col min="11792" max="11793" width="11.7265625" style="278" customWidth="1"/>
    <col min="11794" max="12032" width="9.26953125" style="278"/>
    <col min="12033" max="12033" width="70" style="278" customWidth="1"/>
    <col min="12034" max="12045" width="12.7265625" style="278" customWidth="1"/>
    <col min="12046" max="12046" width="11" style="278" customWidth="1"/>
    <col min="12047" max="12047" width="0" style="278" hidden="1" customWidth="1"/>
    <col min="12048" max="12049" width="11.7265625" style="278" customWidth="1"/>
    <col min="12050" max="12288" width="9.26953125" style="278"/>
    <col min="12289" max="12289" width="70" style="278" customWidth="1"/>
    <col min="12290" max="12301" width="12.7265625" style="278" customWidth="1"/>
    <col min="12302" max="12302" width="11" style="278" customWidth="1"/>
    <col min="12303" max="12303" width="0" style="278" hidden="1" customWidth="1"/>
    <col min="12304" max="12305" width="11.7265625" style="278" customWidth="1"/>
    <col min="12306" max="12544" width="9.26953125" style="278"/>
    <col min="12545" max="12545" width="70" style="278" customWidth="1"/>
    <col min="12546" max="12557" width="12.7265625" style="278" customWidth="1"/>
    <col min="12558" max="12558" width="11" style="278" customWidth="1"/>
    <col min="12559" max="12559" width="0" style="278" hidden="1" customWidth="1"/>
    <col min="12560" max="12561" width="11.7265625" style="278" customWidth="1"/>
    <col min="12562" max="12800" width="9.26953125" style="278"/>
    <col min="12801" max="12801" width="70" style="278" customWidth="1"/>
    <col min="12802" max="12813" width="12.7265625" style="278" customWidth="1"/>
    <col min="12814" max="12814" width="11" style="278" customWidth="1"/>
    <col min="12815" max="12815" width="0" style="278" hidden="1" customWidth="1"/>
    <col min="12816" max="12817" width="11.7265625" style="278" customWidth="1"/>
    <col min="12818" max="13056" width="9.26953125" style="278"/>
    <col min="13057" max="13057" width="70" style="278" customWidth="1"/>
    <col min="13058" max="13069" width="12.7265625" style="278" customWidth="1"/>
    <col min="13070" max="13070" width="11" style="278" customWidth="1"/>
    <col min="13071" max="13071" width="0" style="278" hidden="1" customWidth="1"/>
    <col min="13072" max="13073" width="11.7265625" style="278" customWidth="1"/>
    <col min="13074" max="13312" width="9.26953125" style="278"/>
    <col min="13313" max="13313" width="70" style="278" customWidth="1"/>
    <col min="13314" max="13325" width="12.7265625" style="278" customWidth="1"/>
    <col min="13326" max="13326" width="11" style="278" customWidth="1"/>
    <col min="13327" max="13327" width="0" style="278" hidden="1" customWidth="1"/>
    <col min="13328" max="13329" width="11.7265625" style="278" customWidth="1"/>
    <col min="13330" max="13568" width="9.26953125" style="278"/>
    <col min="13569" max="13569" width="70" style="278" customWidth="1"/>
    <col min="13570" max="13581" width="12.7265625" style="278" customWidth="1"/>
    <col min="13582" max="13582" width="11" style="278" customWidth="1"/>
    <col min="13583" max="13583" width="0" style="278" hidden="1" customWidth="1"/>
    <col min="13584" max="13585" width="11.7265625" style="278" customWidth="1"/>
    <col min="13586" max="13824" width="9.26953125" style="278"/>
    <col min="13825" max="13825" width="70" style="278" customWidth="1"/>
    <col min="13826" max="13837" width="12.7265625" style="278" customWidth="1"/>
    <col min="13838" max="13838" width="11" style="278" customWidth="1"/>
    <col min="13839" max="13839" width="0" style="278" hidden="1" customWidth="1"/>
    <col min="13840" max="13841" width="11.7265625" style="278" customWidth="1"/>
    <col min="13842" max="14080" width="9.26953125" style="278"/>
    <col min="14081" max="14081" width="70" style="278" customWidth="1"/>
    <col min="14082" max="14093" width="12.7265625" style="278" customWidth="1"/>
    <col min="14094" max="14094" width="11" style="278" customWidth="1"/>
    <col min="14095" max="14095" width="0" style="278" hidden="1" customWidth="1"/>
    <col min="14096" max="14097" width="11.7265625" style="278" customWidth="1"/>
    <col min="14098" max="14336" width="9.26953125" style="278"/>
    <col min="14337" max="14337" width="70" style="278" customWidth="1"/>
    <col min="14338" max="14349" width="12.7265625" style="278" customWidth="1"/>
    <col min="14350" max="14350" width="11" style="278" customWidth="1"/>
    <col min="14351" max="14351" width="0" style="278" hidden="1" customWidth="1"/>
    <col min="14352" max="14353" width="11.7265625" style="278" customWidth="1"/>
    <col min="14354" max="14592" width="9.26953125" style="278"/>
    <col min="14593" max="14593" width="70" style="278" customWidth="1"/>
    <col min="14594" max="14605" width="12.7265625" style="278" customWidth="1"/>
    <col min="14606" max="14606" width="11" style="278" customWidth="1"/>
    <col min="14607" max="14607" width="0" style="278" hidden="1" customWidth="1"/>
    <col min="14608" max="14609" width="11.7265625" style="278" customWidth="1"/>
    <col min="14610" max="14848" width="9.26953125" style="278"/>
    <col min="14849" max="14849" width="70" style="278" customWidth="1"/>
    <col min="14850" max="14861" width="12.7265625" style="278" customWidth="1"/>
    <col min="14862" max="14862" width="11" style="278" customWidth="1"/>
    <col min="14863" max="14863" width="0" style="278" hidden="1" customWidth="1"/>
    <col min="14864" max="14865" width="11.7265625" style="278" customWidth="1"/>
    <col min="14866" max="15104" width="9.26953125" style="278"/>
    <col min="15105" max="15105" width="70" style="278" customWidth="1"/>
    <col min="15106" max="15117" width="12.7265625" style="278" customWidth="1"/>
    <col min="15118" max="15118" width="11" style="278" customWidth="1"/>
    <col min="15119" max="15119" width="0" style="278" hidden="1" customWidth="1"/>
    <col min="15120" max="15121" width="11.7265625" style="278" customWidth="1"/>
    <col min="15122" max="15360" width="9.26953125" style="278"/>
    <col min="15361" max="15361" width="70" style="278" customWidth="1"/>
    <col min="15362" max="15373" width="12.7265625" style="278" customWidth="1"/>
    <col min="15374" max="15374" width="11" style="278" customWidth="1"/>
    <col min="15375" max="15375" width="0" style="278" hidden="1" customWidth="1"/>
    <col min="15376" max="15377" width="11.7265625" style="278" customWidth="1"/>
    <col min="15378" max="15616" width="9.26953125" style="278"/>
    <col min="15617" max="15617" width="70" style="278" customWidth="1"/>
    <col min="15618" max="15629" width="12.7265625" style="278" customWidth="1"/>
    <col min="15630" max="15630" width="11" style="278" customWidth="1"/>
    <col min="15631" max="15631" width="0" style="278" hidden="1" customWidth="1"/>
    <col min="15632" max="15633" width="11.7265625" style="278" customWidth="1"/>
    <col min="15634" max="15872" width="9.26953125" style="278"/>
    <col min="15873" max="15873" width="70" style="278" customWidth="1"/>
    <col min="15874" max="15885" width="12.7265625" style="278" customWidth="1"/>
    <col min="15886" max="15886" width="11" style="278" customWidth="1"/>
    <col min="15887" max="15887" width="0" style="278" hidden="1" customWidth="1"/>
    <col min="15888" max="15889" width="11.7265625" style="278" customWidth="1"/>
    <col min="15890" max="16128" width="9.26953125" style="278"/>
    <col min="16129" max="16129" width="70" style="278" customWidth="1"/>
    <col min="16130" max="16141" width="12.7265625" style="278" customWidth="1"/>
    <col min="16142" max="16142" width="11" style="278" customWidth="1"/>
    <col min="16143" max="16143" width="0" style="278" hidden="1" customWidth="1"/>
    <col min="16144" max="16145" width="11.7265625" style="278" customWidth="1"/>
    <col min="16146" max="16384" width="9.26953125" style="278"/>
  </cols>
  <sheetData>
    <row r="1" spans="1:17" ht="13.5" customHeight="1">
      <c r="L1" s="279"/>
      <c r="O1" s="279"/>
      <c r="P1" s="279"/>
      <c r="Q1" s="279"/>
    </row>
    <row r="2" spans="1:17" ht="13.5" customHeight="1">
      <c r="C2" s="408" t="s">
        <v>39</v>
      </c>
      <c r="L2" s="279"/>
      <c r="O2" s="279"/>
      <c r="P2" s="279"/>
      <c r="Q2" s="279"/>
    </row>
    <row r="3" spans="1:17" ht="13.5" customHeight="1">
      <c r="C3" s="408" t="s">
        <v>141</v>
      </c>
      <c r="F3" s="280"/>
      <c r="G3" s="280"/>
      <c r="H3" s="280"/>
      <c r="I3" s="280"/>
      <c r="L3" s="279"/>
      <c r="O3" s="279"/>
      <c r="P3" s="279"/>
      <c r="Q3" s="279"/>
    </row>
    <row r="4" spans="1:17" ht="13.5" customHeight="1">
      <c r="B4" s="280"/>
      <c r="C4" s="409" t="str">
        <f>'Program MW '!H3</f>
        <v>September 2020</v>
      </c>
      <c r="D4" s="280"/>
      <c r="L4" s="279"/>
      <c r="O4" s="279"/>
      <c r="P4" s="279"/>
      <c r="Q4" s="279"/>
    </row>
    <row r="5" spans="1:17" ht="13.5" customHeight="1">
      <c r="L5" s="279"/>
      <c r="O5" s="279"/>
      <c r="P5" s="279"/>
      <c r="Q5" s="279"/>
    </row>
    <row r="6" spans="1:17" s="292" customFormat="1" ht="13.5" customHeight="1"/>
    <row r="7" spans="1:17" s="292" customFormat="1" ht="18" customHeight="1">
      <c r="A7" s="329"/>
      <c r="B7" s="410" t="s">
        <v>142</v>
      </c>
      <c r="C7" s="329"/>
      <c r="D7" s="329"/>
      <c r="E7" s="329"/>
      <c r="F7" s="329"/>
      <c r="G7" s="329"/>
      <c r="H7" s="329"/>
      <c r="I7" s="329"/>
      <c r="J7" s="329"/>
      <c r="K7" s="329"/>
      <c r="L7" s="329"/>
      <c r="M7" s="330"/>
      <c r="N7" s="692" t="s">
        <v>143</v>
      </c>
      <c r="O7" s="690" t="s">
        <v>144</v>
      </c>
      <c r="P7" s="293"/>
      <c r="Q7" s="692" t="s">
        <v>145</v>
      </c>
    </row>
    <row r="8" spans="1:17" s="292" customFormat="1" ht="39" customHeight="1">
      <c r="A8" s="398"/>
      <c r="B8" s="411" t="s">
        <v>41</v>
      </c>
      <c r="C8" s="412" t="s">
        <v>42</v>
      </c>
      <c r="D8" s="412" t="s">
        <v>43</v>
      </c>
      <c r="E8" s="412" t="s">
        <v>44</v>
      </c>
      <c r="F8" s="412" t="s">
        <v>31</v>
      </c>
      <c r="G8" s="412" t="s">
        <v>45</v>
      </c>
      <c r="H8" s="412" t="s">
        <v>60</v>
      </c>
      <c r="I8" s="412" t="s">
        <v>75</v>
      </c>
      <c r="J8" s="412" t="s">
        <v>76</v>
      </c>
      <c r="K8" s="454" t="s">
        <v>146</v>
      </c>
      <c r="L8" s="412" t="s">
        <v>77</v>
      </c>
      <c r="M8" s="413" t="s">
        <v>63</v>
      </c>
      <c r="N8" s="693"/>
      <c r="O8" s="691"/>
      <c r="P8" s="294" t="s">
        <v>147</v>
      </c>
      <c r="Q8" s="693"/>
    </row>
    <row r="9" spans="1:17" s="292" customFormat="1" ht="15.5">
      <c r="A9" s="418" t="s">
        <v>148</v>
      </c>
      <c r="B9" s="396"/>
      <c r="N9" s="337"/>
      <c r="Q9" s="301"/>
    </row>
    <row r="10" spans="1:17" s="292" customFormat="1" ht="13">
      <c r="A10" s="414" t="s">
        <v>149</v>
      </c>
      <c r="B10" s="396"/>
      <c r="C10" s="396"/>
      <c r="D10" s="396"/>
      <c r="E10" s="396"/>
      <c r="F10" s="396"/>
      <c r="G10" s="396"/>
      <c r="H10" s="396"/>
      <c r="I10" s="396"/>
      <c r="J10" s="396"/>
      <c r="K10" s="396"/>
      <c r="L10" s="396"/>
      <c r="M10" s="396"/>
      <c r="N10" s="337"/>
      <c r="O10" s="395"/>
      <c r="P10" s="296"/>
      <c r="Q10" s="302"/>
    </row>
    <row r="11" spans="1:17" s="292" customFormat="1" ht="13">
      <c r="A11" s="415" t="s">
        <v>150</v>
      </c>
      <c r="B11" s="593">
        <v>14260.61</v>
      </c>
      <c r="C11" s="593">
        <v>38618.559999999998</v>
      </c>
      <c r="D11" s="593">
        <v>65925.58</v>
      </c>
      <c r="E11" s="593">
        <v>60546.049999999996</v>
      </c>
      <c r="F11" s="593">
        <v>28183</v>
      </c>
      <c r="G11" s="593">
        <v>27409.63</v>
      </c>
      <c r="H11" s="593">
        <v>29410.42</v>
      </c>
      <c r="I11" s="593">
        <v>24717.63</v>
      </c>
      <c r="J11" s="593">
        <v>35061.53</v>
      </c>
      <c r="K11" s="593">
        <v>0</v>
      </c>
      <c r="L11" s="593">
        <v>0</v>
      </c>
      <c r="M11" s="593">
        <v>0</v>
      </c>
      <c r="N11" s="601">
        <f>SUM(B11:M11)</f>
        <v>324133.01</v>
      </c>
      <c r="O11" s="602">
        <f>707141+443068+N11</f>
        <v>1474342.01</v>
      </c>
      <c r="P11" s="603"/>
      <c r="Q11" s="597">
        <f>857842+424005+425005</f>
        <v>1706852</v>
      </c>
    </row>
    <row r="12" spans="1:17" s="292" customFormat="1" ht="15">
      <c r="A12" s="415" t="s">
        <v>151</v>
      </c>
      <c r="B12" s="593">
        <v>0</v>
      </c>
      <c r="C12" s="593">
        <v>0</v>
      </c>
      <c r="D12" s="593">
        <v>0</v>
      </c>
      <c r="E12" s="593">
        <v>105.33</v>
      </c>
      <c r="F12" s="593">
        <v>47.64</v>
      </c>
      <c r="G12" s="593">
        <v>1049.6499999999999</v>
      </c>
      <c r="H12" s="593">
        <v>-156.18</v>
      </c>
      <c r="I12" s="593">
        <v>1720.7199999999998</v>
      </c>
      <c r="J12" s="593">
        <v>2871.4700000000003</v>
      </c>
      <c r="K12" s="593">
        <v>0</v>
      </c>
      <c r="L12" s="593">
        <v>0</v>
      </c>
      <c r="M12" s="593">
        <v>0</v>
      </c>
      <c r="N12" s="594">
        <f t="shared" ref="N12:N22" si="0">SUM(B12:M12)</f>
        <v>5638.63</v>
      </c>
      <c r="O12" s="595">
        <f>7806+9482+N12</f>
        <v>22926.63</v>
      </c>
      <c r="P12" s="596"/>
      <c r="Q12" s="597">
        <v>35302</v>
      </c>
    </row>
    <row r="13" spans="1:17" s="292" customFormat="1" ht="13">
      <c r="A13" s="415" t="s">
        <v>152</v>
      </c>
      <c r="B13" s="593">
        <v>0</v>
      </c>
      <c r="C13" s="593">
        <v>0</v>
      </c>
      <c r="D13" s="593">
        <v>0</v>
      </c>
      <c r="E13" s="593">
        <v>0</v>
      </c>
      <c r="F13" s="593">
        <v>0</v>
      </c>
      <c r="G13" s="593">
        <v>0</v>
      </c>
      <c r="H13" s="593">
        <v>0</v>
      </c>
      <c r="I13" s="593">
        <v>0</v>
      </c>
      <c r="J13" s="593">
        <v>0</v>
      </c>
      <c r="K13" s="593">
        <v>0</v>
      </c>
      <c r="L13" s="593">
        <v>0</v>
      </c>
      <c r="M13" s="593">
        <v>0</v>
      </c>
      <c r="N13" s="594">
        <f t="shared" si="0"/>
        <v>0</v>
      </c>
      <c r="O13" s="595">
        <f>0+N13</f>
        <v>0</v>
      </c>
      <c r="P13" s="598"/>
      <c r="Q13" s="599">
        <v>1000</v>
      </c>
    </row>
    <row r="14" spans="1:17" s="292" customFormat="1" ht="15">
      <c r="A14" s="415" t="s">
        <v>153</v>
      </c>
      <c r="B14" s="593">
        <v>0</v>
      </c>
      <c r="C14" s="593">
        <v>0</v>
      </c>
      <c r="D14" s="593">
        <v>0</v>
      </c>
      <c r="E14" s="593">
        <v>209.39</v>
      </c>
      <c r="F14" s="593">
        <v>478.83</v>
      </c>
      <c r="G14" s="593">
        <v>2086.67</v>
      </c>
      <c r="H14" s="593">
        <v>-310.49</v>
      </c>
      <c r="I14" s="593">
        <v>3420.71</v>
      </c>
      <c r="J14" s="593">
        <v>5728.29</v>
      </c>
      <c r="K14" s="593">
        <v>0</v>
      </c>
      <c r="L14" s="593">
        <v>0</v>
      </c>
      <c r="M14" s="593">
        <v>0</v>
      </c>
      <c r="N14" s="594">
        <f t="shared" si="0"/>
        <v>11613.400000000001</v>
      </c>
      <c r="O14" s="595">
        <f>4890+16665+N14</f>
        <v>33168.400000000001</v>
      </c>
      <c r="P14" s="598"/>
      <c r="Q14" s="599">
        <v>78149</v>
      </c>
    </row>
    <row r="15" spans="1:17" s="292" customFormat="1" ht="15">
      <c r="A15" s="415" t="s">
        <v>154</v>
      </c>
      <c r="B15" s="593">
        <v>0</v>
      </c>
      <c r="C15" s="593">
        <v>0</v>
      </c>
      <c r="D15" s="593">
        <v>0</v>
      </c>
      <c r="E15" s="593">
        <v>519.02</v>
      </c>
      <c r="F15" s="593">
        <v>1186.9199999999998</v>
      </c>
      <c r="G15" s="593">
        <v>5168.42</v>
      </c>
      <c r="H15" s="593">
        <v>-769.66000000000008</v>
      </c>
      <c r="I15" s="593">
        <v>15279.8</v>
      </c>
      <c r="J15" s="593">
        <v>12614.86</v>
      </c>
      <c r="K15" s="593">
        <v>0</v>
      </c>
      <c r="L15" s="593">
        <v>0</v>
      </c>
      <c r="M15" s="593">
        <v>0</v>
      </c>
      <c r="N15" s="594">
        <f t="shared" si="0"/>
        <v>33999.360000000001</v>
      </c>
      <c r="O15" s="595">
        <f>49397+43752+N15</f>
        <v>127148.36</v>
      </c>
      <c r="P15" s="596"/>
      <c r="Q15" s="597">
        <f>606299/2</f>
        <v>303149.5</v>
      </c>
    </row>
    <row r="16" spans="1:17" s="292" customFormat="1" ht="15">
      <c r="A16" s="415" t="s">
        <v>155</v>
      </c>
      <c r="B16" s="593">
        <v>0</v>
      </c>
      <c r="C16" s="593">
        <v>0</v>
      </c>
      <c r="D16" s="593">
        <v>0</v>
      </c>
      <c r="E16" s="593">
        <v>1211.9000000000001</v>
      </c>
      <c r="F16" s="593">
        <v>5021.41</v>
      </c>
      <c r="G16" s="593">
        <v>16592.310000000001</v>
      </c>
      <c r="H16" s="593">
        <v>-1797.0600000000002</v>
      </c>
      <c r="I16" s="593">
        <v>19798.63</v>
      </c>
      <c r="J16" s="593">
        <v>30547.449999999997</v>
      </c>
      <c r="K16" s="593">
        <v>0</v>
      </c>
      <c r="L16" s="593">
        <v>0</v>
      </c>
      <c r="M16" s="593">
        <v>0</v>
      </c>
      <c r="N16" s="594">
        <f t="shared" si="0"/>
        <v>71374.64</v>
      </c>
      <c r="O16" s="595">
        <f>30844+118853+N16</f>
        <v>221071.64</v>
      </c>
      <c r="P16" s="598"/>
      <c r="Q16" s="599">
        <v>303150</v>
      </c>
    </row>
    <row r="17" spans="1:122" s="292" customFormat="1" ht="15">
      <c r="A17" s="415" t="s">
        <v>156</v>
      </c>
      <c r="B17" s="593">
        <v>0</v>
      </c>
      <c r="C17" s="593">
        <v>0</v>
      </c>
      <c r="D17" s="593">
        <v>0</v>
      </c>
      <c r="E17" s="593">
        <v>1834.97</v>
      </c>
      <c r="F17" s="593">
        <v>4196.3</v>
      </c>
      <c r="G17" s="593">
        <v>18286.830000000002</v>
      </c>
      <c r="H17" s="593">
        <v>-2721.01</v>
      </c>
      <c r="I17" s="593">
        <v>29977.850000000002</v>
      </c>
      <c r="J17" s="593">
        <v>36981.78</v>
      </c>
      <c r="K17" s="593">
        <v>0</v>
      </c>
      <c r="L17" s="593">
        <v>0</v>
      </c>
      <c r="M17" s="593">
        <v>0</v>
      </c>
      <c r="N17" s="594">
        <f t="shared" si="0"/>
        <v>88556.72</v>
      </c>
      <c r="O17" s="595">
        <f>73279+155232+N17</f>
        <v>317067.71999999997</v>
      </c>
      <c r="P17" s="598"/>
      <c r="Q17" s="599">
        <v>643043</v>
      </c>
    </row>
    <row r="18" spans="1:122" s="292" customFormat="1" ht="15">
      <c r="A18" s="416" t="s">
        <v>157</v>
      </c>
      <c r="B18" s="593">
        <v>0</v>
      </c>
      <c r="C18" s="593">
        <v>0</v>
      </c>
      <c r="D18" s="593">
        <v>0</v>
      </c>
      <c r="E18" s="593">
        <v>944.13000000000011</v>
      </c>
      <c r="F18" s="593">
        <v>2352.33</v>
      </c>
      <c r="G18" s="593">
        <v>9408.9700000000012</v>
      </c>
      <c r="H18" s="593">
        <v>-1400.01</v>
      </c>
      <c r="I18" s="593">
        <v>15424.27</v>
      </c>
      <c r="J18" s="593">
        <v>22490.170000000002</v>
      </c>
      <c r="K18" s="593">
        <v>0</v>
      </c>
      <c r="L18" s="593">
        <v>0</v>
      </c>
      <c r="M18" s="593">
        <v>0</v>
      </c>
      <c r="N18" s="594">
        <f t="shared" si="0"/>
        <v>49219.86</v>
      </c>
      <c r="O18" s="595">
        <f>21090+92048+N18</f>
        <v>162357.85999999999</v>
      </c>
      <c r="P18" s="598"/>
      <c r="Q18" s="599">
        <v>383701</v>
      </c>
    </row>
    <row r="19" spans="1:122" s="292" customFormat="1" ht="16.5">
      <c r="A19" s="416" t="s">
        <v>158</v>
      </c>
      <c r="B19" s="593">
        <v>385</v>
      </c>
      <c r="C19" s="593">
        <v>5068</v>
      </c>
      <c r="D19" s="593">
        <v>-1050</v>
      </c>
      <c r="E19" s="593">
        <v>3145.85</v>
      </c>
      <c r="F19" s="593">
        <v>7194.05</v>
      </c>
      <c r="G19" s="593">
        <v>31405.890000000003</v>
      </c>
      <c r="H19" s="593">
        <v>-1194.8400000000001</v>
      </c>
      <c r="I19" s="593">
        <v>44666.89</v>
      </c>
      <c r="J19" s="593">
        <v>132837.10999999999</v>
      </c>
      <c r="K19" s="593">
        <v>0</v>
      </c>
      <c r="L19" s="593">
        <v>0</v>
      </c>
      <c r="M19" s="593">
        <v>0</v>
      </c>
      <c r="N19" s="594">
        <f t="shared" si="0"/>
        <v>222457.95</v>
      </c>
      <c r="O19" s="595">
        <f>107380+332447+N19</f>
        <v>662284.94999999995</v>
      </c>
      <c r="P19" s="598"/>
      <c r="Q19" s="599">
        <v>1102357</v>
      </c>
    </row>
    <row r="20" spans="1:122" s="292" customFormat="1" ht="16.5">
      <c r="A20" s="416" t="s">
        <v>159</v>
      </c>
      <c r="B20" s="593">
        <v>5222.442</v>
      </c>
      <c r="C20" s="593">
        <v>0</v>
      </c>
      <c r="D20" s="593">
        <v>-244.96</v>
      </c>
      <c r="E20" s="593">
        <v>4719.42</v>
      </c>
      <c r="F20" s="593">
        <v>10792.54</v>
      </c>
      <c r="G20" s="593">
        <v>47032.25</v>
      </c>
      <c r="H20" s="593">
        <v>-4333.2599999999993</v>
      </c>
      <c r="I20" s="593">
        <v>115956.73999999999</v>
      </c>
      <c r="J20" s="593">
        <v>174798.23999999996</v>
      </c>
      <c r="K20" s="593">
        <v>0</v>
      </c>
      <c r="L20" s="593">
        <v>0</v>
      </c>
      <c r="M20" s="593">
        <v>0</v>
      </c>
      <c r="N20" s="594">
        <f t="shared" si="0"/>
        <v>353943.41199999995</v>
      </c>
      <c r="O20" s="595">
        <f>210841+454256+N20</f>
        <v>1019040.412</v>
      </c>
      <c r="P20" s="598"/>
      <c r="Q20" s="599">
        <v>1653537</v>
      </c>
    </row>
    <row r="21" spans="1:122" s="292" customFormat="1" ht="13">
      <c r="A21" s="416" t="s">
        <v>160</v>
      </c>
      <c r="B21" s="593">
        <v>0</v>
      </c>
      <c r="C21" s="593">
        <v>0</v>
      </c>
      <c r="D21" s="593">
        <v>0</v>
      </c>
      <c r="E21" s="593">
        <v>0</v>
      </c>
      <c r="F21" s="593">
        <v>0</v>
      </c>
      <c r="G21" s="593">
        <v>0</v>
      </c>
      <c r="H21" s="593">
        <v>0</v>
      </c>
      <c r="I21" s="593">
        <v>0</v>
      </c>
      <c r="J21" s="593">
        <v>0</v>
      </c>
      <c r="K21" s="593">
        <v>0</v>
      </c>
      <c r="L21" s="593">
        <v>0</v>
      </c>
      <c r="M21" s="593">
        <v>0</v>
      </c>
      <c r="N21" s="594">
        <f t="shared" si="0"/>
        <v>0</v>
      </c>
      <c r="O21" s="595">
        <f>2329+N21</f>
        <v>2329</v>
      </c>
      <c r="P21" s="598"/>
      <c r="Q21" s="599">
        <v>0</v>
      </c>
    </row>
    <row r="22" spans="1:122" s="292" customFormat="1" ht="13">
      <c r="A22" s="417" t="s">
        <v>161</v>
      </c>
      <c r="B22" s="593">
        <v>0</v>
      </c>
      <c r="C22" s="593">
        <v>0</v>
      </c>
      <c r="D22" s="593">
        <v>0</v>
      </c>
      <c r="E22" s="593">
        <v>0</v>
      </c>
      <c r="F22" s="593">
        <v>0</v>
      </c>
      <c r="G22" s="593">
        <v>0</v>
      </c>
      <c r="H22" s="593">
        <v>0</v>
      </c>
      <c r="I22" s="593">
        <v>0</v>
      </c>
      <c r="J22" s="593">
        <v>0</v>
      </c>
      <c r="K22" s="593">
        <v>0</v>
      </c>
      <c r="L22" s="593">
        <v>0</v>
      </c>
      <c r="M22" s="593">
        <v>0</v>
      </c>
      <c r="N22" s="600">
        <f t="shared" si="0"/>
        <v>0</v>
      </c>
      <c r="O22" s="595">
        <f>530.37+N22</f>
        <v>530.37</v>
      </c>
      <c r="P22" s="598"/>
      <c r="Q22" s="599">
        <v>50000</v>
      </c>
    </row>
    <row r="23" spans="1:122" s="297" customFormat="1" ht="15.5">
      <c r="A23" s="419" t="s">
        <v>162</v>
      </c>
      <c r="B23" s="604">
        <f t="shared" ref="B23:O23" si="1">SUM(B11:B22)</f>
        <v>19868.052</v>
      </c>
      <c r="C23" s="604">
        <f t="shared" si="1"/>
        <v>43686.559999999998</v>
      </c>
      <c r="D23" s="604">
        <f t="shared" si="1"/>
        <v>64630.62</v>
      </c>
      <c r="E23" s="604">
        <f t="shared" si="1"/>
        <v>73236.06</v>
      </c>
      <c r="F23" s="604">
        <f t="shared" si="1"/>
        <v>59453.020000000011</v>
      </c>
      <c r="G23" s="604">
        <f t="shared" si="1"/>
        <v>158440.62</v>
      </c>
      <c r="H23" s="604">
        <f t="shared" si="1"/>
        <v>16727.91</v>
      </c>
      <c r="I23" s="604">
        <f t="shared" si="1"/>
        <v>270963.24</v>
      </c>
      <c r="J23" s="604">
        <f t="shared" si="1"/>
        <v>453930.9</v>
      </c>
      <c r="K23" s="604">
        <f t="shared" si="1"/>
        <v>0</v>
      </c>
      <c r="L23" s="604">
        <f t="shared" si="1"/>
        <v>0</v>
      </c>
      <c r="M23" s="604">
        <f t="shared" si="1"/>
        <v>0</v>
      </c>
      <c r="N23" s="605">
        <f>SUM(N11:N22)</f>
        <v>1160936.9820000001</v>
      </c>
      <c r="O23" s="606">
        <f t="shared" si="1"/>
        <v>4042267.3519999995</v>
      </c>
      <c r="P23" s="607"/>
      <c r="Q23" s="606">
        <f>SUM(Q11:Q22)</f>
        <v>6260240.5</v>
      </c>
      <c r="R23" s="292"/>
      <c r="S23" s="292"/>
      <c r="T23" s="292"/>
      <c r="U23" s="292"/>
      <c r="V23" s="292"/>
      <c r="W23" s="292"/>
      <c r="X23" s="292"/>
      <c r="Y23" s="292"/>
      <c r="Z23" s="292"/>
      <c r="AA23" s="292"/>
      <c r="AB23" s="292"/>
      <c r="AC23" s="292"/>
      <c r="AD23" s="292"/>
      <c r="AE23" s="292"/>
      <c r="AF23" s="292"/>
      <c r="AG23" s="292"/>
      <c r="AH23" s="292"/>
      <c r="AI23" s="292"/>
      <c r="AJ23" s="292"/>
      <c r="AK23" s="292"/>
      <c r="AL23" s="292"/>
      <c r="AM23" s="292"/>
      <c r="AN23" s="292"/>
      <c r="AO23" s="292"/>
      <c r="AP23" s="292"/>
      <c r="AQ23" s="292"/>
      <c r="AR23" s="292"/>
      <c r="AS23" s="292"/>
      <c r="AT23" s="292"/>
      <c r="AU23" s="292"/>
      <c r="AV23" s="292"/>
      <c r="AW23" s="292"/>
      <c r="AX23" s="292"/>
      <c r="AY23" s="292"/>
      <c r="AZ23" s="292"/>
      <c r="BA23" s="292"/>
      <c r="BB23" s="292"/>
      <c r="BC23" s="292"/>
      <c r="BD23" s="292"/>
      <c r="BE23" s="292"/>
      <c r="BF23" s="292"/>
      <c r="BG23" s="292"/>
      <c r="BH23" s="292"/>
      <c r="BI23" s="292"/>
      <c r="BJ23" s="292"/>
      <c r="BK23" s="292"/>
      <c r="BL23" s="292"/>
      <c r="BM23" s="292"/>
      <c r="BN23" s="292"/>
      <c r="BO23" s="292"/>
      <c r="BP23" s="292"/>
      <c r="BQ23" s="292"/>
      <c r="BR23" s="292"/>
      <c r="BS23" s="292"/>
      <c r="BT23" s="292"/>
      <c r="BU23" s="292"/>
      <c r="BV23" s="292"/>
      <c r="BW23" s="292"/>
      <c r="BX23" s="292"/>
      <c r="BY23" s="292"/>
      <c r="BZ23" s="292"/>
      <c r="CA23" s="292"/>
      <c r="CB23" s="292"/>
      <c r="CC23" s="292"/>
      <c r="CD23" s="292"/>
      <c r="CE23" s="292"/>
      <c r="CF23" s="292"/>
      <c r="CG23" s="292"/>
      <c r="CH23" s="292"/>
      <c r="CI23" s="292"/>
      <c r="CJ23" s="292"/>
      <c r="CK23" s="292"/>
      <c r="CL23" s="292"/>
      <c r="CM23" s="292"/>
      <c r="CN23" s="292"/>
      <c r="CO23" s="292"/>
      <c r="CP23" s="292"/>
      <c r="CQ23" s="292"/>
      <c r="CR23" s="292"/>
      <c r="CS23" s="292"/>
      <c r="CT23" s="292"/>
      <c r="CU23" s="292"/>
      <c r="CV23" s="292"/>
      <c r="CW23" s="292"/>
      <c r="CX23" s="292"/>
      <c r="CY23" s="292"/>
      <c r="CZ23" s="292"/>
      <c r="DA23" s="292"/>
      <c r="DB23" s="292"/>
      <c r="DC23" s="292"/>
      <c r="DD23" s="292"/>
      <c r="DE23" s="292"/>
      <c r="DF23" s="292"/>
      <c r="DG23" s="292"/>
      <c r="DH23" s="292"/>
      <c r="DI23" s="292"/>
      <c r="DJ23" s="292"/>
      <c r="DK23" s="292"/>
      <c r="DL23" s="292"/>
      <c r="DM23" s="292"/>
      <c r="DN23" s="292"/>
      <c r="DO23" s="292"/>
      <c r="DP23" s="292"/>
      <c r="DQ23" s="292"/>
      <c r="DR23" s="292"/>
    </row>
    <row r="24" spans="1:122" s="292" customFormat="1" ht="13">
      <c r="A24" s="303"/>
      <c r="B24" s="608"/>
      <c r="C24" s="609"/>
      <c r="D24" s="609"/>
      <c r="E24" s="609"/>
      <c r="F24" s="609"/>
      <c r="G24" s="609"/>
      <c r="H24" s="609"/>
      <c r="I24" s="609"/>
      <c r="J24" s="609"/>
      <c r="K24" s="609"/>
      <c r="L24" s="609"/>
      <c r="M24" s="609"/>
      <c r="N24" s="609"/>
      <c r="O24" s="609"/>
      <c r="P24" s="609"/>
      <c r="Q24" s="610"/>
    </row>
    <row r="25" spans="1:122" s="292" customFormat="1" ht="15.5">
      <c r="A25" s="420" t="s">
        <v>163</v>
      </c>
      <c r="B25" s="608"/>
      <c r="C25" s="611"/>
      <c r="D25" s="611"/>
      <c r="E25" s="611"/>
      <c r="F25" s="611"/>
      <c r="G25" s="611"/>
      <c r="H25" s="611"/>
      <c r="I25" s="611"/>
      <c r="J25" s="611"/>
      <c r="K25" s="611"/>
      <c r="L25" s="611"/>
      <c r="M25" s="611"/>
      <c r="N25" s="612"/>
      <c r="O25" s="611"/>
      <c r="P25" s="609"/>
      <c r="Q25" s="613"/>
    </row>
    <row r="26" spans="1:122" s="292" customFormat="1" ht="13">
      <c r="A26" s="416" t="s">
        <v>164</v>
      </c>
      <c r="B26" s="614">
        <v>0</v>
      </c>
      <c r="C26" s="615">
        <v>0</v>
      </c>
      <c r="D26" s="615">
        <v>0</v>
      </c>
      <c r="E26" s="615">
        <v>0</v>
      </c>
      <c r="F26" s="615">
        <v>0</v>
      </c>
      <c r="G26" s="615">
        <v>0</v>
      </c>
      <c r="H26" s="615">
        <v>0</v>
      </c>
      <c r="I26" s="615">
        <v>0</v>
      </c>
      <c r="J26" s="615">
        <v>0</v>
      </c>
      <c r="K26" s="615">
        <v>0</v>
      </c>
      <c r="L26" s="615">
        <v>0</v>
      </c>
      <c r="M26" s="616">
        <v>0</v>
      </c>
      <c r="N26" s="599">
        <f t="shared" ref="N26:N30" si="2">SUM(B26:M26)</f>
        <v>0</v>
      </c>
      <c r="O26" s="617">
        <f>0+N26</f>
        <v>0</v>
      </c>
      <c r="P26" s="609"/>
      <c r="Q26" s="610"/>
    </row>
    <row r="27" spans="1:122" s="292" customFormat="1" ht="16.5">
      <c r="A27" s="415" t="s">
        <v>165</v>
      </c>
      <c r="B27" s="618">
        <v>400.64</v>
      </c>
      <c r="C27" s="593">
        <v>0</v>
      </c>
      <c r="D27" s="593">
        <v>-1294.95</v>
      </c>
      <c r="E27" s="593">
        <v>0</v>
      </c>
      <c r="F27" s="593">
        <v>2250</v>
      </c>
      <c r="G27" s="593">
        <v>0</v>
      </c>
      <c r="H27" s="593">
        <v>6134.95</v>
      </c>
      <c r="I27" s="593">
        <v>19265.82</v>
      </c>
      <c r="J27" s="593">
        <v>106649.36</v>
      </c>
      <c r="K27" s="593">
        <v>0</v>
      </c>
      <c r="L27" s="593">
        <v>0</v>
      </c>
      <c r="M27" s="599">
        <v>0</v>
      </c>
      <c r="N27" s="599">
        <f t="shared" si="2"/>
        <v>133405.82</v>
      </c>
      <c r="O27" s="595">
        <f>79345+33670+N27</f>
        <v>246420.82</v>
      </c>
      <c r="P27" s="609"/>
      <c r="Q27" s="610"/>
    </row>
    <row r="28" spans="1:122" s="292" customFormat="1" ht="13">
      <c r="A28" s="415" t="s">
        <v>166</v>
      </c>
      <c r="B28" s="618">
        <v>14249.57</v>
      </c>
      <c r="C28" s="593">
        <v>23788.179999999993</v>
      </c>
      <c r="D28" s="593">
        <v>23213.869999999992</v>
      </c>
      <c r="E28" s="593">
        <v>28825.01999999999</v>
      </c>
      <c r="F28" s="593">
        <v>23882.450000000004</v>
      </c>
      <c r="G28" s="593">
        <v>24572.129999999997</v>
      </c>
      <c r="H28" s="593">
        <v>24822.92</v>
      </c>
      <c r="I28" s="593">
        <v>12835.38</v>
      </c>
      <c r="J28" s="593">
        <v>18599.53</v>
      </c>
      <c r="K28" s="593">
        <v>0</v>
      </c>
      <c r="L28" s="593">
        <v>0</v>
      </c>
      <c r="M28" s="599">
        <v>0</v>
      </c>
      <c r="N28" s="599">
        <f t="shared" si="2"/>
        <v>194789.04999999996</v>
      </c>
      <c r="O28" s="595">
        <f>426331+346126+N28</f>
        <v>967246.04999999993</v>
      </c>
      <c r="P28" s="609"/>
      <c r="Q28" s="610"/>
    </row>
    <row r="29" spans="1:122" s="292" customFormat="1" ht="15">
      <c r="A29" s="415" t="s">
        <v>167</v>
      </c>
      <c r="B29" s="618">
        <v>0</v>
      </c>
      <c r="C29" s="593">
        <v>10843</v>
      </c>
      <c r="D29" s="593">
        <v>0</v>
      </c>
      <c r="E29" s="593">
        <v>12690</v>
      </c>
      <c r="F29" s="593">
        <v>29432.5</v>
      </c>
      <c r="G29" s="593">
        <v>131030.98999999999</v>
      </c>
      <c r="H29" s="593">
        <v>-18817.43</v>
      </c>
      <c r="I29" s="593">
        <v>226979.71000000002</v>
      </c>
      <c r="J29" s="593">
        <v>312219.92</v>
      </c>
      <c r="K29" s="593">
        <v>0</v>
      </c>
      <c r="L29" s="593">
        <v>0</v>
      </c>
      <c r="M29" s="599">
        <v>0</v>
      </c>
      <c r="N29" s="599">
        <f t="shared" si="2"/>
        <v>704378.69</v>
      </c>
      <c r="O29" s="595">
        <f>377868+1193883+N29</f>
        <v>2276129.69</v>
      </c>
      <c r="P29" s="609"/>
      <c r="Q29" s="610"/>
    </row>
    <row r="30" spans="1:122" s="292" customFormat="1" ht="13">
      <c r="A30" s="415" t="s">
        <v>168</v>
      </c>
      <c r="B30" s="619">
        <v>5217.82</v>
      </c>
      <c r="C30" s="620">
        <v>9055.380000000001</v>
      </c>
      <c r="D30" s="620">
        <v>42711.71</v>
      </c>
      <c r="E30" s="620">
        <v>31721</v>
      </c>
      <c r="F30" s="620">
        <v>3888.0299999999997</v>
      </c>
      <c r="G30" s="620">
        <v>2837.5</v>
      </c>
      <c r="H30" s="620">
        <v>4587.5</v>
      </c>
      <c r="I30" s="620">
        <v>11882.25</v>
      </c>
      <c r="J30" s="620">
        <v>16462</v>
      </c>
      <c r="K30" s="620">
        <v>0</v>
      </c>
      <c r="L30" s="620">
        <v>0</v>
      </c>
      <c r="M30" s="621">
        <v>0</v>
      </c>
      <c r="N30" s="599">
        <f t="shared" si="2"/>
        <v>128363.19</v>
      </c>
      <c r="O30" s="622">
        <f>331980+92124+N30</f>
        <v>552467.18999999994</v>
      </c>
      <c r="P30" s="609"/>
      <c r="Q30" s="610"/>
    </row>
    <row r="31" spans="1:122" s="292" customFormat="1" ht="15.5">
      <c r="A31" s="419" t="s">
        <v>169</v>
      </c>
      <c r="B31" s="623">
        <f>SUM(B26:B30)</f>
        <v>19868.03</v>
      </c>
      <c r="C31" s="624">
        <f t="shared" ref="C31:M31" si="3">SUM(C26:C30)</f>
        <v>43686.559999999998</v>
      </c>
      <c r="D31" s="624">
        <f t="shared" si="3"/>
        <v>64630.62999999999</v>
      </c>
      <c r="E31" s="624">
        <f t="shared" si="3"/>
        <v>73236.01999999999</v>
      </c>
      <c r="F31" s="624">
        <f t="shared" si="3"/>
        <v>59452.98</v>
      </c>
      <c r="G31" s="624">
        <f t="shared" si="3"/>
        <v>158440.62</v>
      </c>
      <c r="H31" s="624">
        <f t="shared" si="3"/>
        <v>16727.939999999999</v>
      </c>
      <c r="I31" s="624">
        <f t="shared" si="3"/>
        <v>270963.16000000003</v>
      </c>
      <c r="J31" s="624">
        <f t="shared" si="3"/>
        <v>453930.81</v>
      </c>
      <c r="K31" s="624">
        <f t="shared" si="3"/>
        <v>0</v>
      </c>
      <c r="L31" s="624">
        <f t="shared" si="3"/>
        <v>0</v>
      </c>
      <c r="M31" s="624">
        <f t="shared" si="3"/>
        <v>0</v>
      </c>
      <c r="N31" s="604">
        <f>SUM(N26:N30)</f>
        <v>1160936.75</v>
      </c>
      <c r="O31" s="624">
        <f>SUM(O26:O30)</f>
        <v>4042263.7499999995</v>
      </c>
      <c r="P31" s="607"/>
      <c r="Q31" s="625"/>
    </row>
    <row r="32" spans="1:122" s="292" customFormat="1" ht="13">
      <c r="A32" s="304"/>
      <c r="B32" s="626"/>
      <c r="C32" s="627"/>
      <c r="D32" s="627"/>
      <c r="E32" s="627"/>
      <c r="F32" s="627"/>
      <c r="G32" s="627"/>
      <c r="H32" s="627"/>
      <c r="I32" s="627"/>
      <c r="J32" s="627"/>
      <c r="K32" s="627"/>
      <c r="L32" s="627"/>
      <c r="M32" s="627"/>
      <c r="N32" s="627"/>
      <c r="O32" s="627"/>
      <c r="P32" s="628"/>
      <c r="Q32" s="629"/>
    </row>
    <row r="33" spans="1:17" s="292" customFormat="1" ht="15.5">
      <c r="A33" s="420" t="s">
        <v>170</v>
      </c>
      <c r="B33" s="608"/>
      <c r="C33" s="611"/>
      <c r="D33" s="611"/>
      <c r="E33" s="611"/>
      <c r="F33" s="611"/>
      <c r="G33" s="611"/>
      <c r="H33" s="611"/>
      <c r="I33" s="611"/>
      <c r="J33" s="611"/>
      <c r="K33" s="611"/>
      <c r="L33" s="611"/>
      <c r="M33" s="611"/>
      <c r="N33" s="612"/>
      <c r="O33" s="612"/>
      <c r="P33" s="609"/>
      <c r="Q33" s="613"/>
    </row>
    <row r="34" spans="1:17" s="292" customFormat="1" ht="15">
      <c r="A34" s="415" t="s">
        <v>171</v>
      </c>
      <c r="B34" s="614">
        <v>0</v>
      </c>
      <c r="C34" s="615">
        <v>0</v>
      </c>
      <c r="D34" s="615">
        <v>0</v>
      </c>
      <c r="E34" s="615">
        <v>0</v>
      </c>
      <c r="F34" s="615">
        <v>0</v>
      </c>
      <c r="G34" s="615">
        <v>0</v>
      </c>
      <c r="H34" s="615">
        <v>0</v>
      </c>
      <c r="I34" s="615">
        <v>0</v>
      </c>
      <c r="J34" s="615">
        <v>0</v>
      </c>
      <c r="K34" s="615">
        <v>0</v>
      </c>
      <c r="L34" s="615">
        <v>0</v>
      </c>
      <c r="M34" s="616">
        <v>0</v>
      </c>
      <c r="N34" s="599">
        <f t="shared" ref="N34:N37" si="4">SUM(B34:M34)</f>
        <v>0</v>
      </c>
      <c r="O34" s="630">
        <f>0+N34</f>
        <v>0</v>
      </c>
      <c r="P34" s="609"/>
      <c r="Q34" s="610"/>
    </row>
    <row r="35" spans="1:17" s="292" customFormat="1" ht="13">
      <c r="A35" s="416" t="s">
        <v>172</v>
      </c>
      <c r="B35" s="618">
        <v>4699.5</v>
      </c>
      <c r="C35" s="593">
        <v>16866.929999999993</v>
      </c>
      <c r="D35" s="593">
        <v>18398.279999999995</v>
      </c>
      <c r="E35" s="593">
        <v>22848</v>
      </c>
      <c r="F35" s="593">
        <v>17380.620000000003</v>
      </c>
      <c r="G35" s="593">
        <v>51766.670000000006</v>
      </c>
      <c r="H35" s="593">
        <v>3992.7499999999973</v>
      </c>
      <c r="I35" s="593">
        <v>75082.179999999993</v>
      </c>
      <c r="J35" s="593">
        <v>173577.05</v>
      </c>
      <c r="K35" s="593">
        <v>0</v>
      </c>
      <c r="L35" s="593">
        <v>0</v>
      </c>
      <c r="M35" s="599">
        <v>0</v>
      </c>
      <c r="N35" s="599">
        <f t="shared" si="4"/>
        <v>384611.98</v>
      </c>
      <c r="O35" s="631">
        <f>344661+585375+N35</f>
        <v>1314647.98</v>
      </c>
      <c r="P35" s="609"/>
      <c r="Q35" s="610"/>
    </row>
    <row r="36" spans="1:17" s="292" customFormat="1" ht="14.25" customHeight="1">
      <c r="A36" s="415" t="s">
        <v>173</v>
      </c>
      <c r="B36" s="618">
        <v>6925.72</v>
      </c>
      <c r="C36" s="593">
        <v>11798.960000000001</v>
      </c>
      <c r="D36" s="593">
        <v>19325.809999999998</v>
      </c>
      <c r="E36" s="593">
        <v>21012.579999999994</v>
      </c>
      <c r="F36" s="593">
        <v>13182.89</v>
      </c>
      <c r="G36" s="593">
        <v>33418.259999999995</v>
      </c>
      <c r="H36" s="593">
        <v>4577.16</v>
      </c>
      <c r="I36" s="593">
        <v>71248.67</v>
      </c>
      <c r="J36" s="593">
        <v>102777.41999999998</v>
      </c>
      <c r="K36" s="593">
        <v>0</v>
      </c>
      <c r="L36" s="593">
        <v>0</v>
      </c>
      <c r="M36" s="599">
        <v>0</v>
      </c>
      <c r="N36" s="599">
        <f t="shared" si="4"/>
        <v>284267.46999999997</v>
      </c>
      <c r="O36" s="631">
        <f>314335+384699+N36</f>
        <v>983301.47</v>
      </c>
      <c r="P36" s="609"/>
      <c r="Q36" s="610"/>
    </row>
    <row r="37" spans="1:17" s="292" customFormat="1" ht="13">
      <c r="A37" s="415" t="s">
        <v>174</v>
      </c>
      <c r="B37" s="619">
        <v>8242.81</v>
      </c>
      <c r="C37" s="620">
        <v>15020.67</v>
      </c>
      <c r="D37" s="620">
        <v>26906.529999999995</v>
      </c>
      <c r="E37" s="620">
        <v>29375.899999999991</v>
      </c>
      <c r="F37" s="620">
        <v>28889.49</v>
      </c>
      <c r="G37" s="620">
        <v>73255.69</v>
      </c>
      <c r="H37" s="620">
        <v>8158.0000000000036</v>
      </c>
      <c r="I37" s="620">
        <v>124632.39</v>
      </c>
      <c r="J37" s="620">
        <v>177576.43</v>
      </c>
      <c r="K37" s="620">
        <v>0</v>
      </c>
      <c r="L37" s="620">
        <v>0</v>
      </c>
      <c r="M37" s="621">
        <v>0</v>
      </c>
      <c r="N37" s="599">
        <f t="shared" si="4"/>
        <v>492057.91</v>
      </c>
      <c r="O37" s="632">
        <f>556528+695729+N37</f>
        <v>1744314.91</v>
      </c>
      <c r="P37" s="609"/>
      <c r="Q37" s="610"/>
    </row>
    <row r="38" spans="1:17" s="292" customFormat="1" ht="15.5">
      <c r="A38" s="419" t="s">
        <v>175</v>
      </c>
      <c r="B38" s="623">
        <f t="shared" ref="B38:M38" si="5">SUM(B34:B37)</f>
        <v>19868.03</v>
      </c>
      <c r="C38" s="624">
        <f t="shared" si="5"/>
        <v>43686.55999999999</v>
      </c>
      <c r="D38" s="624">
        <f>SUM(D34:D37)</f>
        <v>64630.619999999995</v>
      </c>
      <c r="E38" s="624">
        <f t="shared" si="5"/>
        <v>73236.479999999981</v>
      </c>
      <c r="F38" s="624">
        <f t="shared" si="5"/>
        <v>59453</v>
      </c>
      <c r="G38" s="624">
        <f t="shared" si="5"/>
        <v>158440.62</v>
      </c>
      <c r="H38" s="624">
        <f t="shared" si="5"/>
        <v>16727.91</v>
      </c>
      <c r="I38" s="624">
        <f t="shared" si="5"/>
        <v>270963.24</v>
      </c>
      <c r="J38" s="624">
        <f t="shared" si="5"/>
        <v>453930.89999999997</v>
      </c>
      <c r="K38" s="624">
        <f t="shared" si="5"/>
        <v>0</v>
      </c>
      <c r="L38" s="624">
        <f t="shared" si="5"/>
        <v>0</v>
      </c>
      <c r="M38" s="624">
        <f t="shared" si="5"/>
        <v>0</v>
      </c>
      <c r="N38" s="604">
        <f>SUM(N34:N37)</f>
        <v>1160937.3599999999</v>
      </c>
      <c r="O38" s="604">
        <f>SUM(O34:O37)</f>
        <v>4042264.3600000003</v>
      </c>
      <c r="P38" s="607">
        <f>SUM(P34:P37)</f>
        <v>0</v>
      </c>
      <c r="Q38" s="625"/>
    </row>
    <row r="39" spans="1:17" s="292" customFormat="1" ht="13">
      <c r="B39" s="295"/>
      <c r="C39" s="295"/>
      <c r="D39" s="295"/>
      <c r="E39" s="295"/>
      <c r="F39" s="295"/>
      <c r="G39" s="295"/>
      <c r="H39" s="295"/>
      <c r="I39" s="295"/>
      <c r="J39" s="295"/>
      <c r="K39" s="295"/>
      <c r="L39" s="295"/>
      <c r="M39" s="295"/>
      <c r="O39" s="295"/>
      <c r="P39" s="295"/>
      <c r="Q39" s="295"/>
    </row>
    <row r="40" spans="1:17" s="292" customFormat="1" ht="14">
      <c r="A40" s="512" t="s">
        <v>66</v>
      </c>
      <c r="B40" s="299"/>
      <c r="C40" s="299"/>
      <c r="D40" s="299"/>
      <c r="E40" s="299"/>
      <c r="F40" s="299"/>
      <c r="G40" s="299"/>
      <c r="H40" s="299"/>
      <c r="I40" s="299"/>
      <c r="J40" s="299"/>
      <c r="K40" s="299"/>
      <c r="L40" s="299"/>
      <c r="M40" s="299"/>
      <c r="N40" s="298"/>
      <c r="O40" s="299"/>
      <c r="P40" s="299"/>
      <c r="Q40" s="299"/>
    </row>
    <row r="41" spans="1:17" ht="16.5">
      <c r="A41" s="338" t="s">
        <v>176</v>
      </c>
      <c r="D41" s="276"/>
      <c r="E41" s="214"/>
      <c r="F41" s="276"/>
      <c r="N41" s="338"/>
    </row>
    <row r="42" spans="1:17" ht="16.5">
      <c r="A42" s="338" t="s">
        <v>177</v>
      </c>
      <c r="D42" s="276"/>
      <c r="E42" s="214"/>
      <c r="F42" s="276"/>
      <c r="N42" s="338"/>
    </row>
    <row r="43" spans="1:17" ht="16.5">
      <c r="A43" s="338" t="s">
        <v>178</v>
      </c>
      <c r="D43" s="276"/>
      <c r="E43" s="214"/>
      <c r="F43" s="276"/>
      <c r="N43" s="338"/>
    </row>
    <row r="44" spans="1:17" ht="16.5">
      <c r="A44" s="243" t="s">
        <v>73</v>
      </c>
      <c r="D44" s="276"/>
      <c r="E44" s="214"/>
      <c r="F44" s="276"/>
      <c r="N44" s="354"/>
    </row>
    <row r="45" spans="1:17">
      <c r="E45" s="281"/>
      <c r="F45" s="276"/>
    </row>
  </sheetData>
  <mergeCells count="3">
    <mergeCell ref="O7:O8"/>
    <mergeCell ref="Q7:Q8"/>
    <mergeCell ref="N7:N8"/>
  </mergeCells>
  <printOptions horizontalCentered="1"/>
  <pageMargins left="0" right="0" top="0.55000000000000004" bottom="0.17" header="0.3" footer="0.15"/>
  <pageSetup paperSize="5" scale="65" orientation="landscape" cellComments="atEnd" r:id="rId1"/>
  <headerFooter alignWithMargins="0">
    <oddHeader xml:space="preserve">&amp;C&amp;"Arial,Bold"
</oddHeader>
    <oddFooter xml:space="preserve">&amp;Rpage 5 of 11
&amp;A
&amp;D  &amp;T
</oddFooter>
  </headerFooter>
  <customProperties>
    <customPr name="_pios_id" r:id="rId2"/>
  </customProperti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2:R63"/>
  <sheetViews>
    <sheetView showGridLines="0" zoomScale="110" zoomScaleNormal="110" zoomScaleSheetLayoutView="80" workbookViewId="0">
      <pane xSplit="1" ySplit="9" topLeftCell="B10" activePane="bottomRight" state="frozen"/>
      <selection pane="topRight" activeCell="V16" sqref="V16"/>
      <selection pane="bottomLeft" activeCell="V16" sqref="V16"/>
      <selection pane="bottomRight" activeCell="A16" sqref="A16"/>
    </sheetView>
  </sheetViews>
  <sheetFormatPr defaultColWidth="9.26953125" defaultRowHeight="12.5"/>
  <cols>
    <col min="1" max="1" width="77.1796875" style="130" customWidth="1"/>
    <col min="2" max="2" width="13" style="130" customWidth="1"/>
    <col min="3" max="3" width="11.453125" style="130" customWidth="1"/>
    <col min="4" max="4" width="15.54296875" style="130" customWidth="1"/>
    <col min="5" max="5" width="12" style="130" customWidth="1"/>
    <col min="6" max="6" width="11.26953125" style="130" bestFit="1" customWidth="1"/>
    <col min="7" max="7" width="12.7265625" style="130" customWidth="1"/>
    <col min="8" max="8" width="11.7265625" style="130" bestFit="1" customWidth="1"/>
    <col min="9" max="9" width="11.7265625" style="130" customWidth="1"/>
    <col min="10" max="10" width="12" style="130" customWidth="1"/>
    <col min="11" max="11" width="10.7265625" style="130" customWidth="1"/>
    <col min="12" max="13" width="11.7265625" style="130" customWidth="1"/>
    <col min="14" max="14" width="23.26953125" style="130" bestFit="1" customWidth="1"/>
    <col min="15" max="15" width="16" style="130" customWidth="1"/>
    <col min="16" max="16" width="17.26953125" style="130" customWidth="1"/>
    <col min="17" max="17" width="14.7265625" style="130" customWidth="1"/>
    <col min="18" max="18" width="13.453125" style="130" bestFit="1" customWidth="1"/>
    <col min="19" max="16384" width="9.26953125" style="130"/>
  </cols>
  <sheetData>
    <row r="2" spans="1:18" ht="13">
      <c r="A2" s="129"/>
      <c r="G2" s="149" t="s">
        <v>179</v>
      </c>
    </row>
    <row r="3" spans="1:18" ht="13">
      <c r="A3" s="129"/>
      <c r="G3" s="149" t="s">
        <v>180</v>
      </c>
    </row>
    <row r="4" spans="1:18" ht="13">
      <c r="A4" s="129"/>
      <c r="F4" s="201"/>
      <c r="G4" s="202" t="str">
        <f>'Program MW '!H3</f>
        <v>September 2020</v>
      </c>
      <c r="H4" s="201"/>
      <c r="I4" s="201"/>
    </row>
    <row r="5" spans="1:18" ht="13">
      <c r="A5" s="129"/>
      <c r="B5" s="201"/>
      <c r="C5" s="201"/>
      <c r="D5" s="201"/>
    </row>
    <row r="6" spans="1:18" ht="13" thickBot="1"/>
    <row r="7" spans="1:18" ht="13">
      <c r="A7" s="319"/>
      <c r="B7" s="131"/>
      <c r="C7" s="131"/>
      <c r="D7" s="131"/>
      <c r="E7" s="131"/>
      <c r="F7" s="131"/>
      <c r="G7" s="131"/>
      <c r="H7" s="131"/>
      <c r="I7" s="131"/>
      <c r="J7" s="131"/>
      <c r="K7" s="131"/>
      <c r="L7" s="131"/>
      <c r="M7" s="132"/>
      <c r="N7" s="132"/>
      <c r="O7" s="132"/>
      <c r="P7" s="133"/>
      <c r="Q7" s="133"/>
      <c r="R7" s="305"/>
    </row>
    <row r="8" spans="1:18" ht="9" customHeight="1">
      <c r="A8" s="320"/>
      <c r="B8" s="134"/>
      <c r="C8" s="134"/>
      <c r="D8" s="134"/>
      <c r="E8" s="134"/>
      <c r="F8" s="134"/>
      <c r="G8" s="134"/>
      <c r="H8" s="134"/>
      <c r="I8" s="134"/>
      <c r="J8" s="134"/>
      <c r="K8" s="134"/>
      <c r="L8" s="134"/>
      <c r="M8" s="135"/>
      <c r="N8" s="135"/>
      <c r="O8" s="135"/>
      <c r="P8" s="136"/>
      <c r="Q8" s="136"/>
      <c r="R8" s="306"/>
    </row>
    <row r="9" spans="1:18" ht="57.75" customHeight="1">
      <c r="A9" s="394" t="s">
        <v>181</v>
      </c>
      <c r="B9" s="406" t="s">
        <v>41</v>
      </c>
      <c r="C9" s="274" t="s">
        <v>42</v>
      </c>
      <c r="D9" s="274" t="s">
        <v>43</v>
      </c>
      <c r="E9" s="274" t="s">
        <v>44</v>
      </c>
      <c r="F9" s="274" t="s">
        <v>31</v>
      </c>
      <c r="G9" s="274" t="s">
        <v>45</v>
      </c>
      <c r="H9" s="274" t="s">
        <v>60</v>
      </c>
      <c r="I9" s="275" t="s">
        <v>61</v>
      </c>
      <c r="J9" s="275" t="s">
        <v>76</v>
      </c>
      <c r="K9" s="274" t="s">
        <v>62</v>
      </c>
      <c r="L9" s="274" t="s">
        <v>77</v>
      </c>
      <c r="M9" s="274" t="s">
        <v>63</v>
      </c>
      <c r="N9" s="137" t="s">
        <v>143</v>
      </c>
      <c r="O9" s="137" t="s">
        <v>182</v>
      </c>
      <c r="P9" s="137" t="s">
        <v>183</v>
      </c>
      <c r="Q9" s="137" t="s">
        <v>184</v>
      </c>
      <c r="R9" s="307" t="s">
        <v>185</v>
      </c>
    </row>
    <row r="10" spans="1:18" ht="13">
      <c r="A10" s="321" t="s">
        <v>186</v>
      </c>
      <c r="B10" s="407"/>
      <c r="C10" s="15"/>
      <c r="D10" s="15"/>
      <c r="E10" s="15"/>
      <c r="F10" s="138"/>
      <c r="G10" s="271"/>
      <c r="H10" s="138"/>
      <c r="I10" s="138"/>
      <c r="J10" s="138"/>
      <c r="K10" s="138"/>
      <c r="L10" s="138"/>
      <c r="M10" s="463"/>
      <c r="N10" s="462"/>
      <c r="O10" s="139" t="s">
        <v>57</v>
      </c>
      <c r="P10" s="336"/>
      <c r="Q10" s="140"/>
      <c r="R10" s="308"/>
    </row>
    <row r="11" spans="1:18">
      <c r="A11" s="322" t="s">
        <v>187</v>
      </c>
      <c r="B11" s="633">
        <v>2420.3000000000002</v>
      </c>
      <c r="C11" s="634">
        <v>4071.44</v>
      </c>
      <c r="D11" s="634">
        <v>10975.180000000002</v>
      </c>
      <c r="E11" s="634">
        <v>10144.85</v>
      </c>
      <c r="F11" s="634">
        <v>10202.710000000001</v>
      </c>
      <c r="G11" s="634">
        <v>10280.720000000001</v>
      </c>
      <c r="H11" s="634">
        <v>13167.74</v>
      </c>
      <c r="I11" s="634">
        <v>4980.5</v>
      </c>
      <c r="J11" s="634">
        <v>10159.52</v>
      </c>
      <c r="K11" s="634">
        <v>0</v>
      </c>
      <c r="L11" s="634">
        <v>0</v>
      </c>
      <c r="M11" s="635">
        <v>0</v>
      </c>
      <c r="N11" s="635">
        <f>SUM(B11:M11)</f>
        <v>76402.960000000006</v>
      </c>
      <c r="O11" s="636">
        <f>665232.07+N11</f>
        <v>741635.02999999991</v>
      </c>
      <c r="P11" s="637">
        <v>2869200</v>
      </c>
      <c r="Q11" s="638">
        <v>0</v>
      </c>
      <c r="R11" s="309">
        <f>+O11/P11</f>
        <v>0.25848146870207722</v>
      </c>
    </row>
    <row r="12" spans="1:18">
      <c r="A12" s="322" t="s">
        <v>188</v>
      </c>
      <c r="B12" s="633">
        <v>40192.76</v>
      </c>
      <c r="C12" s="634">
        <v>45716.240000000005</v>
      </c>
      <c r="D12" s="634">
        <v>46109.96</v>
      </c>
      <c r="E12" s="634">
        <v>47099.759999999995</v>
      </c>
      <c r="F12" s="634">
        <v>13054.750000000002</v>
      </c>
      <c r="G12" s="634">
        <v>78294</v>
      </c>
      <c r="H12" s="634">
        <v>48556.43</v>
      </c>
      <c r="I12" s="634">
        <v>37691.759999999995</v>
      </c>
      <c r="J12" s="634">
        <v>44983.08</v>
      </c>
      <c r="K12" s="634">
        <v>0</v>
      </c>
      <c r="L12" s="634">
        <v>0</v>
      </c>
      <c r="M12" s="635">
        <v>0</v>
      </c>
      <c r="N12" s="635">
        <f t="shared" ref="N12:N15" si="0">SUM(B12:M12)</f>
        <v>401698.74</v>
      </c>
      <c r="O12" s="636">
        <f>2788267.14+N12</f>
        <v>3189965.88</v>
      </c>
      <c r="P12" s="637">
        <v>9020700</v>
      </c>
      <c r="Q12" s="638">
        <v>0</v>
      </c>
      <c r="R12" s="309">
        <f t="shared" ref="R12:R15" si="1">+O12/P12</f>
        <v>0.35362731051913932</v>
      </c>
    </row>
    <row r="13" spans="1:18">
      <c r="A13" s="322" t="s">
        <v>189</v>
      </c>
      <c r="B13" s="633">
        <v>9050.1</v>
      </c>
      <c r="C13" s="634">
        <v>16667.080000000002</v>
      </c>
      <c r="D13" s="634">
        <v>20819.95</v>
      </c>
      <c r="E13" s="634">
        <v>15177.59</v>
      </c>
      <c r="F13" s="634">
        <v>11172.62</v>
      </c>
      <c r="G13" s="634">
        <v>13547.25</v>
      </c>
      <c r="H13" s="634">
        <v>19907.77</v>
      </c>
      <c r="I13" s="634">
        <v>7304.97</v>
      </c>
      <c r="J13" s="634">
        <v>16562.469999999998</v>
      </c>
      <c r="K13" s="634">
        <v>0</v>
      </c>
      <c r="L13" s="634">
        <v>0</v>
      </c>
      <c r="M13" s="635">
        <v>0</v>
      </c>
      <c r="N13" s="635">
        <f t="shared" si="0"/>
        <v>130209.8</v>
      </c>
      <c r="O13" s="636">
        <f>361425.18+N13</f>
        <v>491634.98</v>
      </c>
      <c r="P13" s="637">
        <v>4664400</v>
      </c>
      <c r="Q13" s="638">
        <v>0</v>
      </c>
      <c r="R13" s="309">
        <f t="shared" si="1"/>
        <v>0.10540154789469171</v>
      </c>
    </row>
    <row r="14" spans="1:18" ht="14.5">
      <c r="A14" s="322" t="s">
        <v>190</v>
      </c>
      <c r="B14" s="633">
        <v>12636.34</v>
      </c>
      <c r="C14" s="634">
        <v>12249.720000000001</v>
      </c>
      <c r="D14" s="634">
        <v>11862.43</v>
      </c>
      <c r="E14" s="634">
        <v>12099.63</v>
      </c>
      <c r="F14" s="634">
        <v>11029.05</v>
      </c>
      <c r="G14" s="634">
        <v>10163.5</v>
      </c>
      <c r="H14" s="634">
        <v>42620</v>
      </c>
      <c r="I14" s="634">
        <v>7527.2400000000007</v>
      </c>
      <c r="J14" s="634">
        <v>118485.16</v>
      </c>
      <c r="K14" s="634">
        <v>0</v>
      </c>
      <c r="L14" s="634">
        <v>0</v>
      </c>
      <c r="M14" s="635">
        <v>0</v>
      </c>
      <c r="N14" s="635">
        <f t="shared" si="0"/>
        <v>238673.07</v>
      </c>
      <c r="O14" s="636">
        <f>610344+N14</f>
        <v>849017.07000000007</v>
      </c>
      <c r="P14" s="638">
        <v>10301202</v>
      </c>
      <c r="Q14" s="638">
        <v>0</v>
      </c>
      <c r="R14" s="309">
        <f t="shared" si="1"/>
        <v>8.241922350420855E-2</v>
      </c>
    </row>
    <row r="15" spans="1:18" ht="14.5">
      <c r="A15" s="323" t="s">
        <v>191</v>
      </c>
      <c r="B15" s="639">
        <v>0</v>
      </c>
      <c r="C15" s="640">
        <v>0</v>
      </c>
      <c r="D15" s="640">
        <v>0</v>
      </c>
      <c r="E15" s="640">
        <v>0</v>
      </c>
      <c r="F15" s="640">
        <v>0</v>
      </c>
      <c r="G15" s="640">
        <v>0</v>
      </c>
      <c r="H15" s="640">
        <v>0</v>
      </c>
      <c r="I15" s="640">
        <v>0</v>
      </c>
      <c r="J15" s="640">
        <v>0</v>
      </c>
      <c r="K15" s="640">
        <v>0</v>
      </c>
      <c r="L15" s="640">
        <v>0</v>
      </c>
      <c r="M15" s="641">
        <v>0</v>
      </c>
      <c r="N15" s="635">
        <f t="shared" si="0"/>
        <v>0</v>
      </c>
      <c r="O15" s="636">
        <f>15326.45+N15</f>
        <v>15326.45</v>
      </c>
      <c r="P15" s="637">
        <v>20000</v>
      </c>
      <c r="Q15" s="638">
        <v>0</v>
      </c>
      <c r="R15" s="309">
        <f t="shared" si="1"/>
        <v>0.76632250000000002</v>
      </c>
    </row>
    <row r="16" spans="1:18" ht="13">
      <c r="A16" s="324" t="s">
        <v>192</v>
      </c>
      <c r="B16" s="642">
        <f>SUM(B11:B15)</f>
        <v>64299.5</v>
      </c>
      <c r="C16" s="643">
        <f t="shared" ref="C16:M16" si="2">SUM(C11:C15)</f>
        <v>78704.48000000001</v>
      </c>
      <c r="D16" s="643">
        <f t="shared" si="2"/>
        <v>89767.51999999999</v>
      </c>
      <c r="E16" s="643">
        <f t="shared" si="2"/>
        <v>84521.83</v>
      </c>
      <c r="F16" s="643">
        <f t="shared" si="2"/>
        <v>45459.130000000005</v>
      </c>
      <c r="G16" s="643">
        <f t="shared" si="2"/>
        <v>112285.47</v>
      </c>
      <c r="H16" s="643">
        <f t="shared" si="2"/>
        <v>124251.94</v>
      </c>
      <c r="I16" s="643">
        <f t="shared" si="2"/>
        <v>57504.469999999994</v>
      </c>
      <c r="J16" s="643">
        <f t="shared" si="2"/>
        <v>190190.23</v>
      </c>
      <c r="K16" s="643">
        <f>SUM(K11:K15)</f>
        <v>0</v>
      </c>
      <c r="L16" s="643">
        <f t="shared" si="2"/>
        <v>0</v>
      </c>
      <c r="M16" s="643">
        <f t="shared" si="2"/>
        <v>0</v>
      </c>
      <c r="N16" s="644">
        <f>SUM(N11:N15)</f>
        <v>846984.57000000007</v>
      </c>
      <c r="O16" s="644">
        <f>SUM(O11:O15)</f>
        <v>5287579.41</v>
      </c>
      <c r="P16" s="645">
        <f>SUM(P11:P15)</f>
        <v>26875502</v>
      </c>
      <c r="Q16" s="646">
        <f>SUM(Q11:Q15)</f>
        <v>0</v>
      </c>
      <c r="R16" s="310">
        <f>O16/P16</f>
        <v>0.19674346585228436</v>
      </c>
    </row>
    <row r="17" spans="1:18">
      <c r="A17" s="323"/>
      <c r="B17" s="633"/>
      <c r="C17" s="636"/>
      <c r="D17" s="636"/>
      <c r="E17" s="636"/>
      <c r="F17" s="647"/>
      <c r="G17" s="648"/>
      <c r="H17" s="647"/>
      <c r="I17" s="647"/>
      <c r="J17" s="647"/>
      <c r="K17" s="647"/>
      <c r="L17" s="647"/>
      <c r="M17" s="647"/>
      <c r="N17" s="649"/>
      <c r="O17" s="649"/>
      <c r="P17" s="637"/>
      <c r="Q17" s="638"/>
      <c r="R17" s="309"/>
    </row>
    <row r="18" spans="1:18" ht="13">
      <c r="A18" s="321" t="s">
        <v>193</v>
      </c>
      <c r="B18" s="633"/>
      <c r="C18" s="636"/>
      <c r="D18" s="636"/>
      <c r="E18" s="636"/>
      <c r="F18" s="647"/>
      <c r="G18" s="648"/>
      <c r="H18" s="647"/>
      <c r="I18" s="647"/>
      <c r="J18" s="647"/>
      <c r="K18" s="647"/>
      <c r="L18" s="647"/>
      <c r="M18" s="647"/>
      <c r="N18" s="649"/>
      <c r="O18" s="649"/>
      <c r="P18" s="637"/>
      <c r="Q18" s="638"/>
      <c r="R18" s="309"/>
    </row>
    <row r="19" spans="1:18">
      <c r="A19" s="322"/>
      <c r="B19" s="633">
        <v>0</v>
      </c>
      <c r="C19" s="636">
        <v>0</v>
      </c>
      <c r="D19" s="636">
        <v>0</v>
      </c>
      <c r="E19" s="636">
        <v>0</v>
      </c>
      <c r="F19" s="636">
        <v>0</v>
      </c>
      <c r="G19" s="636">
        <v>0</v>
      </c>
      <c r="H19" s="636">
        <v>0</v>
      </c>
      <c r="I19" s="636">
        <v>0</v>
      </c>
      <c r="J19" s="636">
        <v>0</v>
      </c>
      <c r="K19" s="636">
        <v>0</v>
      </c>
      <c r="L19" s="636">
        <v>0</v>
      </c>
      <c r="M19" s="636">
        <v>0</v>
      </c>
      <c r="N19" s="649">
        <f>SUM(B19:M19)</f>
        <v>0</v>
      </c>
      <c r="O19" s="636">
        <f>0+N19</f>
        <v>0</v>
      </c>
      <c r="P19" s="650">
        <v>0</v>
      </c>
      <c r="Q19" s="649">
        <v>0</v>
      </c>
      <c r="R19" s="309">
        <v>0</v>
      </c>
    </row>
    <row r="20" spans="1:18" ht="13">
      <c r="A20" s="324" t="s">
        <v>194</v>
      </c>
      <c r="B20" s="651">
        <f t="shared" ref="B20:M20" si="3">SUM(B19:B19)</f>
        <v>0</v>
      </c>
      <c r="C20" s="644">
        <f t="shared" si="3"/>
        <v>0</v>
      </c>
      <c r="D20" s="644">
        <f t="shared" si="3"/>
        <v>0</v>
      </c>
      <c r="E20" s="644">
        <f t="shared" si="3"/>
        <v>0</v>
      </c>
      <c r="F20" s="644">
        <f t="shared" si="3"/>
        <v>0</v>
      </c>
      <c r="G20" s="652">
        <f t="shared" si="3"/>
        <v>0</v>
      </c>
      <c r="H20" s="644">
        <f t="shared" si="3"/>
        <v>0</v>
      </c>
      <c r="I20" s="644">
        <f t="shared" si="3"/>
        <v>0</v>
      </c>
      <c r="J20" s="644">
        <f t="shared" si="3"/>
        <v>0</v>
      </c>
      <c r="K20" s="644">
        <f t="shared" si="3"/>
        <v>0</v>
      </c>
      <c r="L20" s="644">
        <f t="shared" si="3"/>
        <v>0</v>
      </c>
      <c r="M20" s="644">
        <f t="shared" si="3"/>
        <v>0</v>
      </c>
      <c r="N20" s="646">
        <f>SUM(N19:N19)</f>
        <v>0</v>
      </c>
      <c r="O20" s="646">
        <f>SUM(O19:O19)</f>
        <v>0</v>
      </c>
      <c r="P20" s="645">
        <f>SUM(P19:P19)</f>
        <v>0</v>
      </c>
      <c r="Q20" s="646">
        <f>SUM(Q19:Q19)</f>
        <v>0</v>
      </c>
      <c r="R20" s="311">
        <v>0</v>
      </c>
    </row>
    <row r="21" spans="1:18" ht="13">
      <c r="A21" s="325"/>
      <c r="B21" s="633"/>
      <c r="C21" s="636"/>
      <c r="D21" s="636"/>
      <c r="E21" s="636"/>
      <c r="F21" s="636"/>
      <c r="G21" s="648"/>
      <c r="H21" s="636"/>
      <c r="I21" s="636"/>
      <c r="J21" s="636"/>
      <c r="K21" s="636"/>
      <c r="L21" s="636"/>
      <c r="M21" s="636"/>
      <c r="N21" s="649"/>
      <c r="O21" s="649"/>
      <c r="P21" s="650"/>
      <c r="Q21" s="649"/>
      <c r="R21" s="312"/>
    </row>
    <row r="22" spans="1:18" ht="13">
      <c r="A22" s="321" t="s">
        <v>195</v>
      </c>
      <c r="B22" s="633"/>
      <c r="C22" s="636"/>
      <c r="D22" s="636"/>
      <c r="E22" s="636"/>
      <c r="F22" s="647"/>
      <c r="G22" s="648"/>
      <c r="H22" s="647"/>
      <c r="I22" s="647"/>
      <c r="J22" s="647"/>
      <c r="K22" s="647"/>
      <c r="L22" s="647"/>
      <c r="M22" s="647"/>
      <c r="N22" s="649"/>
      <c r="O22" s="649"/>
      <c r="P22" s="637"/>
      <c r="Q22" s="638"/>
      <c r="R22" s="309"/>
    </row>
    <row r="23" spans="1:18" ht="14.5">
      <c r="A23" s="322" t="s">
        <v>196</v>
      </c>
      <c r="B23" s="639">
        <v>25434.629999999997</v>
      </c>
      <c r="C23" s="640">
        <v>140465.22</v>
      </c>
      <c r="D23" s="640">
        <v>157673.19000000003</v>
      </c>
      <c r="E23" s="640">
        <v>147762.50999999995</v>
      </c>
      <c r="F23" s="640">
        <v>15596.34</v>
      </c>
      <c r="G23" s="640">
        <v>40691.949999999997</v>
      </c>
      <c r="H23" s="640">
        <v>-28855.239999999998</v>
      </c>
      <c r="I23" s="640">
        <v>204241.09</v>
      </c>
      <c r="J23" s="640">
        <v>96668.319999999992</v>
      </c>
      <c r="K23" s="640">
        <v>0</v>
      </c>
      <c r="L23" s="640">
        <v>0</v>
      </c>
      <c r="M23" s="641">
        <v>0</v>
      </c>
      <c r="N23" s="653">
        <f>SUM(B23:M23)</f>
        <v>799678.00999999989</v>
      </c>
      <c r="O23" s="636">
        <f>2336825.61+N23</f>
        <v>3136503.6199999996</v>
      </c>
      <c r="P23" s="650">
        <v>8320000</v>
      </c>
      <c r="Q23" s="649">
        <v>0</v>
      </c>
      <c r="R23" s="309">
        <f t="shared" ref="R23" si="4">+O23/P23</f>
        <v>0.37698360817307686</v>
      </c>
    </row>
    <row r="24" spans="1:18" ht="13">
      <c r="A24" s="324" t="s">
        <v>197</v>
      </c>
      <c r="B24" s="639">
        <f t="shared" ref="B24:M24" si="5">SUM(B23:B23)</f>
        <v>25434.629999999997</v>
      </c>
      <c r="C24" s="643">
        <f t="shared" si="5"/>
        <v>140465.22</v>
      </c>
      <c r="D24" s="643">
        <f t="shared" si="5"/>
        <v>157673.19000000003</v>
      </c>
      <c r="E24" s="643">
        <f t="shared" si="5"/>
        <v>147762.50999999995</v>
      </c>
      <c r="F24" s="643">
        <f t="shared" si="5"/>
        <v>15596.34</v>
      </c>
      <c r="G24" s="640">
        <f t="shared" si="5"/>
        <v>40691.949999999997</v>
      </c>
      <c r="H24" s="643">
        <f t="shared" si="5"/>
        <v>-28855.239999999998</v>
      </c>
      <c r="I24" s="643">
        <f t="shared" si="5"/>
        <v>204241.09</v>
      </c>
      <c r="J24" s="643">
        <f t="shared" si="5"/>
        <v>96668.319999999992</v>
      </c>
      <c r="K24" s="643">
        <f t="shared" si="5"/>
        <v>0</v>
      </c>
      <c r="L24" s="643">
        <f t="shared" si="5"/>
        <v>0</v>
      </c>
      <c r="M24" s="643">
        <f t="shared" si="5"/>
        <v>0</v>
      </c>
      <c r="N24" s="646">
        <f>SUM(N23:N23)</f>
        <v>799678.00999999989</v>
      </c>
      <c r="O24" s="646">
        <f>O23</f>
        <v>3136503.6199999996</v>
      </c>
      <c r="P24" s="645">
        <f>SUM(P23:P23)</f>
        <v>8320000</v>
      </c>
      <c r="Q24" s="646">
        <f>SUM(Q23:Q23)</f>
        <v>0</v>
      </c>
      <c r="R24" s="311">
        <f>O24/P24</f>
        <v>0.37698360817307686</v>
      </c>
    </row>
    <row r="25" spans="1:18" ht="13">
      <c r="A25" s="321"/>
      <c r="B25" s="633"/>
      <c r="C25" s="636"/>
      <c r="D25" s="636"/>
      <c r="E25" s="636"/>
      <c r="F25" s="647"/>
      <c r="G25" s="648"/>
      <c r="H25" s="647"/>
      <c r="I25" s="647"/>
      <c r="J25" s="647"/>
      <c r="K25" s="647"/>
      <c r="L25" s="647"/>
      <c r="M25" s="647"/>
      <c r="N25" s="649"/>
      <c r="O25" s="649"/>
      <c r="P25" s="637"/>
      <c r="Q25" s="638"/>
      <c r="R25" s="309"/>
    </row>
    <row r="26" spans="1:18" ht="13">
      <c r="A26" s="321" t="s">
        <v>198</v>
      </c>
      <c r="B26" s="633"/>
      <c r="C26" s="636"/>
      <c r="D26" s="636"/>
      <c r="E26" s="636"/>
      <c r="F26" s="647"/>
      <c r="G26" s="648"/>
      <c r="H26" s="647"/>
      <c r="I26" s="647"/>
      <c r="J26" s="647"/>
      <c r="K26" s="647"/>
      <c r="L26" s="647"/>
      <c r="M26" s="647"/>
      <c r="N26" s="649"/>
      <c r="O26" s="649"/>
      <c r="P26" s="637"/>
      <c r="Q26" s="638"/>
      <c r="R26" s="309"/>
    </row>
    <row r="27" spans="1:18">
      <c r="A27" s="322" t="s">
        <v>199</v>
      </c>
      <c r="B27" s="654">
        <v>40100.240000000005</v>
      </c>
      <c r="C27" s="655">
        <v>64044.32</v>
      </c>
      <c r="D27" s="655">
        <v>6594.79</v>
      </c>
      <c r="E27" s="655">
        <v>6966.230000000005</v>
      </c>
      <c r="F27" s="655">
        <v>11639.820000000005</v>
      </c>
      <c r="G27" s="655">
        <v>67467.72</v>
      </c>
      <c r="H27" s="655">
        <v>29909.47</v>
      </c>
      <c r="I27" s="655">
        <v>16457.23</v>
      </c>
      <c r="J27" s="655">
        <v>79490.240000000005</v>
      </c>
      <c r="K27" s="655">
        <v>0</v>
      </c>
      <c r="L27" s="655">
        <v>0</v>
      </c>
      <c r="M27" s="656">
        <v>0</v>
      </c>
      <c r="N27" s="653">
        <f>SUM(B27:M27)</f>
        <v>322670.06</v>
      </c>
      <c r="O27" s="636">
        <f>876453.01+N27</f>
        <v>1199123.07</v>
      </c>
      <c r="P27" s="650">
        <v>3483000</v>
      </c>
      <c r="Q27" s="649">
        <v>0</v>
      </c>
      <c r="R27" s="309">
        <f t="shared" ref="R27:R29" si="6">+O27/P27</f>
        <v>0.34427880275624462</v>
      </c>
    </row>
    <row r="28" spans="1:18">
      <c r="A28" s="322" t="s">
        <v>200</v>
      </c>
      <c r="B28" s="633">
        <v>32236.809999999998</v>
      </c>
      <c r="C28" s="634">
        <v>34720.53</v>
      </c>
      <c r="D28" s="634">
        <v>24027.439999999999</v>
      </c>
      <c r="E28" s="634">
        <v>30223.21</v>
      </c>
      <c r="F28" s="634">
        <v>42039.67</v>
      </c>
      <c r="G28" s="634">
        <v>45971.29</v>
      </c>
      <c r="H28" s="634">
        <v>46349.860000000008</v>
      </c>
      <c r="I28" s="634">
        <v>38138.93</v>
      </c>
      <c r="J28" s="634">
        <v>36186.54</v>
      </c>
      <c r="K28" s="634">
        <v>0</v>
      </c>
      <c r="L28" s="634">
        <v>0</v>
      </c>
      <c r="M28" s="635">
        <v>0</v>
      </c>
      <c r="N28" s="653">
        <f>SUM(B28:M28)</f>
        <v>329894.27999999997</v>
      </c>
      <c r="O28" s="636">
        <f>1065210.38+N28</f>
        <v>1395104.66</v>
      </c>
      <c r="P28" s="650">
        <v>3794000</v>
      </c>
      <c r="Q28" s="649">
        <v>0</v>
      </c>
      <c r="R28" s="309">
        <f t="shared" si="6"/>
        <v>0.36771340537691088</v>
      </c>
    </row>
    <row r="29" spans="1:18">
      <c r="A29" s="326" t="s">
        <v>201</v>
      </c>
      <c r="B29" s="639">
        <v>19221.389999999996</v>
      </c>
      <c r="C29" s="640">
        <v>19881.62</v>
      </c>
      <c r="D29" s="640">
        <v>19473.639999999992</v>
      </c>
      <c r="E29" s="640">
        <v>98066.9</v>
      </c>
      <c r="F29" s="640">
        <v>65554.180000000008</v>
      </c>
      <c r="G29" s="640">
        <v>16421.170000000006</v>
      </c>
      <c r="H29" s="640">
        <v>25366.35</v>
      </c>
      <c r="I29" s="640">
        <v>43205.62000000001</v>
      </c>
      <c r="J29" s="640">
        <v>17191.04</v>
      </c>
      <c r="K29" s="640">
        <v>0</v>
      </c>
      <c r="L29" s="640">
        <v>0</v>
      </c>
      <c r="M29" s="641">
        <v>0</v>
      </c>
      <c r="N29" s="653">
        <f>SUM(B29:M29)</f>
        <v>324381.90999999997</v>
      </c>
      <c r="O29" s="636">
        <f>591946.07+N29</f>
        <v>916327.98</v>
      </c>
      <c r="P29" s="649">
        <v>11267000</v>
      </c>
      <c r="Q29" s="649">
        <v>0</v>
      </c>
      <c r="R29" s="309">
        <f t="shared" si="6"/>
        <v>8.1328479630780159E-2</v>
      </c>
    </row>
    <row r="30" spans="1:18" ht="13">
      <c r="A30" s="324" t="s">
        <v>202</v>
      </c>
      <c r="B30" s="639">
        <f t="shared" ref="B30:I30" si="7">SUM(B27:B29)</f>
        <v>91558.44</v>
      </c>
      <c r="C30" s="643">
        <f t="shared" si="7"/>
        <v>118646.47</v>
      </c>
      <c r="D30" s="643">
        <f t="shared" si="7"/>
        <v>50095.869999999995</v>
      </c>
      <c r="E30" s="643">
        <f>SUM(E27:E29)</f>
        <v>135256.34</v>
      </c>
      <c r="F30" s="657">
        <f t="shared" si="7"/>
        <v>119233.67000000001</v>
      </c>
      <c r="G30" s="640">
        <f t="shared" si="7"/>
        <v>129860.18000000002</v>
      </c>
      <c r="H30" s="657">
        <f t="shared" si="7"/>
        <v>101625.68000000002</v>
      </c>
      <c r="I30" s="657">
        <f t="shared" si="7"/>
        <v>97801.780000000013</v>
      </c>
      <c r="J30" s="657">
        <f>SUM(J27:J29)</f>
        <v>132867.82</v>
      </c>
      <c r="K30" s="657">
        <f>SUM(K27:K29)</f>
        <v>0</v>
      </c>
      <c r="L30" s="657">
        <f>SUM(L27:L29)</f>
        <v>0</v>
      </c>
      <c r="M30" s="657">
        <f t="shared" ref="M30:Q30" si="8">SUM(M27:M29)</f>
        <v>0</v>
      </c>
      <c r="N30" s="646">
        <f t="shared" si="8"/>
        <v>976946.25</v>
      </c>
      <c r="O30" s="646">
        <f t="shared" si="8"/>
        <v>3510555.71</v>
      </c>
      <c r="P30" s="645">
        <f>SUM(P27:P29)</f>
        <v>18544000</v>
      </c>
      <c r="Q30" s="646">
        <f t="shared" si="8"/>
        <v>0</v>
      </c>
      <c r="R30" s="311">
        <f>O30/P30</f>
        <v>0.18930951844262295</v>
      </c>
    </row>
    <row r="31" spans="1:18">
      <c r="A31" s="322"/>
      <c r="B31" s="633"/>
      <c r="C31" s="636"/>
      <c r="D31" s="636"/>
      <c r="E31" s="636"/>
      <c r="F31" s="647"/>
      <c r="G31" s="648"/>
      <c r="H31" s="647"/>
      <c r="I31" s="647"/>
      <c r="J31" s="647"/>
      <c r="K31" s="647"/>
      <c r="L31" s="647"/>
      <c r="M31" s="647"/>
      <c r="N31" s="649"/>
      <c r="O31" s="649"/>
      <c r="P31" s="650"/>
      <c r="Q31" s="649"/>
      <c r="R31" s="309"/>
    </row>
    <row r="32" spans="1:18" ht="13">
      <c r="A32" s="321" t="s">
        <v>203</v>
      </c>
      <c r="B32" s="633"/>
      <c r="C32" s="636"/>
      <c r="D32" s="636"/>
      <c r="E32" s="636"/>
      <c r="F32" s="647"/>
      <c r="G32" s="648"/>
      <c r="H32" s="647"/>
      <c r="I32" s="647"/>
      <c r="J32" s="647"/>
      <c r="K32" s="647"/>
      <c r="L32" s="647"/>
      <c r="M32" s="647"/>
      <c r="N32" s="649"/>
      <c r="O32" s="649"/>
      <c r="P32" s="650"/>
      <c r="Q32" s="649"/>
      <c r="R32" s="309"/>
    </row>
    <row r="33" spans="1:18">
      <c r="A33" s="322" t="s">
        <v>204</v>
      </c>
      <c r="B33" s="654">
        <v>0</v>
      </c>
      <c r="C33" s="655">
        <v>0</v>
      </c>
      <c r="D33" s="655">
        <v>0</v>
      </c>
      <c r="E33" s="655">
        <v>0</v>
      </c>
      <c r="F33" s="655">
        <v>0</v>
      </c>
      <c r="G33" s="655">
        <v>0</v>
      </c>
      <c r="H33" s="655">
        <v>0</v>
      </c>
      <c r="I33" s="655">
        <v>0</v>
      </c>
      <c r="J33" s="655">
        <v>0</v>
      </c>
      <c r="K33" s="655">
        <v>0</v>
      </c>
      <c r="L33" s="655">
        <v>0</v>
      </c>
      <c r="M33" s="656">
        <v>0</v>
      </c>
      <c r="N33" s="653">
        <f>SUM(B33:M33)</f>
        <v>0</v>
      </c>
      <c r="O33" s="636">
        <f>8111.66+N33</f>
        <v>8111.66</v>
      </c>
      <c r="P33" s="650">
        <v>2507000</v>
      </c>
      <c r="Q33" s="649">
        <v>0</v>
      </c>
      <c r="R33" s="309">
        <f t="shared" ref="R33:R36" si="9">+O33/P33</f>
        <v>3.2356043079377742E-3</v>
      </c>
    </row>
    <row r="34" spans="1:18">
      <c r="A34" s="322" t="s">
        <v>205</v>
      </c>
      <c r="B34" s="633">
        <v>0</v>
      </c>
      <c r="C34" s="634">
        <v>256.56</v>
      </c>
      <c r="D34" s="634">
        <v>2131.08</v>
      </c>
      <c r="E34" s="634">
        <v>1943.22</v>
      </c>
      <c r="F34" s="634">
        <v>1669.8600000000001</v>
      </c>
      <c r="G34" s="634">
        <v>1846.42</v>
      </c>
      <c r="H34" s="634">
        <v>2226.34</v>
      </c>
      <c r="I34" s="634">
        <v>1283.73</v>
      </c>
      <c r="J34" s="634">
        <v>342.13</v>
      </c>
      <c r="K34" s="634">
        <v>0</v>
      </c>
      <c r="L34" s="634">
        <v>0</v>
      </c>
      <c r="M34" s="635">
        <v>0</v>
      </c>
      <c r="N34" s="653">
        <f>SUM(B34:M34)</f>
        <v>11699.339999999998</v>
      </c>
      <c r="O34" s="636">
        <f>0+N34</f>
        <v>11699.339999999998</v>
      </c>
      <c r="P34" s="649">
        <v>500000</v>
      </c>
      <c r="Q34" s="649">
        <v>0</v>
      </c>
      <c r="R34" s="309">
        <f t="shared" si="9"/>
        <v>2.3398679999999998E-2</v>
      </c>
    </row>
    <row r="35" spans="1:18">
      <c r="A35" s="339" t="s">
        <v>206</v>
      </c>
      <c r="B35" s="633">
        <v>1411.1</v>
      </c>
      <c r="C35" s="634">
        <v>1603.54</v>
      </c>
      <c r="D35" s="634">
        <v>74418.97</v>
      </c>
      <c r="E35" s="634">
        <v>3134.75</v>
      </c>
      <c r="F35" s="634">
        <v>3788.91</v>
      </c>
      <c r="G35" s="634">
        <v>3934.96</v>
      </c>
      <c r="H35" s="634">
        <v>5339.9500000000007</v>
      </c>
      <c r="I35" s="634">
        <v>3045.79</v>
      </c>
      <c r="J35" s="634">
        <v>2228.2200000000003</v>
      </c>
      <c r="K35" s="634">
        <v>0</v>
      </c>
      <c r="L35" s="634">
        <v>0</v>
      </c>
      <c r="M35" s="635">
        <v>0</v>
      </c>
      <c r="N35" s="653">
        <f>SUM(B35:M35)</f>
        <v>98906.19</v>
      </c>
      <c r="O35" s="636">
        <f>389509.21+N35</f>
        <v>488415.4</v>
      </c>
      <c r="P35" s="650">
        <v>2148000</v>
      </c>
      <c r="Q35" s="649">
        <v>0</v>
      </c>
      <c r="R35" s="309">
        <f t="shared" si="9"/>
        <v>0.22738147113594043</v>
      </c>
    </row>
    <row r="36" spans="1:18">
      <c r="A36" s="340" t="s">
        <v>207</v>
      </c>
      <c r="B36" s="639">
        <v>0</v>
      </c>
      <c r="C36" s="640">
        <v>0</v>
      </c>
      <c r="D36" s="640">
        <v>0</v>
      </c>
      <c r="E36" s="640">
        <v>0</v>
      </c>
      <c r="F36" s="640">
        <v>0</v>
      </c>
      <c r="G36" s="640">
        <v>0</v>
      </c>
      <c r="H36" s="640">
        <v>0</v>
      </c>
      <c r="I36" s="640">
        <v>0</v>
      </c>
      <c r="J36" s="640">
        <v>0</v>
      </c>
      <c r="K36" s="640">
        <v>0</v>
      </c>
      <c r="L36" s="640">
        <v>0</v>
      </c>
      <c r="M36" s="641">
        <v>0</v>
      </c>
      <c r="N36" s="653">
        <f>SUM(B36:M36)</f>
        <v>0</v>
      </c>
      <c r="O36" s="636">
        <f>36788.21+N36</f>
        <v>36788.21</v>
      </c>
      <c r="P36" s="649">
        <v>340000</v>
      </c>
      <c r="Q36" s="649">
        <v>0</v>
      </c>
      <c r="R36" s="309">
        <f t="shared" si="9"/>
        <v>0.10820061764705882</v>
      </c>
    </row>
    <row r="37" spans="1:18" ht="15">
      <c r="A37" s="324" t="s">
        <v>208</v>
      </c>
      <c r="B37" s="639">
        <f t="shared" ref="B37:Q37" si="10">SUM(B33:B36)</f>
        <v>1411.1</v>
      </c>
      <c r="C37" s="643">
        <f t="shared" si="10"/>
        <v>1860.1</v>
      </c>
      <c r="D37" s="643">
        <f t="shared" si="10"/>
        <v>76550.05</v>
      </c>
      <c r="E37" s="643">
        <f t="shared" si="10"/>
        <v>5077.97</v>
      </c>
      <c r="F37" s="643">
        <f t="shared" si="10"/>
        <v>5458.77</v>
      </c>
      <c r="G37" s="640">
        <f t="shared" si="10"/>
        <v>5781.38</v>
      </c>
      <c r="H37" s="643">
        <f t="shared" si="10"/>
        <v>7566.2900000000009</v>
      </c>
      <c r="I37" s="643">
        <f t="shared" si="10"/>
        <v>4329.5200000000004</v>
      </c>
      <c r="J37" s="643">
        <f t="shared" si="10"/>
        <v>2570.3500000000004</v>
      </c>
      <c r="K37" s="643">
        <f t="shared" si="10"/>
        <v>0</v>
      </c>
      <c r="L37" s="643">
        <f t="shared" si="10"/>
        <v>0</v>
      </c>
      <c r="M37" s="658">
        <f t="shared" si="10"/>
        <v>0</v>
      </c>
      <c r="N37" s="659">
        <f>SUM(N33:N36)</f>
        <v>110605.53</v>
      </c>
      <c r="O37" s="646">
        <f>SUM(O33:O36)</f>
        <v>545014.61</v>
      </c>
      <c r="P37" s="645">
        <f t="shared" si="10"/>
        <v>5495000</v>
      </c>
      <c r="Q37" s="646">
        <f t="shared" si="10"/>
        <v>0</v>
      </c>
      <c r="R37" s="311">
        <f>O37/P37</f>
        <v>9.9183732484076428E-2</v>
      </c>
    </row>
    <row r="38" spans="1:18">
      <c r="A38" s="322"/>
      <c r="B38" s="633"/>
      <c r="C38" s="636"/>
      <c r="D38" s="636"/>
      <c r="E38" s="636"/>
      <c r="F38" s="647"/>
      <c r="G38" s="648"/>
      <c r="H38" s="647"/>
      <c r="I38" s="647"/>
      <c r="J38" s="647"/>
      <c r="K38" s="647"/>
      <c r="L38" s="647"/>
      <c r="M38" s="647"/>
      <c r="N38" s="649"/>
      <c r="O38" s="649"/>
      <c r="P38" s="650"/>
      <c r="Q38" s="649"/>
      <c r="R38" s="309"/>
    </row>
    <row r="39" spans="1:18" ht="13">
      <c r="A39" s="321" t="s">
        <v>209</v>
      </c>
      <c r="B39" s="633"/>
      <c r="C39" s="636"/>
      <c r="D39" s="636"/>
      <c r="E39" s="636"/>
      <c r="F39" s="647"/>
      <c r="G39" s="648"/>
      <c r="H39" s="647"/>
      <c r="I39" s="647"/>
      <c r="J39" s="647"/>
      <c r="K39" s="647"/>
      <c r="L39" s="647"/>
      <c r="M39" s="647"/>
      <c r="N39" s="649"/>
      <c r="O39" s="649"/>
      <c r="P39" s="650"/>
      <c r="Q39" s="649"/>
      <c r="R39" s="309"/>
    </row>
    <row r="40" spans="1:18" ht="14.5">
      <c r="A40" s="322" t="s">
        <v>210</v>
      </c>
      <c r="B40" s="660">
        <v>5607.42</v>
      </c>
      <c r="C40" s="661">
        <v>5068</v>
      </c>
      <c r="D40" s="661">
        <v>-1294.95</v>
      </c>
      <c r="E40" s="661">
        <v>12690</v>
      </c>
      <c r="F40" s="661">
        <v>31269.999999999996</v>
      </c>
      <c r="G40" s="661">
        <v>131030.98999999998</v>
      </c>
      <c r="H40" s="661">
        <v>-12682.48</v>
      </c>
      <c r="I40" s="661">
        <v>246245.53</v>
      </c>
      <c r="J40" s="661">
        <v>418869.28000000009</v>
      </c>
      <c r="K40" s="661">
        <v>0</v>
      </c>
      <c r="L40" s="661">
        <v>0</v>
      </c>
      <c r="M40" s="662">
        <v>0</v>
      </c>
      <c r="N40" s="653">
        <f>SUM(B40:M40)</f>
        <v>836803.79</v>
      </c>
      <c r="O40" s="636">
        <f>1731120+N40</f>
        <v>2567923.79</v>
      </c>
      <c r="P40" s="650">
        <v>4502000</v>
      </c>
      <c r="Q40" s="649">
        <v>0</v>
      </c>
      <c r="R40" s="309">
        <f t="shared" ref="R40" si="11">+O40/P40</f>
        <v>0.57039622167925363</v>
      </c>
    </row>
    <row r="41" spans="1:18" ht="13">
      <c r="A41" s="324" t="s">
        <v>211</v>
      </c>
      <c r="B41" s="639">
        <f t="shared" ref="B41:N41" si="12">SUM(B40:B40)</f>
        <v>5607.42</v>
      </c>
      <c r="C41" s="643">
        <f t="shared" si="12"/>
        <v>5068</v>
      </c>
      <c r="D41" s="643">
        <f t="shared" si="12"/>
        <v>-1294.95</v>
      </c>
      <c r="E41" s="643">
        <f t="shared" si="12"/>
        <v>12690</v>
      </c>
      <c r="F41" s="657">
        <f t="shared" si="12"/>
        <v>31269.999999999996</v>
      </c>
      <c r="G41" s="640">
        <f t="shared" si="12"/>
        <v>131030.98999999998</v>
      </c>
      <c r="H41" s="657">
        <f t="shared" si="12"/>
        <v>-12682.48</v>
      </c>
      <c r="I41" s="657">
        <f t="shared" si="12"/>
        <v>246245.53</v>
      </c>
      <c r="J41" s="657">
        <f t="shared" si="12"/>
        <v>418869.28000000009</v>
      </c>
      <c r="K41" s="657">
        <f t="shared" si="12"/>
        <v>0</v>
      </c>
      <c r="L41" s="657">
        <f t="shared" si="12"/>
        <v>0</v>
      </c>
      <c r="M41" s="657">
        <f t="shared" si="12"/>
        <v>0</v>
      </c>
      <c r="N41" s="646">
        <f t="shared" si="12"/>
        <v>836803.79</v>
      </c>
      <c r="O41" s="646">
        <f>O40</f>
        <v>2567923.79</v>
      </c>
      <c r="P41" s="645">
        <f>SUM(P40)</f>
        <v>4502000</v>
      </c>
      <c r="Q41" s="646">
        <f>SUM(Q40:Q40)</f>
        <v>0</v>
      </c>
      <c r="R41" s="311">
        <f>O41/P41</f>
        <v>0.57039622167925363</v>
      </c>
    </row>
    <row r="42" spans="1:18" ht="13">
      <c r="A42" s="321"/>
      <c r="B42" s="633"/>
      <c r="C42" s="636"/>
      <c r="D42" s="636"/>
      <c r="E42" s="636"/>
      <c r="F42" s="647"/>
      <c r="G42" s="648"/>
      <c r="H42" s="647"/>
      <c r="I42" s="647"/>
      <c r="J42" s="647"/>
      <c r="K42" s="647"/>
      <c r="L42" s="647"/>
      <c r="M42" s="647"/>
      <c r="N42" s="649"/>
      <c r="O42" s="663"/>
      <c r="P42" s="664"/>
      <c r="Q42" s="649"/>
      <c r="R42" s="309"/>
    </row>
    <row r="43" spans="1:18" ht="13">
      <c r="A43" s="321" t="s">
        <v>212</v>
      </c>
      <c r="B43" s="633"/>
      <c r="C43" s="636"/>
      <c r="D43" s="636"/>
      <c r="E43" s="636"/>
      <c r="F43" s="647"/>
      <c r="G43" s="648"/>
      <c r="H43" s="647"/>
      <c r="I43" s="647"/>
      <c r="J43" s="647"/>
      <c r="K43" s="647"/>
      <c r="L43" s="647"/>
      <c r="M43" s="647"/>
      <c r="N43" s="649"/>
      <c r="O43" s="663"/>
      <c r="P43" s="650"/>
      <c r="Q43" s="649"/>
      <c r="R43" s="309"/>
    </row>
    <row r="44" spans="1:18" ht="14.5">
      <c r="A44" s="322" t="s">
        <v>332</v>
      </c>
      <c r="B44" s="633">
        <v>28658.379999999997</v>
      </c>
      <c r="C44" s="634">
        <v>29536.71</v>
      </c>
      <c r="D44" s="634">
        <v>49590.439999999995</v>
      </c>
      <c r="E44" s="634">
        <v>50044.15</v>
      </c>
      <c r="F44" s="634">
        <v>46539.71</v>
      </c>
      <c r="G44" s="634">
        <v>48785.2</v>
      </c>
      <c r="H44" s="634">
        <v>53306.070000000007</v>
      </c>
      <c r="I44" s="634">
        <v>23317.25</v>
      </c>
      <c r="J44" s="634">
        <v>45425.930000000008</v>
      </c>
      <c r="K44" s="634">
        <v>0</v>
      </c>
      <c r="L44" s="634">
        <v>0</v>
      </c>
      <c r="M44" s="634">
        <v>0</v>
      </c>
      <c r="N44" s="649">
        <f>SUM(B44:M44)</f>
        <v>375203.83999999997</v>
      </c>
      <c r="O44" s="636">
        <f>1022198.73+N44</f>
        <v>1397402.5699999998</v>
      </c>
      <c r="P44" s="665">
        <f>4095000-166000</f>
        <v>3929000</v>
      </c>
      <c r="Q44" s="649">
        <v>-166000</v>
      </c>
      <c r="R44" s="309">
        <f t="shared" ref="R44:R47" si="13">+O44/P44</f>
        <v>0.35566367269025195</v>
      </c>
    </row>
    <row r="45" spans="1:18" s="201" customFormat="1" ht="14.5">
      <c r="A45" s="323" t="s">
        <v>333</v>
      </c>
      <c r="B45" s="633">
        <v>40093.299999999996</v>
      </c>
      <c r="C45" s="634">
        <v>309649.94</v>
      </c>
      <c r="D45" s="634">
        <v>241075.76</v>
      </c>
      <c r="E45" s="634">
        <v>-126678.38999999996</v>
      </c>
      <c r="F45" s="634">
        <v>120194.03</v>
      </c>
      <c r="G45" s="634">
        <v>321849.10000000003</v>
      </c>
      <c r="H45" s="634">
        <v>107305.69000000002</v>
      </c>
      <c r="I45" s="634">
        <v>137303.64000000001</v>
      </c>
      <c r="J45" s="634">
        <v>102589.97000000002</v>
      </c>
      <c r="K45" s="634">
        <v>0</v>
      </c>
      <c r="L45" s="634">
        <v>0</v>
      </c>
      <c r="M45" s="634">
        <v>0</v>
      </c>
      <c r="N45" s="650">
        <f>SUM(B45:M45)</f>
        <v>1253383.04</v>
      </c>
      <c r="O45" s="666">
        <f>3230727.24+N45</f>
        <v>4484110.28</v>
      </c>
      <c r="P45" s="665">
        <f>7948000+566000</f>
        <v>8514000</v>
      </c>
      <c r="Q45" s="650">
        <v>566000</v>
      </c>
      <c r="R45" s="459">
        <f t="shared" si="13"/>
        <v>0.52667492130608418</v>
      </c>
    </row>
    <row r="46" spans="1:18" ht="14.5">
      <c r="A46" s="322" t="s">
        <v>334</v>
      </c>
      <c r="B46" s="633">
        <v>76793.719999999987</v>
      </c>
      <c r="C46" s="634">
        <v>100941.29999999999</v>
      </c>
      <c r="D46" s="634">
        <v>74772.52</v>
      </c>
      <c r="E46" s="634">
        <v>-10865.939999999999</v>
      </c>
      <c r="F46" s="634">
        <v>87840</v>
      </c>
      <c r="G46" s="634">
        <v>32978.149999999994</v>
      </c>
      <c r="H46" s="634">
        <v>38278.789999999994</v>
      </c>
      <c r="I46" s="634">
        <v>21383.010000000002</v>
      </c>
      <c r="J46" s="634">
        <v>29305.870000000003</v>
      </c>
      <c r="K46" s="634">
        <v>0</v>
      </c>
      <c r="L46" s="634">
        <v>0</v>
      </c>
      <c r="M46" s="634">
        <v>0</v>
      </c>
      <c r="N46" s="649">
        <f>SUM(B46:M46)</f>
        <v>451427.42</v>
      </c>
      <c r="O46" s="636">
        <f>1507881.71+N46</f>
        <v>1959309.13</v>
      </c>
      <c r="P46" s="667">
        <f>5600600-400000</f>
        <v>5200600</v>
      </c>
      <c r="Q46" s="649">
        <v>-400000</v>
      </c>
      <c r="R46" s="309">
        <f t="shared" si="13"/>
        <v>0.37674674652924661</v>
      </c>
    </row>
    <row r="47" spans="1:18">
      <c r="A47" s="322" t="s">
        <v>214</v>
      </c>
      <c r="B47" s="633">
        <v>0</v>
      </c>
      <c r="C47" s="634">
        <v>0</v>
      </c>
      <c r="D47" s="634">
        <v>0</v>
      </c>
      <c r="E47" s="634">
        <v>22346.01</v>
      </c>
      <c r="F47" s="634">
        <v>0</v>
      </c>
      <c r="G47" s="634">
        <v>0</v>
      </c>
      <c r="H47" s="634">
        <v>0</v>
      </c>
      <c r="I47" s="634">
        <v>0</v>
      </c>
      <c r="J47" s="634">
        <v>0</v>
      </c>
      <c r="K47" s="634">
        <v>0</v>
      </c>
      <c r="L47" s="634">
        <v>0</v>
      </c>
      <c r="M47" s="634">
        <v>0</v>
      </c>
      <c r="N47" s="649">
        <f>SUM(B47:M47)</f>
        <v>22346.01</v>
      </c>
      <c r="O47" s="636">
        <f>217109.79+N47</f>
        <v>239455.80000000002</v>
      </c>
      <c r="P47" s="668">
        <v>1000000</v>
      </c>
      <c r="Q47" s="649">
        <v>0</v>
      </c>
      <c r="R47" s="309">
        <f t="shared" si="13"/>
        <v>0.23945580000000002</v>
      </c>
    </row>
    <row r="48" spans="1:18" ht="13">
      <c r="A48" s="324" t="s">
        <v>215</v>
      </c>
      <c r="B48" s="651">
        <f>SUM(B44:B47)</f>
        <v>145545.39999999997</v>
      </c>
      <c r="C48" s="652">
        <f t="shared" ref="C48:M48" si="14">SUM(C44:C47)</f>
        <v>440127.95</v>
      </c>
      <c r="D48" s="652">
        <f t="shared" si="14"/>
        <v>365438.72000000003</v>
      </c>
      <c r="E48" s="652">
        <f t="shared" si="14"/>
        <v>-65154.169999999969</v>
      </c>
      <c r="F48" s="652">
        <f t="shared" si="14"/>
        <v>254573.74</v>
      </c>
      <c r="G48" s="652">
        <f>SUM(G44:G47)</f>
        <v>403612.45000000007</v>
      </c>
      <c r="H48" s="652">
        <f t="shared" si="14"/>
        <v>198890.55</v>
      </c>
      <c r="I48" s="652">
        <f t="shared" si="14"/>
        <v>182003.90000000002</v>
      </c>
      <c r="J48" s="652">
        <f t="shared" si="14"/>
        <v>177321.77000000002</v>
      </c>
      <c r="K48" s="652">
        <f t="shared" si="14"/>
        <v>0</v>
      </c>
      <c r="L48" s="652">
        <f t="shared" si="14"/>
        <v>0</v>
      </c>
      <c r="M48" s="652">
        <f t="shared" si="14"/>
        <v>0</v>
      </c>
      <c r="N48" s="646">
        <f>N47+N46+N45+N44</f>
        <v>2102360.31</v>
      </c>
      <c r="O48" s="646">
        <f>SUM(O44:O47)</f>
        <v>8080277.7799999993</v>
      </c>
      <c r="P48" s="645">
        <f>SUM(P44:P47)</f>
        <v>18643600</v>
      </c>
      <c r="Q48" s="646">
        <f>SUM(Q44:Q47)</f>
        <v>0</v>
      </c>
      <c r="R48" s="311">
        <f>O48/P48</f>
        <v>0.43340759188139627</v>
      </c>
    </row>
    <row r="49" spans="1:18" ht="13">
      <c r="A49" s="321"/>
      <c r="B49" s="633"/>
      <c r="C49" s="636"/>
      <c r="D49" s="636"/>
      <c r="E49" s="636"/>
      <c r="F49" s="647"/>
      <c r="G49" s="648"/>
      <c r="H49" s="647"/>
      <c r="I49" s="647"/>
      <c r="J49" s="647"/>
      <c r="K49" s="647"/>
      <c r="L49" s="647"/>
      <c r="M49" s="647"/>
      <c r="N49" s="649"/>
      <c r="O49" s="649"/>
      <c r="P49" s="650"/>
      <c r="Q49" s="649"/>
      <c r="R49" s="309"/>
    </row>
    <row r="50" spans="1:18" ht="15" customHeight="1" thickBot="1">
      <c r="A50" s="327" t="s">
        <v>216</v>
      </c>
      <c r="B50" s="651">
        <f>B48+B41+B37+B30+B24+B20+B16</f>
        <v>333856.49</v>
      </c>
      <c r="C50" s="652">
        <f>C48+C41+C37+C30+C24+C20+C16</f>
        <v>784872.22</v>
      </c>
      <c r="D50" s="652">
        <f t="shared" ref="D50:M50" si="15">D48+D41+D37+D30+D24+D20+D16</f>
        <v>738230.4</v>
      </c>
      <c r="E50" s="652">
        <f t="shared" si="15"/>
        <v>320154.48</v>
      </c>
      <c r="F50" s="652">
        <f t="shared" si="15"/>
        <v>471591.65000000008</v>
      </c>
      <c r="G50" s="652">
        <f t="shared" si="15"/>
        <v>823262.42</v>
      </c>
      <c r="H50" s="652">
        <f t="shared" si="15"/>
        <v>390796.74000000005</v>
      </c>
      <c r="I50" s="652">
        <f t="shared" si="15"/>
        <v>792126.29</v>
      </c>
      <c r="J50" s="652">
        <f t="shared" si="15"/>
        <v>1018487.7699999999</v>
      </c>
      <c r="K50" s="652">
        <f t="shared" si="15"/>
        <v>0</v>
      </c>
      <c r="L50" s="652">
        <f t="shared" si="15"/>
        <v>0</v>
      </c>
      <c r="M50" s="652">
        <f t="shared" si="15"/>
        <v>0</v>
      </c>
      <c r="N50" s="669">
        <f>N48+N41+N37+N30+N24+N20+N16</f>
        <v>5673378.46</v>
      </c>
      <c r="O50" s="669">
        <f>O48+O41+O37+O30+O24+O20+O16</f>
        <v>23127854.920000002</v>
      </c>
      <c r="P50" s="670">
        <f>P48+P41+P37+P30+P24+P20+P16</f>
        <v>82380102</v>
      </c>
      <c r="Q50" s="670">
        <f>Q16+Q30+Q48</f>
        <v>0</v>
      </c>
      <c r="R50" s="313">
        <f>O50/P50</f>
        <v>0.28074564559291276</v>
      </c>
    </row>
    <row r="51" spans="1:18" ht="15" customHeight="1" thickTop="1">
      <c r="A51" s="328"/>
      <c r="B51" s="671"/>
      <c r="C51" s="647"/>
      <c r="D51" s="647"/>
      <c r="E51" s="647"/>
      <c r="F51" s="647"/>
      <c r="G51" s="672"/>
      <c r="H51" s="647"/>
      <c r="I51" s="647"/>
      <c r="J51" s="647"/>
      <c r="K51" s="647"/>
      <c r="L51" s="647"/>
      <c r="M51" s="647"/>
      <c r="N51" s="647"/>
      <c r="O51" s="647"/>
      <c r="P51" s="647" t="s">
        <v>57</v>
      </c>
      <c r="Q51" s="647"/>
      <c r="R51" s="314"/>
    </row>
    <row r="52" spans="1:18" ht="10.5" customHeight="1" thickBot="1">
      <c r="A52" s="206"/>
      <c r="B52" s="204"/>
      <c r="C52" s="141"/>
      <c r="D52" s="141"/>
      <c r="E52" s="141"/>
      <c r="F52" s="141"/>
      <c r="G52" s="141"/>
      <c r="H52" s="141"/>
      <c r="I52" s="141"/>
      <c r="J52" s="141"/>
      <c r="K52" s="141"/>
      <c r="L52" s="141"/>
      <c r="M52" s="141"/>
      <c r="N52" s="141"/>
      <c r="O52" s="141"/>
      <c r="P52" s="142"/>
      <c r="Q52" s="142"/>
      <c r="R52" s="315"/>
    </row>
    <row r="53" spans="1:18">
      <c r="A53" s="201"/>
      <c r="G53" s="264"/>
      <c r="P53" s="264" t="s">
        <v>57</v>
      </c>
    </row>
    <row r="54" spans="1:18" ht="14">
      <c r="A54" s="277" t="s">
        <v>66</v>
      </c>
      <c r="B54" s="201"/>
      <c r="N54" s="368"/>
      <c r="P54" s="130" t="s">
        <v>57</v>
      </c>
    </row>
    <row r="55" spans="1:18" ht="14.5">
      <c r="A55" s="544" t="s">
        <v>217</v>
      </c>
      <c r="B55" s="201"/>
      <c r="N55" s="368"/>
      <c r="P55" s="592">
        <f>P50-P24+2981000</f>
        <v>77041102</v>
      </c>
    </row>
    <row r="56" spans="1:18" ht="14.5">
      <c r="A56" s="544" t="s">
        <v>218</v>
      </c>
      <c r="B56" s="201"/>
      <c r="N56" s="368"/>
    </row>
    <row r="57" spans="1:18" ht="14.5">
      <c r="A57" s="544" t="s">
        <v>219</v>
      </c>
    </row>
    <row r="58" spans="1:18" ht="14.5">
      <c r="A58" s="544" t="s">
        <v>220</v>
      </c>
    </row>
    <row r="59" spans="1:18" ht="14.5">
      <c r="A59" s="544" t="s">
        <v>221</v>
      </c>
    </row>
    <row r="60" spans="1:18" ht="14.5">
      <c r="A60" s="130" t="s">
        <v>222</v>
      </c>
    </row>
    <row r="61" spans="1:18" ht="16.5">
      <c r="A61" s="338" t="s">
        <v>223</v>
      </c>
    </row>
    <row r="62" spans="1:18" ht="14.5">
      <c r="A62" s="130" t="s">
        <v>331</v>
      </c>
    </row>
    <row r="63" spans="1:18" ht="14">
      <c r="A63" s="243" t="s">
        <v>73</v>
      </c>
    </row>
  </sheetData>
  <printOptions horizontalCentered="1"/>
  <pageMargins left="0" right="0" top="0.55000000000000004" bottom="0.17" header="0.3" footer="0.15"/>
  <pageSetup paperSize="5" scale="90" orientation="landscape" cellComments="atEnd" r:id="rId1"/>
  <headerFooter alignWithMargins="0">
    <oddHeader xml:space="preserve">&amp;C&amp;"Arial,Bold"
</oddHeader>
    <oddFooter>&amp;Rpage 7 of 11
&amp;A
&amp;D  &amp;T</oddFooter>
  </headerFooter>
  <customProperties>
    <customPr name="_pios_id" r:id="rId2"/>
  </customProperties>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N19"/>
  <sheetViews>
    <sheetView zoomScaleNormal="100" zoomScaleSheetLayoutView="100" workbookViewId="0">
      <selection activeCell="C26" sqref="C26"/>
    </sheetView>
  </sheetViews>
  <sheetFormatPr defaultColWidth="9.26953125" defaultRowHeight="12.5"/>
  <cols>
    <col min="1" max="1" width="29.26953125" style="143" customWidth="1"/>
    <col min="2" max="2" width="15" style="143" customWidth="1"/>
    <col min="3" max="3" width="49.7265625" style="143" customWidth="1"/>
    <col min="4" max="4" width="11.26953125" style="143" customWidth="1"/>
    <col min="5" max="5" width="57" style="143" customWidth="1"/>
    <col min="6" max="13" width="9.26953125" style="143"/>
    <col min="14" max="14" width="23.7265625" style="143" bestFit="1" customWidth="1"/>
    <col min="15" max="16384" width="9.26953125" style="143"/>
  </cols>
  <sheetData>
    <row r="1" spans="1:14" ht="13">
      <c r="C1" s="149" t="s">
        <v>39</v>
      </c>
    </row>
    <row r="2" spans="1:14" ht="13">
      <c r="C2" s="149" t="s">
        <v>224</v>
      </c>
    </row>
    <row r="3" spans="1:14" ht="13">
      <c r="C3" s="202" t="str">
        <f>'Program MW '!H3</f>
        <v>September 2020</v>
      </c>
    </row>
    <row r="4" spans="1:14">
      <c r="C4" s="17"/>
    </row>
    <row r="5" spans="1:14">
      <c r="C5" s="17"/>
      <c r="D5" s="200"/>
    </row>
    <row r="6" spans="1:14" s="17" customFormat="1" ht="13">
      <c r="A6" s="283"/>
      <c r="B6" s="283"/>
    </row>
    <row r="7" spans="1:14" s="17" customFormat="1"/>
    <row r="8" spans="1:14" s="19" customFormat="1" ht="13">
      <c r="A8" s="18" t="s">
        <v>225</v>
      </c>
      <c r="B8" s="18" t="s">
        <v>226</v>
      </c>
      <c r="C8" s="18" t="s">
        <v>227</v>
      </c>
      <c r="D8" s="18" t="s">
        <v>228</v>
      </c>
      <c r="E8" s="18" t="s">
        <v>229</v>
      </c>
    </row>
    <row r="9" spans="1:14" s="375" customFormat="1" ht="50">
      <c r="A9" s="371" t="s">
        <v>212</v>
      </c>
      <c r="B9" s="372">
        <v>-166000</v>
      </c>
      <c r="C9" s="379" t="s">
        <v>213</v>
      </c>
      <c r="D9" s="374">
        <v>44061</v>
      </c>
      <c r="E9" s="373" t="s">
        <v>337</v>
      </c>
    </row>
    <row r="10" spans="1:14" s="378" customFormat="1" ht="50">
      <c r="A10" s="371" t="s">
        <v>212</v>
      </c>
      <c r="B10" s="377">
        <v>-400000</v>
      </c>
      <c r="C10" s="379" t="s">
        <v>336</v>
      </c>
      <c r="D10" s="374">
        <v>44061</v>
      </c>
      <c r="E10" s="373" t="s">
        <v>337</v>
      </c>
    </row>
    <row r="11" spans="1:14" s="378" customFormat="1" ht="50">
      <c r="A11" s="371" t="s">
        <v>212</v>
      </c>
      <c r="B11" s="377">
        <v>566000</v>
      </c>
      <c r="C11" s="380" t="s">
        <v>335</v>
      </c>
      <c r="D11" s="374">
        <v>44061</v>
      </c>
      <c r="E11" s="373" t="s">
        <v>337</v>
      </c>
    </row>
    <row r="12" spans="1:14" s="378" customFormat="1">
      <c r="A12" s="376" t="s">
        <v>57</v>
      </c>
      <c r="B12" s="377" t="s">
        <v>57</v>
      </c>
      <c r="C12" s="380" t="s">
        <v>57</v>
      </c>
      <c r="D12" s="374"/>
      <c r="E12" s="373"/>
    </row>
    <row r="13" spans="1:14" ht="13">
      <c r="A13" s="145" t="s">
        <v>109</v>
      </c>
      <c r="B13" s="236">
        <f>SUM(B9:B12)</f>
        <v>0</v>
      </c>
      <c r="C13" s="144"/>
      <c r="D13" s="144"/>
      <c r="E13" s="144"/>
    </row>
    <row r="14" spans="1:14">
      <c r="A14" s="144"/>
      <c r="B14" s="144"/>
      <c r="C14" s="144"/>
      <c r="D14" s="144"/>
      <c r="E14" s="144"/>
    </row>
    <row r="15" spans="1:14">
      <c r="N15" s="143">
        <v>15648</v>
      </c>
    </row>
    <row r="16" spans="1:14" ht="14">
      <c r="A16" s="505" t="s">
        <v>66</v>
      </c>
      <c r="N16" s="143">
        <v>972</v>
      </c>
    </row>
    <row r="17" spans="1:5" ht="14">
      <c r="A17" s="506" t="s">
        <v>230</v>
      </c>
    </row>
    <row r="18" spans="1:5" ht="14">
      <c r="A18" s="505"/>
    </row>
    <row r="19" spans="1:5" ht="14.5">
      <c r="A19" s="507" t="s">
        <v>73</v>
      </c>
      <c r="E19" s="146"/>
    </row>
  </sheetData>
  <phoneticPr fontId="42" type="noConversion"/>
  <printOptions horizontalCentered="1"/>
  <pageMargins left="0" right="0" top="0.55000000000000004" bottom="0.17" header="0.3" footer="0.15"/>
  <pageSetup paperSize="5" orientation="landscape" cellComments="atEnd" r:id="rId1"/>
  <headerFooter alignWithMargins="0">
    <oddHeader xml:space="preserve">&amp;C&amp;"Arial,Bold"
</oddHeader>
    <oddFooter>&amp;Rpage 6 of 11
&amp;A
&amp;D  &amp;T</oddFooter>
  </headerFooter>
  <customProperties>
    <customPr name="_pios_id" r:id="rId2"/>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1088E984398724D8C1DB16B0011A0BF" ma:contentTypeVersion="6271" ma:contentTypeDescription="Create a new document." ma:contentTypeScope="" ma:versionID="1870f39aaed35e7d1912c0f785710fca">
  <xsd:schema xmlns:xsd="http://www.w3.org/2001/XMLSchema" xmlns:xs="http://www.w3.org/2001/XMLSchema" xmlns:p="http://schemas.microsoft.com/office/2006/metadata/properties" xmlns:ns2="9bf079a2-8838-46e4-a25e-754293e27338" xmlns:ns3="3186f035-0cdb-442a-b3b5-e1bf8686ba54" targetNamespace="http://schemas.microsoft.com/office/2006/metadata/properties" ma:root="true" ma:fieldsID="c7aec518f4f639483e6d8d2541f87083" ns2:_="" ns3:_="">
    <xsd:import namespace="9bf079a2-8838-46e4-a25e-754293e27338"/>
    <xsd:import namespace="3186f035-0cdb-442a-b3b5-e1bf8686ba54"/>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bf079a2-8838-46e4-a25e-754293e27338"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3186f035-0cdb-442a-b3b5-e1bf8686ba54"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_Flow_SignoffStatus" ma:index="15" nillable="true" ma:displayName="Sign-off status" ma:internalName="Sign_x002d_off_x0020_status">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Flow_SignoffStatus xmlns="3186f035-0cdb-442a-b3b5-e1bf8686ba54" xsi:nil="true"/>
    <_dlc_DocId xmlns="9bf079a2-8838-46e4-a25e-754293e27338">7RCVYNPDDY4V-1526832976-91</_dlc_DocId>
    <_dlc_DocIdUrl xmlns="9bf079a2-8838-46e4-a25e-754293e27338">
      <Url>https://sempra.sharepoint.com/teams/sdgecp/po/drps/_layouts/15/DocIdRedir.aspx?ID=7RCVYNPDDY4V-1526832976-91</Url>
      <Description>7RCVYNPDDY4V-1526832976-91</Description>
    </_dlc_DocIdUrl>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195C82DE-5986-4678-9417-D91ED0D4CEE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bf079a2-8838-46e4-a25e-754293e27338"/>
    <ds:schemaRef ds:uri="3186f035-0cdb-442a-b3b5-e1bf8686ba5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B9CE5A5-034A-44C5-96B1-1FD952A1C468}">
  <ds:schemaRefs>
    <ds:schemaRef ds:uri="http://schemas.microsoft.com/office/2006/metadata/properties"/>
    <ds:schemaRef ds:uri="http://schemas.microsoft.com/office/2006/documentManagement/types"/>
    <ds:schemaRef ds:uri="http://purl.org/dc/elements/1.1/"/>
    <ds:schemaRef ds:uri="http://schemas.openxmlformats.org/package/2006/metadata/core-properties"/>
    <ds:schemaRef ds:uri="http://schemas.microsoft.com/office/infopath/2007/PartnerControls"/>
    <ds:schemaRef ds:uri="9bf079a2-8838-46e4-a25e-754293e27338"/>
    <ds:schemaRef ds:uri="http://purl.org/dc/terms/"/>
    <ds:schemaRef ds:uri="3186f035-0cdb-442a-b3b5-e1bf8686ba54"/>
    <ds:schemaRef ds:uri="http://www.w3.org/XML/1998/namespace"/>
    <ds:schemaRef ds:uri="http://purl.org/dc/dcmitype/"/>
  </ds:schemaRefs>
</ds:datastoreItem>
</file>

<file path=customXml/itemProps3.xml><?xml version="1.0" encoding="utf-8"?>
<ds:datastoreItem xmlns:ds="http://schemas.openxmlformats.org/officeDocument/2006/customXml" ds:itemID="{B9BCF475-1DB9-4419-A429-5743143F8A2F}">
  <ds:schemaRefs>
    <ds:schemaRef ds:uri="http://schemas.microsoft.com/sharepoint/v3/contenttype/forms"/>
  </ds:schemaRefs>
</ds:datastoreItem>
</file>

<file path=customXml/itemProps4.xml><?xml version="1.0" encoding="utf-8"?>
<ds:datastoreItem xmlns:ds="http://schemas.openxmlformats.org/officeDocument/2006/customXml" ds:itemID="{F75FF572-7918-47FB-B017-FD232D45D90B}">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9</vt:i4>
      </vt:variant>
    </vt:vector>
  </HeadingPairs>
  <TitlesOfParts>
    <vt:vector size="22" baseType="lpstr">
      <vt:lpstr>Business Unit Reporting</vt:lpstr>
      <vt:lpstr>Program MW </vt:lpstr>
      <vt:lpstr>Ex ante LI &amp; Eligibility Stats</vt:lpstr>
      <vt:lpstr>Ex post LI &amp; Eligibility Stats</vt:lpstr>
      <vt:lpstr>TA-TI Distribution@</vt:lpstr>
      <vt:lpstr>Auto DR (TI) &amp; Tech Deployment</vt:lpstr>
      <vt:lpstr>Marketing</vt:lpstr>
      <vt:lpstr>DRP Expenditures</vt:lpstr>
      <vt:lpstr>Fund Shift Log</vt:lpstr>
      <vt:lpstr>Event Summary</vt:lpstr>
      <vt:lpstr>SDGE Costs - AMDRMA Balance</vt:lpstr>
      <vt:lpstr>SDGE Costs -GRC </vt:lpstr>
      <vt:lpstr>SDGE Costs -DPDRMA</vt:lpstr>
      <vt:lpstr>'Auto DR (TI) &amp; Tech Deployment'!Print_Area</vt:lpstr>
      <vt:lpstr>'DRP Expenditures'!Print_Area</vt:lpstr>
      <vt:lpstr>'Ex ante LI &amp; Eligibility Stats'!Print_Area</vt:lpstr>
      <vt:lpstr>'Ex post LI &amp; Eligibility Stats'!Print_Area</vt:lpstr>
      <vt:lpstr>'Fund Shift Log'!Print_Area</vt:lpstr>
      <vt:lpstr>Marketing!Print_Area</vt:lpstr>
      <vt:lpstr>'Program MW '!Print_Area</vt:lpstr>
      <vt:lpstr>'SDGE Costs -DPDRMA'!Print_Area</vt:lpstr>
      <vt:lpstr>'SDGE Costs -GRC '!Print_Area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Josh Bode2</dc:creator>
  <cp:keywords/>
  <dc:description/>
  <cp:lastModifiedBy>Valdivieso, Guillermo</cp:lastModifiedBy>
  <cp:revision/>
  <dcterms:created xsi:type="dcterms:W3CDTF">2013-01-03T17:03:43Z</dcterms:created>
  <dcterms:modified xsi:type="dcterms:W3CDTF">2020-10-20T16:36:20Z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0x01010021088E984398724D8C1DB16B0011A0BF</vt:lpwstr>
  </property>
  <property fmtid="{D5CDD505-2E9C-101B-9397-08002B2CF9AE}" pid="3" name="BExAnalyzer_OldName">
    <vt:lpwstr>Jan 2018 CPUC Monthly DR Report.xlsx</vt:lpwstr>
  </property>
  <property fmtid="{D5CDD505-2E9C-101B-9397-08002B2CF9AE}" pid="4" name="Order">
    <vt:r8>40500</vt:r8>
  </property>
  <property fmtid="{D5CDD505-2E9C-101B-9397-08002B2CF9AE}" pid="5" name="AuthorIds_UIVersion_2048">
    <vt:lpwstr>143</vt:lpwstr>
  </property>
  <property fmtid="{D5CDD505-2E9C-101B-9397-08002B2CF9AE}" pid="6" name="AuthorIds_UIVersion_10240">
    <vt:lpwstr>126,212</vt:lpwstr>
  </property>
  <property fmtid="{D5CDD505-2E9C-101B-9397-08002B2CF9AE}" pid="7" name="_dlc_DocIdItemGuid">
    <vt:lpwstr>34289420-af43-464e-94b6-b93b1dd99d3d</vt:lpwstr>
  </property>
  <property fmtid="{D5CDD505-2E9C-101B-9397-08002B2CF9AE}" pid="8" name="SharedWithUsers">
    <vt:lpwstr>212;#Valdivieso, Guillermo</vt:lpwstr>
  </property>
</Properties>
</file>