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1FCBA5A6-D3F4-45D3-9C8B-98F1AF0B301E}" xr6:coauthVersionLast="45" xr6:coauthVersionMax="45"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Summary'!$A$8:$G$20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Deployment'!$A$1:$M$45</definedName>
    <definedName name="_xlnm.Print_Area" localSheetId="7">'DRP Expenditures'!$A$54:$M$54</definedName>
    <definedName name="_xlnm.Print_Area" localSheetId="2">'Ex ante LI &amp; Eligibility Stats'!$A$1:$O$19</definedName>
    <definedName name="_xlnm.Print_Area" localSheetId="3">'Ex post LI &amp; Eligibility Stats'!$A$1:$O$28</definedName>
    <definedName name="_xlnm.Print_Area" localSheetId="8">'Fund Shift Log'!$A$1:$E$19</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8" i="117" l="1"/>
  <c r="O48" i="117"/>
  <c r="N48" i="117"/>
  <c r="O44" i="117"/>
  <c r="Q50" i="117"/>
  <c r="N10" i="119"/>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7" i="119" s="1"/>
  <c r="N41" i="119"/>
  <c r="N42" i="119"/>
  <c r="N43" i="119"/>
  <c r="N44" i="119"/>
  <c r="N45" i="119"/>
  <c r="N46" i="119"/>
  <c r="N50" i="119"/>
  <c r="P46" i="117"/>
  <c r="P45" i="117"/>
  <c r="P44" i="117"/>
  <c r="O16" i="117"/>
  <c r="O15" i="117"/>
  <c r="O23" i="117"/>
  <c r="O24" i="117"/>
  <c r="N24" i="117"/>
  <c r="O20" i="117"/>
  <c r="N20" i="117"/>
  <c r="O19" i="117"/>
  <c r="L30" i="117"/>
  <c r="K30" i="117"/>
  <c r="J30" i="117"/>
  <c r="N12" i="134"/>
  <c r="N13" i="134"/>
  <c r="N14" i="134"/>
  <c r="N15" i="134"/>
  <c r="N16" i="134"/>
  <c r="N17" i="134"/>
  <c r="N18" i="134"/>
  <c r="N19" i="134"/>
  <c r="N20" i="134"/>
  <c r="N21" i="134"/>
  <c r="N22" i="134"/>
  <c r="I34" i="131" l="1"/>
  <c r="I36" i="131"/>
  <c r="I24" i="131"/>
  <c r="I23" i="131"/>
  <c r="O22" i="134" l="1"/>
  <c r="O21" i="134"/>
  <c r="O20" i="134"/>
  <c r="O19" i="134"/>
  <c r="O18" i="134"/>
  <c r="O17" i="134"/>
  <c r="O16" i="134"/>
  <c r="O14" i="134"/>
  <c r="O13" i="134"/>
  <c r="O12" i="134"/>
  <c r="O15" i="134" l="1"/>
  <c r="S46" i="33" l="1"/>
  <c r="R46" i="33"/>
  <c r="S45" i="33"/>
  <c r="R45" i="33"/>
  <c r="S44" i="33"/>
  <c r="R44" i="33"/>
  <c r="S43" i="33"/>
  <c r="R43" i="33"/>
  <c r="S42" i="33"/>
  <c r="R42" i="33"/>
  <c r="S41" i="33"/>
  <c r="R41" i="33"/>
  <c r="S40" i="33"/>
  <c r="R40" i="33"/>
  <c r="S39" i="33"/>
  <c r="R39" i="33"/>
  <c r="S38" i="33"/>
  <c r="R38" i="33"/>
  <c r="S37" i="33"/>
  <c r="R37" i="33"/>
  <c r="S35" i="33"/>
  <c r="R35" i="33"/>
  <c r="P46" i="33"/>
  <c r="O46" i="33"/>
  <c r="P45" i="33"/>
  <c r="O45" i="33"/>
  <c r="P44" i="33"/>
  <c r="O44" i="33"/>
  <c r="P43" i="33"/>
  <c r="O43" i="33"/>
  <c r="P42" i="33"/>
  <c r="O42" i="33"/>
  <c r="P41" i="33"/>
  <c r="O41" i="33"/>
  <c r="P40" i="33"/>
  <c r="O40" i="33"/>
  <c r="P39" i="33"/>
  <c r="O39" i="33"/>
  <c r="P38" i="33"/>
  <c r="O38" i="33"/>
  <c r="P37" i="33"/>
  <c r="O37" i="33"/>
  <c r="P35" i="33"/>
  <c r="O35" i="33"/>
  <c r="M46" i="33"/>
  <c r="L46" i="33"/>
  <c r="M45" i="33"/>
  <c r="L45" i="33"/>
  <c r="M44" i="33"/>
  <c r="L44" i="33"/>
  <c r="M43" i="33"/>
  <c r="L43" i="33"/>
  <c r="M42" i="33"/>
  <c r="L42" i="33"/>
  <c r="M41" i="33"/>
  <c r="L41" i="33"/>
  <c r="M40" i="33"/>
  <c r="L40" i="33"/>
  <c r="M39" i="33"/>
  <c r="L39" i="33"/>
  <c r="M38" i="33"/>
  <c r="L38" i="33"/>
  <c r="M37" i="33"/>
  <c r="L37" i="33"/>
  <c r="M35" i="33"/>
  <c r="L35" i="33"/>
  <c r="J46" i="33"/>
  <c r="I46" i="33"/>
  <c r="J45" i="33"/>
  <c r="I45" i="33"/>
  <c r="J44" i="33"/>
  <c r="I44" i="33"/>
  <c r="J43" i="33"/>
  <c r="I43" i="33"/>
  <c r="J42" i="33"/>
  <c r="I42" i="33"/>
  <c r="J41" i="33"/>
  <c r="I41" i="33"/>
  <c r="J40" i="33"/>
  <c r="I40" i="33"/>
  <c r="J39" i="33"/>
  <c r="I39" i="33"/>
  <c r="J38" i="33"/>
  <c r="I38" i="33"/>
  <c r="J37" i="33"/>
  <c r="I37" i="33"/>
  <c r="J35" i="33"/>
  <c r="I35" i="33"/>
  <c r="S32" i="33"/>
  <c r="R32" i="33"/>
  <c r="P32" i="33"/>
  <c r="O32" i="33"/>
  <c r="M32" i="33"/>
  <c r="L32" i="33"/>
  <c r="J32" i="33"/>
  <c r="I32" i="33"/>
  <c r="F32" i="33"/>
  <c r="C32" i="33"/>
  <c r="G32" i="33"/>
  <c r="G46" i="33" l="1"/>
  <c r="F46" i="33"/>
  <c r="G45" i="33"/>
  <c r="F45" i="33"/>
  <c r="G44" i="33"/>
  <c r="F44" i="33"/>
  <c r="G43" i="33"/>
  <c r="F43" i="33"/>
  <c r="G42" i="33"/>
  <c r="F42" i="33"/>
  <c r="G41" i="33"/>
  <c r="F41" i="33"/>
  <c r="G40" i="33"/>
  <c r="F40" i="33"/>
  <c r="G39" i="33"/>
  <c r="I33" i="131" s="1"/>
  <c r="F39" i="33"/>
  <c r="G38" i="33"/>
  <c r="I22" i="131" s="1"/>
  <c r="I25" i="131" s="1"/>
  <c r="F38" i="33"/>
  <c r="G37" i="33"/>
  <c r="F37" i="33"/>
  <c r="G35" i="33"/>
  <c r="F35" i="33"/>
  <c r="D38" i="33"/>
  <c r="D39" i="33"/>
  <c r="D40" i="33"/>
  <c r="D41" i="33"/>
  <c r="D42" i="33"/>
  <c r="D43" i="33"/>
  <c r="D44" i="33"/>
  <c r="D45" i="33"/>
  <c r="D46" i="33"/>
  <c r="D37" i="33"/>
  <c r="C37" i="33"/>
  <c r="C38" i="33"/>
  <c r="C39" i="33"/>
  <c r="C40" i="33"/>
  <c r="C41" i="33"/>
  <c r="C42" i="33"/>
  <c r="C43" i="33"/>
  <c r="C44" i="33"/>
  <c r="C45" i="33"/>
  <c r="C46" i="33"/>
  <c r="D35" i="33"/>
  <c r="C35" i="33"/>
  <c r="D32" i="33"/>
  <c r="S47" i="33" l="1"/>
  <c r="R47" i="33"/>
  <c r="S33" i="33"/>
  <c r="R33" i="33"/>
  <c r="R48" i="33" s="1"/>
  <c r="P47" i="33"/>
  <c r="O47" i="33"/>
  <c r="P33" i="33"/>
  <c r="O33" i="33"/>
  <c r="L47" i="33"/>
  <c r="M33" i="33"/>
  <c r="L33" i="33"/>
  <c r="J47" i="33"/>
  <c r="J33" i="33"/>
  <c r="I33" i="33"/>
  <c r="F47" i="33"/>
  <c r="G33" i="33"/>
  <c r="F33" i="33"/>
  <c r="D47" i="33"/>
  <c r="D33" i="33"/>
  <c r="C33" i="33"/>
  <c r="S48" i="33" l="1"/>
  <c r="O48" i="33"/>
  <c r="G47" i="33"/>
  <c r="G48" i="33" s="1"/>
  <c r="M47" i="33"/>
  <c r="M48" i="33" s="1"/>
  <c r="C47" i="33"/>
  <c r="C48" i="33" s="1"/>
  <c r="I47" i="33"/>
  <c r="I48" i="33" s="1"/>
  <c r="P48" i="33"/>
  <c r="L48" i="33"/>
  <c r="J48" i="33"/>
  <c r="F48" i="33"/>
  <c r="D48" i="33"/>
  <c r="H36" i="131" l="1"/>
  <c r="H34" i="131"/>
  <c r="H24" i="131"/>
  <c r="H23" i="131"/>
  <c r="H33" i="131"/>
  <c r="H22" i="131"/>
  <c r="C4" i="57" l="1"/>
  <c r="N13" i="129" l="1"/>
  <c r="N14" i="129"/>
  <c r="N15" i="129"/>
  <c r="N16" i="129"/>
  <c r="G36" i="131" l="1"/>
  <c r="G34" i="131"/>
  <c r="G23" i="131" l="1"/>
  <c r="G24" i="131"/>
  <c r="S23" i="33" l="1"/>
  <c r="R23" i="33"/>
  <c r="S22" i="33"/>
  <c r="R22" i="33"/>
  <c r="S21" i="33"/>
  <c r="R21" i="33"/>
  <c r="S20" i="33"/>
  <c r="R20" i="33"/>
  <c r="S19" i="33"/>
  <c r="R19" i="33"/>
  <c r="S18" i="33"/>
  <c r="R18" i="33"/>
  <c r="S17" i="33"/>
  <c r="R17" i="33"/>
  <c r="S16" i="33"/>
  <c r="G33" i="131" s="1"/>
  <c r="R16" i="33"/>
  <c r="S15" i="33"/>
  <c r="G22" i="131" s="1"/>
  <c r="R15" i="33"/>
  <c r="S14" i="33"/>
  <c r="R14" i="33"/>
  <c r="S12" i="33"/>
  <c r="R12" i="33"/>
  <c r="S9" i="33"/>
  <c r="S10" i="33" s="1"/>
  <c r="R9" i="33"/>
  <c r="R10" i="33" s="1"/>
  <c r="G23" i="134" l="1"/>
  <c r="N15" i="117" l="1"/>
  <c r="N14" i="117"/>
  <c r="O14" i="117" s="1"/>
  <c r="N13" i="117"/>
  <c r="N12" i="117"/>
  <c r="F36" i="131" l="1"/>
  <c r="F34" i="131"/>
  <c r="F24" i="131"/>
  <c r="E24" i="131"/>
  <c r="D24" i="131"/>
  <c r="F23" i="131"/>
  <c r="E23" i="131"/>
  <c r="P9" i="33" l="1"/>
  <c r="O9" i="33"/>
  <c r="P23" i="33" l="1"/>
  <c r="O23" i="33"/>
  <c r="P22" i="33"/>
  <c r="O22" i="33"/>
  <c r="P21" i="33"/>
  <c r="O21" i="33"/>
  <c r="P20" i="33"/>
  <c r="O20" i="33"/>
  <c r="P19" i="33"/>
  <c r="O19" i="33"/>
  <c r="P18" i="33"/>
  <c r="O18" i="33"/>
  <c r="P17" i="33"/>
  <c r="O17" i="33"/>
  <c r="P16" i="33"/>
  <c r="F33" i="131" s="1"/>
  <c r="F40" i="131" s="1"/>
  <c r="O16" i="33"/>
  <c r="P15" i="33"/>
  <c r="F22" i="131" s="1"/>
  <c r="F25" i="131" s="1"/>
  <c r="O15" i="33"/>
  <c r="P14" i="33"/>
  <c r="O14" i="33"/>
  <c r="P12" i="33"/>
  <c r="O12" i="33"/>
  <c r="N24" i="33" l="1"/>
  <c r="F23" i="134" l="1"/>
  <c r="M40" i="131" l="1"/>
  <c r="L40" i="131"/>
  <c r="K40" i="131"/>
  <c r="J40" i="13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O34" i="134" s="1"/>
  <c r="N30" i="134"/>
  <c r="O30" i="134" s="1"/>
  <c r="N29" i="134"/>
  <c r="O29" i="134" s="1"/>
  <c r="N28" i="134"/>
  <c r="O28" i="134" s="1"/>
  <c r="N27" i="134"/>
  <c r="O27" i="134" s="1"/>
  <c r="N26" i="134"/>
  <c r="O26" i="134" s="1"/>
  <c r="N11" i="134"/>
  <c r="O11" i="134" l="1"/>
  <c r="N23" i="134"/>
  <c r="O23" i="134"/>
  <c r="N38" i="134"/>
  <c r="N31" i="134"/>
  <c r="N29" i="117" l="1"/>
  <c r="O29" i="117" s="1"/>
  <c r="M13" i="131" l="1"/>
  <c r="K13" i="131" l="1"/>
  <c r="L13" i="131"/>
  <c r="K34" i="119" l="1"/>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N16" i="117" s="1"/>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K24" i="117"/>
  <c r="M24" i="117"/>
  <c r="Q24" i="117"/>
  <c r="N27" i="117"/>
  <c r="N28"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M34" i="119"/>
  <c r="J34" i="119"/>
  <c r="I34" i="119"/>
  <c r="I48" i="119" s="1"/>
  <c r="I50"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H146" i="136"/>
  <c r="H25" i="131"/>
  <c r="H133" i="136"/>
  <c r="H94" i="136"/>
  <c r="N33" i="33"/>
  <c r="H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J10" i="33"/>
  <c r="G9" i="33"/>
  <c r="G10" i="33" s="1"/>
  <c r="F9" i="33"/>
  <c r="C9" i="33"/>
  <c r="C22" i="33"/>
  <c r="H13" i="136" s="1"/>
  <c r="F4" i="33"/>
  <c r="D4" i="33"/>
  <c r="D28" i="33" s="1"/>
  <c r="L25" i="131"/>
  <c r="N34" i="119" l="1"/>
  <c r="N48" i="119" s="1"/>
  <c r="P50" i="117"/>
  <c r="P55" i="117" s="1"/>
  <c r="N25" i="33"/>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O28" i="117"/>
  <c r="R28" i="117" s="1"/>
  <c r="O34" i="117"/>
  <c r="R34" i="117" s="1"/>
  <c r="O27" i="117"/>
  <c r="R27" i="117" s="1"/>
  <c r="O13" i="117"/>
  <c r="R13" i="117" s="1"/>
  <c r="R44" i="117"/>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E42" i="36" s="1"/>
  <c r="F48" i="119"/>
  <c r="F50" i="119" s="1"/>
  <c r="K25" i="131"/>
  <c r="D15" i="36"/>
  <c r="O15" i="36"/>
  <c r="L31" i="120"/>
  <c r="E36" i="129"/>
  <c r="E37" i="129" s="1"/>
  <c r="E7" i="36"/>
  <c r="E15" i="36" s="1"/>
  <c r="Q7" i="36"/>
  <c r="Q15" i="36" s="1"/>
  <c r="Y7" i="36"/>
  <c r="Y15" i="36" s="1"/>
  <c r="H42" i="36"/>
  <c r="B31" i="120"/>
  <c r="H36" i="129"/>
  <c r="H37" i="129" s="1"/>
  <c r="L50" i="117"/>
  <c r="R14" i="117"/>
  <c r="N33" i="129"/>
  <c r="L48" i="119"/>
  <c r="I33" i="36"/>
  <c r="K31" i="120"/>
  <c r="F31" i="120"/>
  <c r="E31" i="120"/>
  <c r="B36" i="129"/>
  <c r="B37" i="129" s="1"/>
  <c r="M36" i="129"/>
  <c r="L36" i="129"/>
  <c r="N14" i="120"/>
  <c r="O38" i="134"/>
  <c r="I50" i="117"/>
  <c r="C24" i="33"/>
  <c r="M48" i="119"/>
  <c r="E48" i="119"/>
  <c r="E50" i="119" s="1"/>
  <c r="G48" i="119"/>
  <c r="G50" i="119" s="1"/>
  <c r="J48" i="119"/>
  <c r="D48" i="119"/>
  <c r="D50" i="119" s="1"/>
  <c r="K48" i="119"/>
  <c r="Q25" i="33"/>
  <c r="C31" i="120"/>
  <c r="I36" i="129"/>
  <c r="I37" i="129" s="1"/>
  <c r="D50" i="117"/>
  <c r="G50" i="117"/>
  <c r="G24" i="33"/>
  <c r="G25" i="33" s="1"/>
  <c r="B25" i="33"/>
  <c r="Q48" i="33"/>
  <c r="I7" i="36"/>
  <c r="I15" i="36" s="1"/>
  <c r="T15" i="36"/>
  <c r="Y33" i="36"/>
  <c r="Y42" i="36" s="1"/>
  <c r="M40" i="36"/>
  <c r="H48" i="119"/>
  <c r="H50" i="119" s="1"/>
  <c r="M31" i="120"/>
  <c r="I31" i="120"/>
  <c r="N22" i="120"/>
  <c r="C36" i="129"/>
  <c r="C37" i="129" s="1"/>
  <c r="J36" i="129"/>
  <c r="G36" i="129"/>
  <c r="G37" i="129" s="1"/>
  <c r="K36" i="129"/>
  <c r="H25" i="33"/>
  <c r="E50" i="117"/>
  <c r="N28" i="120"/>
  <c r="O24" i="33"/>
  <c r="K48" i="33"/>
  <c r="W15" i="36"/>
  <c r="G42" i="36"/>
  <c r="U33" i="36"/>
  <c r="U42" i="36" s="1"/>
  <c r="J31" i="120"/>
  <c r="F50" i="117"/>
  <c r="M50" i="117"/>
  <c r="K15" i="36"/>
  <c r="S42" i="36"/>
  <c r="W42" i="36"/>
  <c r="I40" i="36"/>
  <c r="N18" i="120"/>
  <c r="D31" i="120"/>
  <c r="N41" i="117"/>
  <c r="K50" i="117"/>
  <c r="I4" i="33"/>
  <c r="F28" i="33"/>
  <c r="G4" i="33"/>
  <c r="G28" i="33" s="1"/>
  <c r="N28" i="129"/>
  <c r="N17" i="129"/>
  <c r="M33" i="36"/>
  <c r="K42" i="36"/>
  <c r="K25" i="33"/>
  <c r="U7" i="36"/>
  <c r="U15" i="36" s="1"/>
  <c r="D24" i="33"/>
  <c r="D25" i="33" s="1"/>
  <c r="C50" i="117"/>
  <c r="F36" i="129"/>
  <c r="F37" i="129" s="1"/>
  <c r="R46" i="117"/>
  <c r="J24" i="33"/>
  <c r="J25" i="33" s="1"/>
  <c r="P24" i="33"/>
  <c r="P25" i="33" s="1"/>
  <c r="E48" i="33"/>
  <c r="B48" i="33"/>
  <c r="H31" i="120"/>
  <c r="O31" i="134"/>
  <c r="F24" i="33"/>
  <c r="I24" i="33"/>
  <c r="R40" i="117"/>
  <c r="O41" i="117"/>
  <c r="R41" i="117" s="1"/>
  <c r="R35" i="117"/>
  <c r="N37" i="117"/>
  <c r="N30" i="117"/>
  <c r="H50" i="117"/>
  <c r="R23" i="117"/>
  <c r="R24" i="117"/>
  <c r="R12" i="117"/>
  <c r="B25" i="131"/>
  <c r="G31" i="120"/>
  <c r="N24" i="129"/>
  <c r="R24" i="33"/>
  <c r="S24" i="33"/>
  <c r="S25" i="33" s="1"/>
  <c r="I42" i="36" l="1"/>
  <c r="N50" i="117"/>
  <c r="O30" i="117"/>
  <c r="R30" i="117" s="1"/>
  <c r="B40" i="131"/>
  <c r="R48" i="117"/>
  <c r="O37" i="117"/>
  <c r="R37" i="117" s="1"/>
  <c r="R16" i="117"/>
  <c r="C25" i="33"/>
  <c r="O25" i="33"/>
  <c r="R25" i="33"/>
  <c r="I25" i="33"/>
  <c r="F25" i="33"/>
  <c r="N37" i="129"/>
  <c r="M42" i="36"/>
  <c r="N31" i="120"/>
  <c r="J4" i="33"/>
  <c r="J28" i="33" s="1"/>
  <c r="I28" i="33"/>
  <c r="L4" i="33"/>
  <c r="N36" i="12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<sst xmlns="http://schemas.openxmlformats.org/spreadsheetml/2006/main" count="1596" uniqueCount="351">
  <si>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</si>
  <si>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</si>
  <si>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</si>
  <si>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</si>
  <si>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</si>
  <si>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</si>
  <si>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</si>
  <si>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</si>
  <si>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</si>
  <si>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</si>
  <si>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</si>
  <si>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</si>
  <si>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</si>
  <si>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</si>
  <si>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</si>
  <si>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</si>
  <si>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</si>
  <si>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</si>
  <si>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</si>
  <si>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</si>
  <si>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</si>
  <si>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</si>
  <si>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</si>
  <si>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</si>
  <si>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</si>
  <si>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</si>
  <si>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</si>
  <si>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</si>
  <si>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</si>
  <si>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</si>
  <si>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</si>
  <si>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</si>
  <si>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</si>
  <si>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</si>
  <si>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</si>
  <si>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</si>
  <si>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</si>
  <si>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</si>
  <si>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</si>
  <si>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</si>
  <si>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</si>
  <si>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</si>
  <si>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</si>
  <si>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</si>
  <si>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</si>
  <si>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</si>
  <si>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</si>
  <si>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</si>
  <si>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</si>
  <si>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</si>
  <si>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</si>
  <si>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</si>
  <si>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</si>
  <si>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</si>
  <si>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</si>
  <si>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</si>
  <si>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</si>
  <si>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 xml:space="preserve"> </t>
  </si>
  <si>
    <t>Sub-Total Demand Response Programs</t>
  </si>
  <si>
    <t>Total All Programs</t>
  </si>
  <si>
    <t>July</t>
  </si>
  <si>
    <t xml:space="preserve">August </t>
  </si>
  <si>
    <t>October</t>
  </si>
  <si>
    <t>December</t>
  </si>
  <si>
    <t xml:space="preserve">Ex Ante Estimated MW </t>
  </si>
  <si>
    <t xml:space="preserve">Ex Post Estimated MW </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</si>
  <si>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</si>
  <si>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</si>
  <si>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</si>
  <si>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</si>
  <si>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</si>
  <si>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</si>
  <si>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</si>
  <si>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</si>
  <si>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</si>
  <si>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</si>
  <si>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</si>
  <si>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</si>
  <si>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</si>
  <si>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</si>
  <si>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</si>
  <si>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</si>
  <si>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</si>
  <si>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</si>
  <si>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</si>
  <si>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</si>
  <si>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</si>
  <si>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</si>
  <si>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</si>
  <si>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</si>
  <si>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</si>
  <si>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</si>
  <si>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</si>
  <si>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</si>
  <si>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</si>
  <si>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</si>
  <si>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</si>
  <si>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</si>
  <si>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</si>
  <si>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</si>
  <si>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</si>
  <si>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</si>
  <si>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</si>
  <si>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</si>
  <si>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</si>
  <si>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</si>
  <si>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</si>
  <si>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</si>
  <si>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</si>
  <si>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</si>
  <si>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</si>
  <si>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</si>
  <si>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</si>
  <si>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</si>
  <si>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</si>
  <si>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</si>
  <si>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</si>
  <si>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</si>
  <si>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</si>
  <si>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</si>
  <si>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</si>
  <si>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</si>
  <si>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</si>
  <si>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</si>
  <si>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</si>
  <si>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</si>
  <si>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</si>
  <si>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</si>
  <si>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</si>
  <si>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</si>
  <si>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</si>
  <si>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</si>
  <si>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</si>
  <si>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</si>
  <si>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</si>
  <si>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</si>
  <si>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</si>
  <si>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</si>
  <si>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</si>
  <si>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</si>
  <si>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</si>
  <si>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</si>
  <si>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</si>
  <si>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</si>
  <si>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</si>
  <si>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</si>
  <si>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</si>
  <si>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</si>
  <si>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</si>
  <si>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</si>
  <si>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</si>
  <si>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r>
      <t>Base Interruptible Program</t>
    </r>
    <r>
      <rPr>
        <vertAlign val="superscript"/>
        <sz val="10"/>
        <color rgb="FFFF0000"/>
        <rFont val="Arial"/>
        <family val="2"/>
      </rPr>
      <t xml:space="preserve"> 3</t>
    </r>
  </si>
  <si>
    <t xml:space="preserve">Back Up Generators (BUGs) </t>
  </si>
  <si>
    <r>
      <t xml:space="preserve">Capacity Bidding Program </t>
    </r>
    <r>
      <rPr>
        <vertAlign val="superscript"/>
        <sz val="10"/>
        <color rgb="FFFF0000"/>
        <rFont val="Arial"/>
        <family val="2"/>
      </rPr>
      <t>3</t>
    </r>
  </si>
  <si>
    <r>
      <t>AC Saver Day Ahead</t>
    </r>
    <r>
      <rPr>
        <vertAlign val="superscript"/>
        <sz val="10"/>
        <color rgb="FFFF0000"/>
        <rFont val="Arial"/>
        <family val="2"/>
      </rPr>
      <t xml:space="preserve"> 3</t>
    </r>
  </si>
  <si>
    <r>
      <t xml:space="preserve">AC Saver Day Of </t>
    </r>
    <r>
      <rPr>
        <vertAlign val="superscript"/>
        <sz val="10"/>
        <color rgb="FFFF0000"/>
        <rFont val="Arial"/>
        <family val="2"/>
      </rPr>
      <t>3</t>
    </r>
  </si>
  <si>
    <r>
      <t xml:space="preserve">Technology Deployment </t>
    </r>
    <r>
      <rPr>
        <vertAlign val="superscript"/>
        <sz val="10"/>
        <color rgb="FFFF0000"/>
        <rFont val="Arial"/>
        <family val="2"/>
      </rPr>
      <t>3</t>
    </r>
  </si>
  <si>
    <r>
      <t>Technology Incentives</t>
    </r>
    <r>
      <rPr>
        <vertAlign val="superscript"/>
        <sz val="10"/>
        <color rgb="FFFF0000"/>
        <rFont val="Arial"/>
        <family val="2"/>
      </rPr>
      <t xml:space="preserve"> 3</t>
    </r>
  </si>
  <si>
    <r>
      <t xml:space="preserve">CPP-D </t>
    </r>
    <r>
      <rPr>
        <vertAlign val="superscript"/>
        <sz val="11"/>
        <color rgb="FFFF0000"/>
        <rFont val="Arial"/>
        <family val="2"/>
      </rPr>
      <t>2</t>
    </r>
    <r>
      <rPr>
        <sz val="10"/>
        <rFont val="Arial"/>
        <family val="2"/>
      </rPr>
      <t>,</t>
    </r>
    <r>
      <rPr>
        <vertAlign val="superscript"/>
        <sz val="10"/>
        <color rgb="FFFF0000"/>
        <rFont val="Arial"/>
        <family val="2"/>
      </rPr>
      <t>3</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</si>
  <si>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r>
      <rPr>
        <vertAlign val="superscript"/>
        <sz val="10"/>
        <color rgb="FFFF0000"/>
        <rFont val="Arial"/>
        <family val="2"/>
      </rPr>
      <t>,3</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</si>
  <si>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</si>
  <si>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</si>
  <si>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</si>
  <si>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</si>
  <si>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</si>
  <si>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</si>
  <si>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</si>
  <si>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r>
      <t>Paid Media</t>
    </r>
    <r>
      <rPr>
        <vertAlign val="superscript"/>
        <sz val="10"/>
        <color rgb="FFFF0000"/>
        <rFont val="Arial"/>
        <family val="2"/>
      </rPr>
      <t xml:space="preserve"> 3</t>
    </r>
  </si>
  <si>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</si>
  <si>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</si>
  <si>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</si>
  <si>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</si>
  <si>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</si>
  <si>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</si>
  <si>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</si>
  <si>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</si>
  <si>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</si>
  <si>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</si>
  <si>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r>
      <rPr>
        <vertAlign val="superscript"/>
        <sz val="11"/>
        <color rgb="FFFF0000"/>
        <rFont val="Arial"/>
        <family val="2"/>
      </rPr>
      <t>3</t>
    </r>
    <r>
      <rPr>
        <sz val="11"/>
        <rFont val="Arial"/>
        <family val="2"/>
      </rPr>
      <t xml:space="preserve"> July Credits are related to an invoice that was rejected by Accounts Payable during their daily invoice audit for mis-matched documentation.</t>
    </r>
  </si>
  <si>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</si>
  <si>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</si>
  <si>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</si>
  <si>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</si>
  <si>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</si>
  <si>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</si>
  <si>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</si>
  <si>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</si>
  <si>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</si>
  <si>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</si>
  <si>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</si>
  <si>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 xml:space="preserve">Capacity Bidding Program (CBP) </t>
    </r>
    <r>
      <rPr>
        <vertAlign val="superscript"/>
        <sz val="10"/>
        <color rgb="FFFF0000"/>
        <rFont val="Arial"/>
        <family val="2"/>
      </rPr>
      <t>4</t>
    </r>
  </si>
  <si>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</si>
  <si>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</si>
  <si>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</si>
  <si>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</si>
  <si>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</si>
  <si>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r>
      <t xml:space="preserve">Demand Response Auction Mechanism Pilot (DRAM) </t>
    </r>
    <r>
      <rPr>
        <vertAlign val="superscript"/>
        <sz val="10"/>
        <color rgb="FFFF0000"/>
        <rFont val="Arial"/>
        <family val="2"/>
      </rPr>
      <t>6</t>
    </r>
  </si>
  <si>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</si>
  <si>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</si>
  <si>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</si>
  <si>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</si>
  <si>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</si>
  <si>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</si>
  <si>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</si>
  <si>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</si>
  <si>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</si>
  <si>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</si>
  <si>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</si>
  <si>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r>
      <t xml:space="preserve"> Budget Category 5 Total </t>
    </r>
    <r>
      <rPr>
        <b/>
        <vertAlign val="superscript"/>
        <sz val="10"/>
        <color rgb="FFFF0000"/>
        <rFont val="Arial"/>
        <family val="2"/>
      </rPr>
      <t>5</t>
    </r>
  </si>
  <si>
    <t>Category 6:  Marketing, Education, and Outreach</t>
  </si>
  <si>
    <r>
      <t xml:space="preserve">Local Marketing Education &amp; Outreach (LME&amp;O) </t>
    </r>
    <r>
      <rPr>
        <vertAlign val="superscript"/>
        <sz val="10"/>
        <color rgb="FFFF0000"/>
        <rFont val="Arial"/>
        <family val="2"/>
      </rPr>
      <t>1,7</t>
    </r>
  </si>
  <si>
    <t xml:space="preserve"> Budget Category 6 Total</t>
  </si>
  <si>
    <t>Category 7:  Portfolio Support</t>
  </si>
  <si>
    <t>Regulatory Policy &amp; Program Support (Gen. Admin.)</t>
  </si>
  <si>
    <t>DR Potential Study</t>
  </si>
  <si>
    <t xml:space="preserve"> Budget Category 7 Total</t>
  </si>
  <si>
    <t>Total Incremental Cost</t>
  </si>
  <si>
    <r>
      <rPr>
        <vertAlign val="superscript"/>
        <sz val="10"/>
        <color rgb="FFFF0000"/>
        <rFont val="Arial"/>
        <family val="2"/>
      </rPr>
      <t>1</t>
    </r>
    <r>
      <rPr>
        <sz val="10"/>
        <rFont val="Arial"/>
        <family val="2"/>
      </rPr>
      <t xml:space="preserve"> March credits are related to Journal Entries to move charges to correct program Interal Orders.</t>
    </r>
  </si>
  <si>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</si>
  <si>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</si>
  <si>
    <r>
      <rPr>
        <vertAlign val="superscript"/>
        <sz val="10"/>
        <color rgb="FFFF0000"/>
        <rFont val="Arial"/>
        <family val="2"/>
      </rPr>
      <t>4</t>
    </r>
    <r>
      <rPr>
        <sz val="10"/>
        <rFont val="Arial"/>
        <family val="2"/>
      </rPr>
      <t xml:space="preserve"> 5 year budget updated to include fundshift authorized in Resolution E 4906.</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</si>
  <si>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</si>
  <si>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r>
      <rPr>
        <vertAlign val="superscript"/>
        <sz val="10"/>
        <color rgb="FFFF0000"/>
        <rFont val="Arial"/>
        <family val="2"/>
      </rPr>
      <t>6</t>
    </r>
    <r>
      <rPr>
        <sz val="10"/>
        <rFont val="Arial"/>
        <family val="2"/>
      </rPr>
      <t xml:space="preserve"> July credits are related to Accrual Reversals which occurred in a prior reporting period (June).</t>
    </r>
  </si>
  <si>
    <r>
      <rPr>
        <vertAlign val="superscript"/>
        <sz val="11"/>
        <color rgb="FFFF0000"/>
        <rFont val="Arial"/>
        <family val="2"/>
      </rPr>
      <t>7</t>
    </r>
    <r>
      <rPr>
        <sz val="11"/>
        <rFont val="Arial"/>
        <family val="2"/>
      </rPr>
      <t xml:space="preserve"> July Credits are related to an invoice that was rejected by Accounts Payable during their daily invoice audit for mis-matched documentation.</t>
    </r>
  </si>
  <si>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</si>
  <si>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</si>
  <si>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</si>
  <si>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</si>
  <si>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</si>
  <si>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</si>
  <si>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</si>
  <si>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</si>
  <si>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</si>
  <si>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</si>
  <si>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</si>
  <si>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</si>
  <si>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</si>
  <si>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</si>
  <si>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DO (Summer Saver) Commercial &amp; Residential</t>
  </si>
  <si>
    <t>Heat Rate</t>
  </si>
  <si>
    <t>6:00pm-8:00pm</t>
  </si>
  <si>
    <t>CBP Day Ahead 1-9</t>
  </si>
  <si>
    <t>Market Price</t>
  </si>
  <si>
    <t>CBP Day Ahead 11-7</t>
  </si>
  <si>
    <t>5:00pm-7:00pm</t>
  </si>
  <si>
    <t>CBP Day Of 1-9</t>
  </si>
  <si>
    <t>Real Time Price</t>
  </si>
  <si>
    <t>AC Saver DA Residential</t>
  </si>
  <si>
    <t>AC Saver DA Commercial</t>
  </si>
  <si>
    <t>7:00pm-9:00pm</t>
  </si>
  <si>
    <t>12:00pm-2:00pm</t>
  </si>
  <si>
    <t>6:00pm-9:00pm</t>
  </si>
  <si>
    <t>5:00pm-8:00pm</t>
  </si>
  <si>
    <t>5:00pm-9:00pm</t>
  </si>
  <si>
    <t>CBP Day Of 11-7</t>
  </si>
  <si>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</si>
  <si>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</si>
  <si>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</si>
  <si>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</si>
  <si>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</si>
  <si>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</si>
  <si>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</si>
  <si>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</si>
  <si>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</si>
  <si>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</si>
  <si>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</si>
  <si>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</si>
  <si>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</si>
  <si>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</si>
  <si>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</si>
  <si>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</si>
  <si>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2,7</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</si>
  <si>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</si>
  <si>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</si>
  <si>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</si>
  <si>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</si>
  <si>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</si>
  <si>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</si>
  <si>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</si>
  <si>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</si>
  <si>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IDSM DR COM </t>
    </r>
    <r>
      <rPr>
        <vertAlign val="superscript"/>
        <sz val="9"/>
        <color rgb="FFFF0000"/>
        <rFont val="Arial"/>
        <family val="2"/>
      </rPr>
      <t>6</t>
    </r>
  </si>
  <si>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</si>
  <si>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</si>
  <si>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</si>
  <si>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</si>
  <si>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</si>
  <si>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r>
      <t>Demand Response Auction Mechanism (DRAM)</t>
    </r>
    <r>
      <rPr>
        <vertAlign val="superscript"/>
        <sz val="9"/>
        <color rgb="FFFF0000"/>
        <rFont val="Arial"/>
        <family val="2"/>
      </rPr>
      <t xml:space="preserve"> 8</t>
    </r>
  </si>
  <si>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</si>
  <si>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</si>
  <si>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</si>
  <si>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</si>
  <si>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</si>
  <si>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</si>
  <si>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</si>
  <si>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</si>
  <si>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</si>
  <si>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</si>
  <si>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r>
      <rPr>
        <vertAlign val="superscript"/>
        <sz val="11"/>
        <color rgb="FFFF0000"/>
        <rFont val="Arial"/>
        <family val="2"/>
      </rPr>
      <t xml:space="preserve">6  </t>
    </r>
    <r>
      <rPr>
        <sz val="11"/>
        <rFont val="Arial"/>
        <family val="2"/>
      </rPr>
      <t>May Credit is related to an adjustment received on the prior month invoice.</t>
    </r>
  </si>
  <si>
    <r>
      <rPr>
        <vertAlign val="superscript"/>
        <sz val="11"/>
        <color rgb="FFFF0000"/>
        <rFont val="Arial"/>
        <family val="2"/>
      </rPr>
      <t>8</t>
    </r>
    <r>
      <rPr>
        <vertAlign val="superscript"/>
        <sz val="9"/>
        <color rgb="FFFF0000"/>
        <rFont val="Arial"/>
        <family val="2"/>
      </rPr>
      <t xml:space="preserve"> </t>
    </r>
    <r>
      <rPr>
        <sz val="11"/>
        <rFont val="Arial"/>
        <family val="2"/>
      </rPr>
      <t>July credits are related to Accrual Reversals which occurred in a prior reporting period (June).</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</si>
  <si>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</si>
  <si>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</si>
  <si>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</si>
  <si>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</si>
  <si>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</si>
  <si>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</si>
  <si>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</si>
  <si>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</si>
  <si>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</si>
  <si>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</si>
  <si>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</si>
  <si>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</si>
  <si>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</si>
  <si>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</si>
  <si>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</si>
  <si>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</si>
  <si>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</si>
  <si>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</si>
  <si>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r>
      <t xml:space="preserve">Rule 32 Meter </t>
    </r>
    <r>
      <rPr>
        <b/>
        <vertAlign val="superscript"/>
        <sz val="10"/>
        <color rgb="FFFF0000"/>
        <rFont val="Arial"/>
        <family val="2"/>
      </rPr>
      <t>5</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</si>
  <si>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</si>
  <si>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</si>
  <si>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</si>
  <si>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</si>
  <si>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</si>
  <si>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</si>
  <si>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</si>
  <si>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</si>
  <si>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</si>
  <si>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</si>
  <si>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</si>
  <si>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</si>
  <si>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</si>
  <si>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rPr>
        <vertAlign val="superscript"/>
        <sz val="11"/>
        <color rgb="FFFF0000"/>
        <rFont val="Arial"/>
        <family val="2"/>
      </rPr>
      <t>5</t>
    </r>
    <r>
      <rPr>
        <sz val="11"/>
        <rFont val="Arial"/>
        <family val="2"/>
      </rPr>
      <t xml:space="preserve"> July credits are related to Accrual Reversals which occurred in a prior reporting period (June).</t>
    </r>
  </si>
  <si>
    <r>
      <rPr>
        <vertAlign val="superscript"/>
        <sz val="10"/>
        <color rgb="FFFF0000"/>
        <rFont val="Arial"/>
        <family val="2"/>
      </rPr>
      <t>8</t>
    </r>
    <r>
      <rPr>
        <sz val="10"/>
        <rFont val="Arial"/>
        <family val="2"/>
      </rPr>
      <t xml:space="preserve"> Fund shift performed to move 400K and 166K from programs prior years rollover dollars within category 7 to cover IT shortall.</t>
    </r>
  </si>
  <si>
    <r>
      <t>Regulatory Policy &amp; Program Support (Gen. Admin.)</t>
    </r>
    <r>
      <rPr>
        <vertAlign val="superscript"/>
        <sz val="10"/>
        <color rgb="FFFF0000"/>
        <rFont val="Arial"/>
        <family val="2"/>
      </rPr>
      <t xml:space="preserve"> 8</t>
    </r>
  </si>
  <si>
    <r>
      <t>IT Infrastructure &amp; Systems Support</t>
    </r>
    <r>
      <rPr>
        <vertAlign val="superscript"/>
        <sz val="10"/>
        <rFont val="Arial"/>
        <family val="2"/>
      </rPr>
      <t xml:space="preserve"> </t>
    </r>
    <r>
      <rPr>
        <vertAlign val="superscript"/>
        <sz val="10"/>
        <color rgb="FFFF0000"/>
        <rFont val="Arial"/>
        <family val="2"/>
      </rPr>
      <t>2, 8</t>
    </r>
  </si>
  <si>
    <r>
      <t xml:space="preserve">EM&amp;V </t>
    </r>
    <r>
      <rPr>
        <vertAlign val="superscript"/>
        <sz val="10"/>
        <color rgb="FFFF0000"/>
        <rFont val="Arial"/>
        <family val="2"/>
      </rPr>
      <t>3, 8</t>
    </r>
  </si>
  <si>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</si>
  <si>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</si>
  <si>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</si>
  <si>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August 2020</t>
  </si>
  <si>
    <t>8/14/2020</t>
  </si>
  <si>
    <t>Temperature and System Load</t>
  </si>
  <si>
    <t>3:00pm-7:00pm</t>
  </si>
  <si>
    <t>7:00pm-8:00pm</t>
  </si>
  <si>
    <t>4:00pm-8:00pm</t>
  </si>
  <si>
    <t>Reduce Your Use (TOU-A-P &amp; TOU-PA-P) including TD on PSW</t>
  </si>
  <si>
    <t>2:00pm-6:00pm</t>
  </si>
  <si>
    <t>Voluntary Residential CPP Excluding Grandfather and Including TD</t>
  </si>
  <si>
    <t>CPP (Large and Medium) not in CBP or BIP (including TD)</t>
  </si>
  <si>
    <t>CPP (Large and Medium) not in BIP (including TD)</t>
  </si>
  <si>
    <t>4:00pm-7:00pm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</si>
</sst>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76" applyNumberFormat="0" applyProtection="0">
      <alignment horizontal="right" vertical="center"/>
    </xf>
    <xf numFmtId="4" fontId="42" fillId="52" borderId="76" applyNumberFormat="0" applyProtection="0">
      <alignment horizontal="left" vertical="center" indent="1"/>
    </xf>
    <xf numFmtId="43" fontId="1" fillId="0" borderId="0" applyFont="0" applyFill="0" applyBorder="0" applyAlignment="0" applyProtection="0"/>
  </cellStyleXfs>
  <cellXfs count="698">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0"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44" fillId="0" borderId="45" xfId="66" applyFont="1" applyBorder="1" applyAlignment="1">
      <alignment horizontal="center"/>
    </xf>
    <xf numFmtId="175" fontId="14" fillId="0" borderId="45" xfId="66" applyFont="1" applyBorder="1" applyAlignment="1">
      <alignment horizontal="center"/>
    </xf>
    <xf numFmtId="175" fontId="13" fillId="0" borderId="45" xfId="66" applyBorder="1"/>
    <xf numFmtId="164" fontId="13" fillId="0" borderId="0" xfId="66" applyNumberFormat="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49" xfId="66" applyFont="1" applyBorder="1" applyAlignment="1">
      <alignment horizontal="left" indent="1"/>
    </xf>
    <xf numFmtId="164" fontId="13" fillId="44" borderId="0" xfId="66" applyNumberFormat="1" applyFill="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2"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1"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3" xfId="66" applyNumberFormat="1" applyBorder="1" applyProtection="1">
      <protection locked="0"/>
    </xf>
    <xf numFmtId="175" fontId="51" fillId="47" borderId="0" xfId="0" applyFont="1" applyFill="1" applyAlignment="1">
      <alignment horizontal="center"/>
    </xf>
    <xf numFmtId="175" fontId="14" fillId="0" borderId="53" xfId="66" applyFont="1" applyBorder="1" applyProtection="1">
      <protection locked="0"/>
    </xf>
    <xf numFmtId="175" fontId="14" fillId="47" borderId="0" xfId="0" applyFont="1" applyFill="1" applyProtection="1">
      <protection locked="0"/>
    </xf>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75" fontId="65" fillId="0" borderId="43" xfId="66" applyFont="1" applyBorder="1" applyAlignment="1">
      <alignment wrapText="1"/>
    </xf>
    <xf numFmtId="175" fontId="65" fillId="0" borderId="20" xfId="66" applyFont="1" applyBorder="1"/>
    <xf numFmtId="175" fontId="65" fillId="0" borderId="54" xfId="66" applyFont="1" applyBorder="1" applyAlignment="1">
      <alignment wrapText="1"/>
    </xf>
    <xf numFmtId="164" fontId="65" fillId="43" borderId="53"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2"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7" fillId="0" borderId="0" xfId="520" applyFont="1"/>
    <xf numFmtId="6" fontId="75" fillId="0" borderId="0" xfId="520" applyNumberFormat="1" applyFont="1"/>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17" xfId="520" applyFont="1" applyBorder="1"/>
    <xf numFmtId="0" fontId="75" fillId="0" borderId="22" xfId="520" applyFont="1" applyBorder="1"/>
    <xf numFmtId="175" fontId="13" fillId="0" borderId="57" xfId="66" applyBorder="1" applyProtection="1">
      <protection locked="0"/>
    </xf>
    <xf numFmtId="175" fontId="13" fillId="0" borderId="58"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59" xfId="66" applyNumberFormat="1" applyBorder="1"/>
    <xf numFmtId="6" fontId="13" fillId="0" borderId="60" xfId="66" applyNumberFormat="1" applyBorder="1" applyProtection="1">
      <protection locked="0"/>
    </xf>
    <xf numFmtId="175" fontId="13" fillId="0" borderId="61"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2"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73" fillId="0" borderId="13"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4" xfId="66" applyFont="1" applyBorder="1"/>
    <xf numFmtId="175" fontId="14" fillId="0" borderId="56" xfId="66" applyFont="1" applyBorder="1" applyAlignment="1">
      <alignment horizontal="center"/>
    </xf>
    <xf numFmtId="175" fontId="14" fillId="0" borderId="56" xfId="66" applyFont="1" applyBorder="1" applyAlignment="1">
      <alignment horizontal="left"/>
    </xf>
    <xf numFmtId="175" fontId="14" fillId="0" borderId="39" xfId="66" applyFont="1" applyBorder="1"/>
    <xf numFmtId="175" fontId="13" fillId="0" borderId="56" xfId="66" applyBorder="1"/>
    <xf numFmtId="175" fontId="14" fillId="0" borderId="56" xfId="66" applyFont="1" applyBorder="1"/>
    <xf numFmtId="175" fontId="14" fillId="0" borderId="39" xfId="66" applyFont="1" applyBorder="1" applyAlignment="1">
      <alignment horizontal="left" wrapText="1" indent="1"/>
    </xf>
    <xf numFmtId="175" fontId="14" fillId="0" borderId="56" xfId="66" applyFont="1" applyBorder="1" applyAlignment="1">
      <alignment horizontal="left" indent="1"/>
    </xf>
    <xf numFmtId="175" fontId="14" fillId="0" borderId="56" xfId="66" applyFont="1" applyBorder="1" applyAlignment="1">
      <alignment horizontal="center" wrapText="1"/>
    </xf>
    <xf numFmtId="175" fontId="14" fillId="0" borderId="39" xfId="66" applyFont="1" applyBorder="1" applyAlignment="1">
      <alignment horizontal="left" indent="1"/>
    </xf>
    <xf numFmtId="175" fontId="14" fillId="0" borderId="63" xfId="66" applyFont="1" applyBorder="1" applyAlignment="1">
      <alignment horizontal="left" indent="1"/>
    </xf>
    <xf numFmtId="175" fontId="14" fillId="0" borderId="66" xfId="66" applyFont="1" applyBorder="1" applyAlignment="1">
      <alignment wrapText="1"/>
    </xf>
    <xf numFmtId="175" fontId="14" fillId="0" borderId="67" xfId="66"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0"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71" fontId="13" fillId="47" borderId="0" xfId="66" applyNumberFormat="1" applyFont="1" applyFill="1" applyAlignment="1" applyProtection="1">
      <alignment horizontal="center"/>
      <protection locked="0"/>
    </xf>
    <xf numFmtId="175" fontId="13" fillId="0" borderId="0" xfId="66" applyBorder="1"/>
    <xf numFmtId="175" fontId="14" fillId="44" borderId="55" xfId="66" applyFont="1" applyFill="1" applyBorder="1" applyAlignment="1">
      <alignment horizontal="center"/>
    </xf>
    <xf numFmtId="175" fontId="14" fillId="0" borderId="55" xfId="0" applyFont="1" applyBorder="1" applyAlignment="1">
      <alignment wrapText="1"/>
    </xf>
    <xf numFmtId="175" fontId="14" fillId="0" borderId="64" xfId="66" applyFont="1" applyBorder="1" applyAlignment="1">
      <alignment horizontal="left"/>
    </xf>
    <xf numFmtId="175" fontId="14" fillId="0" borderId="20" xfId="66" applyFont="1" applyBorder="1" applyAlignment="1" applyProtection="1">
      <alignment horizontal="center"/>
      <protection locked="0"/>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6" fillId="0" borderId="17" xfId="520" applyFont="1" applyBorder="1"/>
    <xf numFmtId="0" fontId="54" fillId="49" borderId="20" xfId="520" applyFont="1" applyFill="1" applyBorder="1"/>
    <xf numFmtId="0" fontId="54" fillId="0" borderId="21" xfId="520" applyFon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 fontId="13" fillId="47" borderId="11" xfId="66" quotePrefix="1"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left"/>
      <protection locked="0"/>
    </xf>
    <xf numFmtId="175" fontId="14" fillId="0" borderId="11" xfId="0" applyFont="1" applyBorder="1" applyAlignment="1">
      <alignment horizontal="center"/>
    </xf>
    <xf numFmtId="175" fontId="0" fillId="0" borderId="50"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74"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73"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6" fillId="0" borderId="74" xfId="0" applyNumberFormat="1" applyFont="1" applyFill="1" applyBorder="1"/>
    <xf numFmtId="175" fontId="56" fillId="0" borderId="75" xfId="0" applyFont="1" applyFill="1" applyBorder="1"/>
    <xf numFmtId="175" fontId="56" fillId="0" borderId="75" xfId="0" applyFont="1" applyFill="1" applyBorder="1" applyProtection="1">
      <protection locked="0"/>
    </xf>
    <xf numFmtId="176"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0" borderId="41" xfId="66" applyNumberFormat="1" applyBorder="1" applyAlignment="1">
      <alignment horizontal="right"/>
    </xf>
    <xf numFmtId="6" fontId="13" fillId="0" borderId="50" xfId="66" applyNumberFormat="1" applyBorder="1" applyProtection="1">
      <protection locked="0"/>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77" xfId="66" applyFont="1" applyBorder="1" applyAlignment="1">
      <alignment horizontal="left" wrapText="1" indent="1"/>
    </xf>
    <xf numFmtId="175" fontId="14" fillId="0" borderId="77" xfId="66" applyFont="1" applyBorder="1"/>
    <xf numFmtId="8" fontId="66" fillId="0" borderId="17"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3" fontId="13" fillId="0" borderId="78"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9" fillId="47" borderId="0" xfId="0" quotePrefix="1" applyFont="1" applyFill="1" applyProtection="1">
      <protection locked="0"/>
    </xf>
    <xf numFmtId="175" fontId="89"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68" xfId="66" applyNumberFormat="1" applyBorder="1" applyAlignment="1">
      <alignment horizontal="right"/>
    </xf>
    <xf numFmtId="164" fontId="13" fillId="0" borderId="65" xfId="66" applyNumberFormat="1" applyBorder="1" applyAlignment="1">
      <alignment horizontal="right"/>
    </xf>
    <xf numFmtId="164" fontId="13" fillId="0" borderId="27" xfId="66" applyNumberFormat="1" applyBorder="1" applyAlignment="1">
      <alignment horizontal="right"/>
    </xf>
    <xf numFmtId="164" fontId="13" fillId="44" borderId="68" xfId="66" applyNumberFormat="1" applyFill="1" applyBorder="1" applyAlignment="1">
      <alignment horizontal="right"/>
    </xf>
    <xf numFmtId="164" fontId="13" fillId="44" borderId="18" xfId="66" applyNumberFormat="1" applyFill="1" applyBorder="1" applyAlignment="1">
      <alignment horizontal="right"/>
    </xf>
    <xf numFmtId="164" fontId="14" fillId="0" borderId="69"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2" fillId="0" borderId="0" xfId="0" quotePrefix="1" applyFont="1" applyAlignment="1">
      <alignment vertical="center"/>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8" fontId="66" fillId="0" borderId="27" xfId="66" applyNumberFormat="1" applyFont="1" applyBorder="1"/>
    <xf numFmtId="175" fontId="13" fillId="0" borderId="11" xfId="0" applyFont="1" applyBorder="1"/>
    <xf numFmtId="14" fontId="13" fillId="0" borderId="11" xfId="0" applyNumberFormat="1" applyFont="1" applyBorder="1"/>
    <xf numFmtId="2" fontId="13" fillId="47" borderId="11" xfId="66" applyNumberFormat="1" applyFont="1" applyFill="1" applyBorder="1" applyAlignment="1" applyProtection="1">
      <protection locked="0"/>
    </xf>
    <xf numFmtId="16" fontId="13" fillId="0" borderId="11" xfId="0" applyNumberFormat="1" applyFont="1" applyBorder="1" applyAlignment="1">
      <alignment horizontal="right"/>
    </xf>
    <xf numFmtId="175" fontId="56" fillId="0" borderId="11" xfId="0" applyFont="1" applyBorder="1" applyAlignment="1">
      <alignment horizontal="right"/>
    </xf>
    <xf numFmtId="2" fontId="13" fillId="0" borderId="11" xfId="782" applyNumberFormat="1" applyFont="1" applyBorder="1" applyAlignment="1"/>
    <xf numFmtId="175" fontId="13" fillId="0" borderId="11" xfId="0" applyFont="1" applyFill="1" applyBorder="1"/>
    <xf numFmtId="14" fontId="56" fillId="0" borderId="11" xfId="0" applyNumberFormat="1" applyFont="1" applyBorder="1" applyAlignment="1">
      <alignment horizontal="right"/>
    </xf>
    <xf numFmtId="164" fontId="13" fillId="0" borderId="0" xfId="66" applyNumberFormat="1" applyBorder="1" applyAlignment="1" applyProtection="1">
      <alignment horizontal="center"/>
      <protection locked="0"/>
    </xf>
    <xf numFmtId="175" fontId="14" fillId="0" borderId="79" xfId="66" applyFont="1" applyBorder="1" applyAlignment="1">
      <alignment horizontal="center" wrapText="1"/>
    </xf>
    <xf numFmtId="175" fontId="13" fillId="0" borderId="63" xfId="66" applyBorder="1"/>
    <xf numFmtId="164" fontId="13" fillId="0" borderId="56" xfId="66" applyNumberFormat="1" applyBorder="1"/>
    <xf numFmtId="164" fontId="13" fillId="0" borderId="39" xfId="66" applyNumberFormat="1" applyBorder="1"/>
    <xf numFmtId="164" fontId="13" fillId="0" borderId="63" xfId="66" applyNumberFormat="1" applyBorder="1"/>
    <xf numFmtId="164" fontId="13" fillId="44" borderId="39" xfId="66" applyNumberFormat="1" applyFill="1" applyBorder="1" applyAlignment="1">
      <alignment horizontal="right"/>
    </xf>
    <xf numFmtId="164" fontId="14" fillId="0" borderId="66" xfId="66" applyNumberFormat="1" applyFont="1" applyBorder="1"/>
    <xf numFmtId="175" fontId="66" fillId="43" borderId="55" xfId="66" applyFont="1" applyFill="1" applyBorder="1"/>
    <xf numFmtId="175" fontId="65" fillId="43" borderId="39" xfId="66" applyFont="1" applyFill="1" applyBorder="1" applyAlignment="1">
      <alignment horizontal="center" wrapText="1"/>
    </xf>
    <xf numFmtId="175" fontId="65" fillId="43" borderId="56" xfId="66" applyFont="1" applyFill="1" applyBorder="1" applyAlignment="1">
      <alignment horizontal="center" wrapText="1"/>
    </xf>
    <xf numFmtId="175" fontId="65" fillId="0" borderId="56" xfId="66" applyFont="1" applyBorder="1" applyAlignment="1">
      <alignment horizontal="center" wrapText="1"/>
    </xf>
    <xf numFmtId="164" fontId="66" fillId="0" borderId="56" xfId="66" applyNumberFormat="1" applyFont="1" applyBorder="1"/>
    <xf numFmtId="164" fontId="66" fillId="47" borderId="56" xfId="66" applyNumberFormat="1" applyFont="1" applyFill="1" applyBorder="1"/>
    <xf numFmtId="164" fontId="65" fillId="0" borderId="39" xfId="66" applyNumberFormat="1" applyFont="1" applyBorder="1" applyAlignment="1">
      <alignment horizontal="right"/>
    </xf>
    <xf numFmtId="164" fontId="66" fillId="0" borderId="64" xfId="66" applyNumberFormat="1" applyFont="1" applyBorder="1"/>
    <xf numFmtId="164" fontId="65" fillId="43" borderId="64" xfId="66" applyNumberFormat="1" applyFont="1" applyFill="1" applyBorder="1"/>
    <xf numFmtId="164" fontId="65" fillId="0" borderId="80" xfId="66" applyNumberFormat="1" applyFont="1" applyBorder="1" applyAlignment="1">
      <alignment horizontal="right"/>
    </xf>
    <xf numFmtId="44" fontId="65" fillId="43" borderId="14" xfId="50" applyFont="1" applyFill="1" applyBorder="1"/>
    <xf numFmtId="164" fontId="65" fillId="0" borderId="20" xfId="66" applyNumberFormat="1" applyFont="1" applyBorder="1"/>
    <xf numFmtId="164" fontId="65" fillId="0" borderId="18" xfId="66" applyNumberFormat="1" applyFont="1" applyBorder="1"/>
    <xf numFmtId="164" fontId="65" fillId="0" borderId="18" xfId="66" applyNumberFormat="1" applyFont="1" applyBorder="1" applyAlignment="1"/>
    <xf numFmtId="164" fontId="65" fillId="0" borderId="39" xfId="66" applyNumberFormat="1" applyFont="1" applyBorder="1"/>
    <xf numFmtId="164" fontId="65" fillId="43" borderId="81" xfId="66" applyNumberFormat="1" applyFont="1" applyFill="1" applyBorder="1"/>
    <xf numFmtId="164" fontId="65" fillId="43" borderId="48" xfId="66" applyNumberFormat="1" applyFont="1" applyFill="1" applyBorder="1"/>
    <xf numFmtId="164" fontId="65" fillId="43" borderId="48" xfId="66" applyNumberFormat="1" applyFont="1" applyFill="1" applyBorder="1" applyAlignment="1"/>
    <xf numFmtId="164" fontId="65" fillId="43" borderId="66" xfId="66" applyNumberFormat="1" applyFont="1" applyFill="1" applyBorder="1"/>
    <xf numFmtId="175" fontId="13" fillId="0" borderId="0" xfId="0" applyFont="1" applyBorder="1"/>
    <xf numFmtId="1" fontId="13" fillId="47" borderId="0" xfId="66" quotePrefix="1" applyNumberFormat="1" applyFont="1" applyFill="1" applyBorder="1" applyAlignment="1" applyProtection="1">
      <alignment horizontal="center"/>
      <protection locked="0"/>
    </xf>
    <xf numFmtId="14" fontId="56" fillId="0" borderId="0" xfId="0" applyNumberFormat="1" applyFont="1" applyBorder="1" applyAlignment="1">
      <alignment horizontal="right"/>
    </xf>
    <xf numFmtId="175" fontId="13" fillId="47" borderId="0" xfId="66" applyFont="1" applyFill="1" applyBorder="1" applyAlignment="1" applyProtection="1">
      <alignment horizontal="center"/>
      <protection locked="0"/>
    </xf>
    <xf numFmtId="2" fontId="13" fillId="47" borderId="0" xfId="66" applyNumberFormat="1" applyFont="1" applyFill="1" applyBorder="1" applyAlignment="1" applyProtection="1">
      <protection locked="0"/>
    </xf>
    <xf numFmtId="175" fontId="56" fillId="0" borderId="0" xfId="0" applyFont="1" applyBorder="1" applyAlignment="1">
      <alignment horizontal="right"/>
    </xf>
    <xf numFmtId="1" fontId="13" fillId="47" borderId="0" xfId="66" applyNumberFormat="1" applyFont="1" applyFill="1" applyBorder="1" applyAlignment="1" applyProtection="1">
      <alignment horizontal="center"/>
      <protection locked="0"/>
    </xf>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6" fontId="13" fillId="0" borderId="0" xfId="46" applyNumberFormat="1" applyProtection="1">
      <protection locked="0"/>
    </xf>
    <xf numFmtId="42" fontId="13" fillId="0" borderId="0" xfId="520" applyNumberFormat="1" applyFont="1" applyBorder="1"/>
    <xf numFmtId="42" fontId="13" fillId="0" borderId="13" xfId="520" applyNumberFormat="1" applyFont="1" applyBorder="1"/>
    <xf numFmtId="42" fontId="13" fillId="0" borderId="41" xfId="520" applyNumberFormat="1" applyBorder="1"/>
    <xf numFmtId="42" fontId="13" fillId="51" borderId="0" xfId="520" applyNumberFormat="1" applyFont="1" applyFill="1"/>
    <xf numFmtId="42" fontId="13" fillId="47" borderId="41" xfId="520" applyNumberFormat="1" applyFont="1" applyFill="1" applyBorder="1"/>
    <xf numFmtId="42" fontId="13" fillId="0" borderId="0" xfId="520" applyNumberFormat="1" applyFont="1"/>
    <xf numFmtId="42" fontId="13" fillId="0" borderId="41" xfId="520" applyNumberFormat="1" applyFont="1" applyBorder="1"/>
    <xf numFmtId="42" fontId="13" fillId="0" borderId="34" xfId="520" applyNumberFormat="1" applyFont="1" applyBorder="1"/>
    <xf numFmtId="42" fontId="13" fillId="0" borderId="15" xfId="520" applyNumberFormat="1" applyFont="1" applyBorder="1"/>
    <xf numFmtId="42" fontId="13" fillId="47" borderId="50" xfId="520" applyNumberFormat="1" applyFill="1" applyBorder="1"/>
    <xf numFmtId="42" fontId="73" fillId="47" borderId="0" xfId="520" applyNumberFormat="1" applyFont="1" applyFill="1"/>
    <xf numFmtId="42" fontId="13" fillId="49" borderId="18" xfId="520" applyNumberFormat="1" applyFont="1" applyFill="1" applyBorder="1"/>
    <xf numFmtId="42" fontId="13" fillId="49" borderId="16" xfId="520" applyNumberFormat="1" applyFont="1" applyFill="1" applyBorder="1"/>
    <xf numFmtId="42" fontId="13" fillId="49" borderId="19" xfId="520" applyNumberFormat="1" applyFont="1" applyFill="1" applyBorder="1"/>
    <xf numFmtId="42" fontId="73" fillId="49" borderId="18" xfId="520" applyNumberFormat="1" applyFont="1" applyFill="1" applyBorder="1"/>
    <xf numFmtId="42" fontId="73" fillId="0" borderId="17" xfId="520" applyNumberFormat="1" applyFont="1" applyBorder="1"/>
    <xf numFmtId="42" fontId="73" fillId="0" borderId="0" xfId="520" applyNumberFormat="1" applyFont="1"/>
    <xf numFmtId="42" fontId="73" fillId="0" borderId="41" xfId="520" applyNumberFormat="1" applyFont="1" applyBorder="1"/>
    <xf numFmtId="42" fontId="73" fillId="0" borderId="0" xfId="520" applyNumberFormat="1" applyFont="1" applyBorder="1"/>
    <xf numFmtId="42" fontId="73" fillId="0" borderId="14" xfId="520" applyNumberFormat="1" applyFont="1" applyBorder="1"/>
    <xf numFmtId="42" fontId="73" fillId="0" borderId="16" xfId="520" applyNumberFormat="1" applyFont="1" applyBorder="1"/>
    <xf numFmtId="42" fontId="13" fillId="0" borderId="22" xfId="520" applyNumberFormat="1" applyFont="1" applyBorder="1"/>
    <xf numFmtId="42" fontId="13" fillId="0" borderId="27" xfId="520" applyNumberFormat="1" applyFont="1" applyBorder="1"/>
    <xf numFmtId="42" fontId="13" fillId="0" borderId="50" xfId="520" applyNumberFormat="1" applyFont="1" applyBorder="1"/>
    <xf numFmtId="42" fontId="13" fillId="0" borderId="50" xfId="520" applyNumberFormat="1" applyBorder="1"/>
    <xf numFmtId="42" fontId="13" fillId="0" borderId="17" xfId="520" applyNumberFormat="1" applyFont="1" applyBorder="1"/>
    <xf numFmtId="42" fontId="13" fillId="0" borderId="21" xfId="520" applyNumberFormat="1" applyFont="1" applyBorder="1"/>
    <xf numFmtId="42" fontId="13" fillId="0" borderId="14" xfId="520" applyNumberFormat="1" applyFont="1" applyBorder="1"/>
    <xf numFmtId="42" fontId="13" fillId="0" borderId="16" xfId="520" applyNumberFormat="1" applyFont="1" applyBorder="1"/>
    <xf numFmtId="42" fontId="13" fillId="0" borderId="16" xfId="520" applyNumberFormat="1" applyBorder="1"/>
    <xf numFmtId="42" fontId="13" fillId="49" borderId="21" xfId="520" applyNumberFormat="1" applyFont="1" applyFill="1" applyBorder="1"/>
    <xf numFmtId="42" fontId="13" fillId="49" borderId="14" xfId="520" applyNumberFormat="1" applyFont="1" applyFill="1" applyBorder="1"/>
    <xf numFmtId="42" fontId="73" fillId="49" borderId="19" xfId="520" applyNumberFormat="1" applyFont="1" applyFill="1" applyBorder="1"/>
    <xf numFmtId="42" fontId="73" fillId="0" borderId="22" xfId="520" applyNumberFormat="1" applyFont="1" applyBorder="1"/>
    <xf numFmtId="42" fontId="73" fillId="0" borderId="27" xfId="520" applyNumberFormat="1" applyFont="1" applyBorder="1"/>
    <xf numFmtId="42" fontId="73" fillId="45" borderId="0" xfId="520" applyNumberFormat="1" applyFont="1" applyFill="1"/>
    <xf numFmtId="42" fontId="73" fillId="0" borderId="50" xfId="520" applyNumberFormat="1" applyFont="1" applyBorder="1"/>
    <xf numFmtId="42" fontId="13" fillId="0" borderId="15" xfId="520" applyNumberFormat="1" applyBorder="1"/>
    <xf numFmtId="42" fontId="13" fillId="0" borderId="13" xfId="520" applyNumberFormat="1" applyBorder="1"/>
    <xf numFmtId="42" fontId="13" fillId="0" borderId="34" xfId="520" applyNumberFormat="1" applyBorder="1"/>
    <xf numFmtId="42" fontId="13" fillId="0" borderId="17" xfId="66" applyNumberFormat="1" applyBorder="1" applyAlignment="1">
      <alignment horizontal="right"/>
    </xf>
    <xf numFmtId="42" fontId="13" fillId="0" borderId="0" xfId="66" applyNumberFormat="1" applyBorder="1" applyAlignment="1">
      <alignment horizontal="right"/>
    </xf>
    <xf numFmtId="42" fontId="13" fillId="0" borderId="41" xfId="66" applyNumberFormat="1" applyBorder="1" applyAlignment="1">
      <alignment horizontal="right"/>
    </xf>
    <xf numFmtId="42" fontId="13" fillId="0" borderId="0" xfId="66" applyNumberFormat="1"/>
    <xf numFmtId="42" fontId="13" fillId="47" borderId="13" xfId="66" applyNumberFormat="1" applyFill="1" applyBorder="1" applyAlignment="1">
      <alignment horizontal="right"/>
    </xf>
    <xf numFmtId="42" fontId="13" fillId="0" borderId="13" xfId="66" applyNumberFormat="1" applyBorder="1" applyAlignment="1">
      <alignment horizontal="right"/>
    </xf>
    <xf numFmtId="42" fontId="13" fillId="0" borderId="21" xfId="66" applyNumberFormat="1" applyBorder="1" applyAlignment="1">
      <alignment horizontal="right"/>
    </xf>
    <xf numFmtId="42" fontId="13" fillId="0" borderId="14" xfId="66" applyNumberFormat="1" applyBorder="1" applyAlignment="1">
      <alignment horizontal="right"/>
    </xf>
    <xf numFmtId="42" fontId="13" fillId="0" borderId="16" xfId="66" applyNumberFormat="1" applyBorder="1" applyAlignment="1">
      <alignment horizontal="right"/>
    </xf>
    <xf numFmtId="42" fontId="13" fillId="0" borderId="21" xfId="66" applyNumberFormat="1" applyBorder="1"/>
    <xf numFmtId="42" fontId="13" fillId="0" borderId="14" xfId="66" applyNumberFormat="1" applyBorder="1"/>
    <xf numFmtId="42" fontId="13" fillId="0" borderId="18" xfId="66" applyNumberFormat="1" applyBorder="1"/>
    <xf numFmtId="42" fontId="13" fillId="47" borderId="11" xfId="66" applyNumberFormat="1" applyFill="1" applyBorder="1"/>
    <xf numFmtId="42" fontId="13" fillId="0" borderId="11" xfId="66" applyNumberFormat="1" applyBorder="1"/>
    <xf numFmtId="42" fontId="13" fillId="0" borderId="0" xfId="66" applyNumberFormat="1" applyProtection="1">
      <protection locked="0"/>
    </xf>
    <xf numFmtId="42" fontId="13" fillId="0" borderId="0" xfId="66" applyNumberFormat="1" applyAlignment="1">
      <alignment horizontal="right"/>
    </xf>
    <xf numFmtId="42" fontId="13" fillId="0" borderId="13" xfId="66" applyNumberFormat="1" applyBorder="1"/>
    <xf numFmtId="42" fontId="13" fillId="47" borderId="13" xfId="66" applyNumberFormat="1" applyFill="1" applyBorder="1"/>
    <xf numFmtId="42" fontId="13" fillId="0" borderId="20" xfId="66" applyNumberFormat="1" applyBorder="1" applyAlignment="1">
      <alignment horizontal="right"/>
    </xf>
    <xf numFmtId="42" fontId="13" fillId="0" borderId="18" xfId="66" applyNumberFormat="1" applyBorder="1" applyAlignment="1">
      <alignment horizontal="right"/>
    </xf>
    <xf numFmtId="42" fontId="13" fillId="0" borderId="41" xfId="66" applyNumberFormat="1" applyBorder="1"/>
    <xf numFmtId="42" fontId="13" fillId="0" borderId="22" xfId="66" applyNumberFormat="1" applyBorder="1" applyAlignment="1">
      <alignment horizontal="right"/>
    </xf>
    <xf numFmtId="42" fontId="13" fillId="0" borderId="27" xfId="66" applyNumberFormat="1" applyBorder="1" applyAlignment="1">
      <alignment horizontal="right"/>
    </xf>
    <xf numFmtId="42" fontId="13" fillId="0" borderId="50" xfId="66" applyNumberFormat="1" applyBorder="1" applyAlignment="1">
      <alignment horizontal="right"/>
    </xf>
    <xf numFmtId="42" fontId="13" fillId="0" borderId="14" xfId="66" applyNumberFormat="1" applyBorder="1" applyProtection="1">
      <protection locked="0"/>
    </xf>
    <xf numFmtId="42" fontId="13" fillId="0" borderId="16" xfId="66" applyNumberFormat="1" applyBorder="1"/>
    <xf numFmtId="42" fontId="13" fillId="0" borderId="19" xfId="66" applyNumberFormat="1" applyBorder="1"/>
    <xf numFmtId="42" fontId="13" fillId="0" borderId="20" xfId="66" applyNumberFormat="1" applyFill="1" applyBorder="1" applyAlignment="1">
      <alignment horizontal="right"/>
    </xf>
    <xf numFmtId="42" fontId="13" fillId="0" borderId="18" xfId="66" applyNumberFormat="1" applyFill="1" applyBorder="1" applyAlignment="1">
      <alignment horizontal="right"/>
    </xf>
    <xf numFmtId="42" fontId="13" fillId="0" borderId="19" xfId="66" applyNumberFormat="1" applyFill="1" applyBorder="1" applyAlignment="1">
      <alignment horizontal="right"/>
    </xf>
    <xf numFmtId="42" fontId="13" fillId="0" borderId="17" xfId="66" applyNumberFormat="1" applyBorder="1"/>
    <xf numFmtId="42" fontId="13" fillId="47" borderId="15" xfId="66" applyNumberFormat="1" applyFill="1" applyBorder="1"/>
    <xf numFmtId="42" fontId="13" fillId="47" borderId="13" xfId="66" applyNumberFormat="1" applyFill="1" applyBorder="1" applyProtection="1">
      <protection locked="0"/>
    </xf>
    <xf numFmtId="42" fontId="13" fillId="47" borderId="0" xfId="66" applyNumberFormat="1" applyFill="1"/>
    <xf numFmtId="42" fontId="13" fillId="0" borderId="13" xfId="66" applyNumberFormat="1" applyBorder="1" applyProtection="1">
      <protection locked="0"/>
    </xf>
    <xf numFmtId="42" fontId="13" fillId="0" borderId="34" xfId="66" applyNumberFormat="1" applyBorder="1" applyProtection="1">
      <protection locked="0"/>
    </xf>
    <xf numFmtId="42" fontId="13" fillId="0" borderId="23" xfId="66" applyNumberFormat="1" applyBorder="1" applyAlignment="1">
      <alignment horizontal="right"/>
    </xf>
    <xf numFmtId="42" fontId="13" fillId="47" borderId="33" xfId="66" applyNumberFormat="1" applyFill="1" applyBorder="1" applyAlignment="1">
      <alignment horizontal="right"/>
    </xf>
    <xf numFmtId="42" fontId="13" fillId="0" borderId="17" xfId="66" applyNumberFormat="1" applyBorder="1" applyAlignment="1" applyProtection="1">
      <alignment horizontal="center"/>
      <protection locked="0"/>
    </xf>
    <xf numFmtId="42" fontId="13" fillId="0" borderId="0" xfId="66" applyNumberFormat="1" applyAlignment="1" applyProtection="1">
      <alignment horizontal="right"/>
      <protection locked="0"/>
    </xf>
    <xf numFmtId="175" fontId="61" fillId="47" borderId="0" xfId="0" quotePrefix="1" applyFont="1" applyFill="1" applyAlignment="1">
      <alignment horizontal="left" vertical="top" wrapText="1"/>
    </xf>
    <xf numFmtId="175" fontId="14" fillId="0" borderId="70" xfId="0" applyFont="1" applyBorder="1" applyAlignment="1">
      <alignment horizontal="center"/>
    </xf>
    <xf numFmtId="175" fontId="14" fillId="0" borderId="71" xfId="0" applyFont="1" applyBorder="1" applyAlignment="1">
      <alignment horizontal="center"/>
    </xf>
    <xf numFmtId="175" fontId="14" fillId="0" borderId="72"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8515625" defaultRowHeight="12.75"/>
  <cols>
    <col min="1" max="1" width="9.7109375" style="10" customWidth="1"/>
    <col min="2" max="2" width="28.5703125" style="10" customWidth="1"/>
    <col min="3" max="3" width="16.5703125" style="10" customWidth="1"/>
    <col min="4" max="4" width="17.42578125" style="10" customWidth="1"/>
    <col min="5" max="5" width="15" style="10" customWidth="1"/>
    <col min="6" max="6" width="23.28515625" style="10" bestFit="1" customWidth="1"/>
    <col min="7" max="7" width="13.28515625" style="10" bestFit="1" customWidth="1"/>
    <col min="8" max="16384" width="9.28515625" style="10"/>
  </cols>
  <sheetData>
    <row r="1" spans="1:8" s="440" customFormat="1" ht="39" thickBot="1">
      <c r="A1" s="441" t="s">
        <v>0</v>
      </c>
      <c r="B1" s="441" t="s">
        <v>1</v>
      </c>
      <c r="C1" s="441" t="s">
        <v>2</v>
      </c>
      <c r="D1" s="441" t="s">
        <v>3</v>
      </c>
      <c r="E1" s="442" t="s">
        <v>4</v>
      </c>
      <c r="F1" s="443" t="s">
        <v>5</v>
      </c>
      <c r="G1" s="444" t="s">
        <v>6</v>
      </c>
      <c r="H1" s="445" t="s">
        <v>7</v>
      </c>
    </row>
    <row r="2" spans="1:8" ht="16.5" thickTop="1" thickBot="1">
      <c r="A2" s="450">
        <v>0</v>
      </c>
      <c r="B2" s="85" t="s">
        <v>8</v>
      </c>
      <c r="C2" s="451"/>
      <c r="D2" s="441" t="s">
        <v>9</v>
      </c>
      <c r="E2" s="446">
        <v>1</v>
      </c>
      <c r="F2" s="447" t="s">
        <v>10</v>
      </c>
      <c r="G2" s="437">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449">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6.5" thickTop="1" thickBot="1">
      <c r="A3" s="438">
        <v>1</v>
      </c>
      <c r="B3" s="435" t="s">
        <v>11</v>
      </c>
      <c r="C3" s="451"/>
      <c r="D3" s="436" t="s">
        <v>9</v>
      </c>
      <c r="E3" s="446">
        <v>1</v>
      </c>
      <c r="F3" s="447" t="s">
        <v>10</v>
      </c>
      <c r="G3"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6.5" thickTop="1" thickBot="1">
      <c r="A4" s="438">
        <v>2</v>
      </c>
      <c r="B4" s="435" t="s">
        <v>12</v>
      </c>
      <c r="C4" s="451" t="s">
        <v>13</v>
      </c>
      <c r="D4" s="436" t="s">
        <v>9</v>
      </c>
      <c r="E4" s="446">
        <v>1</v>
      </c>
      <c r="F4" s="447" t="s">
        <v>10</v>
      </c>
      <c r="G4" s="437"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449"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6.5" thickTop="1" thickBot="1">
      <c r="A5" s="438">
        <v>3</v>
      </c>
      <c r="B5" s="435" t="s">
        <v>14</v>
      </c>
      <c r="C5" s="451"/>
      <c r="D5" s="436" t="s">
        <v>9</v>
      </c>
      <c r="E5" s="446">
        <v>1</v>
      </c>
      <c r="F5" s="447" t="s">
        <v>10</v>
      </c>
      <c r="G5" s="437"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449"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6.5" thickTop="1" thickBot="1">
      <c r="A6" s="438">
        <v>4</v>
      </c>
      <c r="B6" s="435" t="s">
        <v>15</v>
      </c>
      <c r="C6" s="451" t="s">
        <v>16</v>
      </c>
      <c r="D6" s="436" t="s">
        <v>9</v>
      </c>
      <c r="E6" s="446">
        <v>1</v>
      </c>
      <c r="F6" s="447" t="s">
        <v>10</v>
      </c>
      <c r="G6" s="437"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449"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6.5" thickTop="1" thickBot="1">
      <c r="A7" s="438">
        <v>5</v>
      </c>
      <c r="B7" s="436" t="s">
        <v>17</v>
      </c>
      <c r="C7" s="451" t="s">
        <v>18</v>
      </c>
      <c r="D7" s="436" t="s">
        <v>19</v>
      </c>
      <c r="E7" s="446">
        <v>1</v>
      </c>
      <c r="F7" s="447" t="s">
        <v>10</v>
      </c>
      <c r="G7"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6.5" thickTop="1" thickBot="1">
      <c r="A8" s="438">
        <v>6</v>
      </c>
      <c r="B8" s="436" t="s">
        <v>20</v>
      </c>
      <c r="C8" s="451" t="s">
        <v>18</v>
      </c>
      <c r="D8" s="436" t="s">
        <v>9</v>
      </c>
      <c r="E8" s="446">
        <v>1</v>
      </c>
      <c r="F8" s="447" t="s">
        <v>10</v>
      </c>
      <c r="G8"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6.5" thickTop="1" thickBot="1">
      <c r="A9" s="438">
        <v>7</v>
      </c>
      <c r="B9" s="436" t="s">
        <v>21</v>
      </c>
      <c r="C9" s="451" t="s">
        <v>22</v>
      </c>
      <c r="D9" s="436" t="s">
        <v>19</v>
      </c>
      <c r="E9" s="446">
        <v>1</v>
      </c>
      <c r="F9" s="447" t="s">
        <v>10</v>
      </c>
      <c r="G9"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6.5" thickTop="1" thickBot="1">
      <c r="A10" s="438">
        <v>8</v>
      </c>
      <c r="B10" s="436" t="s">
        <v>23</v>
      </c>
      <c r="C10" s="451" t="s">
        <v>22</v>
      </c>
      <c r="D10" s="436" t="s">
        <v>9</v>
      </c>
      <c r="E10" s="446">
        <v>1</v>
      </c>
      <c r="F10" s="447" t="s">
        <v>10</v>
      </c>
      <c r="G10"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6.5" thickTop="1" thickBot="1">
      <c r="A11" s="438">
        <v>9</v>
      </c>
      <c r="B11" s="436" t="s">
        <v>24</v>
      </c>
      <c r="C11" s="451"/>
      <c r="D11" s="436" t="s">
        <v>9</v>
      </c>
      <c r="E11" s="446">
        <v>1</v>
      </c>
      <c r="F11" s="447" t="s">
        <v>10</v>
      </c>
      <c r="G11"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6.5" thickTop="1" thickBot="1">
      <c r="A12" s="438">
        <v>10</v>
      </c>
      <c r="B12" s="436" t="s">
        <v>25</v>
      </c>
      <c r="C12" s="451"/>
      <c r="D12" s="436" t="s">
        <v>9</v>
      </c>
      <c r="E12" s="446">
        <v>1</v>
      </c>
      <c r="F12" s="447" t="s">
        <v>10</v>
      </c>
      <c r="G12"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438">
        <v>11</v>
      </c>
      <c r="B13" s="436" t="s">
        <v>26</v>
      </c>
      <c r="C13" s="451"/>
      <c r="D13" s="436" t="s">
        <v>9</v>
      </c>
      <c r="E13" s="446">
        <v>1</v>
      </c>
      <c r="F13" s="447" t="s">
        <v>10</v>
      </c>
      <c r="G13"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4.25" thickTop="1" thickBot="1">
      <c r="A14" s="438">
        <v>12</v>
      </c>
      <c r="B14" s="435" t="s">
        <v>27</v>
      </c>
      <c r="C14" s="435"/>
      <c r="D14" s="436" t="s">
        <v>19</v>
      </c>
      <c r="E14" s="446">
        <v>1</v>
      </c>
      <c r="F14" s="447" t="s">
        <v>10</v>
      </c>
      <c r="G14" s="437">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449">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6.5" thickTop="1" thickBot="1">
      <c r="A15" s="450">
        <v>0</v>
      </c>
      <c r="B15" s="85" t="s">
        <v>8</v>
      </c>
      <c r="C15" s="451"/>
      <c r="D15" s="441" t="s">
        <v>9</v>
      </c>
      <c r="E15" s="446">
        <v>2</v>
      </c>
      <c r="F15" s="447" t="s">
        <v>28</v>
      </c>
      <c r="G15" s="437">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449">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6.5" thickTop="1" thickBot="1">
      <c r="A16" s="438">
        <v>1</v>
      </c>
      <c r="B16" s="436" t="s">
        <v>11</v>
      </c>
      <c r="C16" s="451"/>
      <c r="D16" s="436" t="s">
        <v>9</v>
      </c>
      <c r="E16" s="439">
        <v>2</v>
      </c>
      <c r="F16" s="448" t="s">
        <v>28</v>
      </c>
      <c r="G16"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6.5" thickTop="1" thickBot="1">
      <c r="A17" s="438">
        <v>2</v>
      </c>
      <c r="B17" s="436" t="s">
        <v>12</v>
      </c>
      <c r="C17" s="451" t="s">
        <v>13</v>
      </c>
      <c r="D17" s="436" t="s">
        <v>9</v>
      </c>
      <c r="E17" s="439">
        <v>2</v>
      </c>
      <c r="F17" s="448" t="s">
        <v>28</v>
      </c>
      <c r="G17" s="437"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449"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6.5" thickTop="1" thickBot="1">
      <c r="A18" s="438">
        <v>3</v>
      </c>
      <c r="B18" s="436" t="s">
        <v>14</v>
      </c>
      <c r="C18" s="451"/>
      <c r="D18" s="436" t="s">
        <v>9</v>
      </c>
      <c r="E18" s="439">
        <v>2</v>
      </c>
      <c r="F18" s="448" t="s">
        <v>28</v>
      </c>
      <c r="G18" s="437"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449"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6.5" thickTop="1" thickBot="1">
      <c r="A19" s="438">
        <v>4</v>
      </c>
      <c r="B19" s="436" t="s">
        <v>15</v>
      </c>
      <c r="C19" s="451" t="s">
        <v>16</v>
      </c>
      <c r="D19" s="436" t="s">
        <v>9</v>
      </c>
      <c r="E19" s="439">
        <v>2</v>
      </c>
      <c r="F19" s="448" t="s">
        <v>28</v>
      </c>
      <c r="G19" s="437"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449"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6.5" thickTop="1" thickBot="1">
      <c r="A20" s="438">
        <v>5</v>
      </c>
      <c r="B20" s="436" t="s">
        <v>17</v>
      </c>
      <c r="C20" s="451" t="s">
        <v>18</v>
      </c>
      <c r="D20" s="436" t="s">
        <v>19</v>
      </c>
      <c r="E20" s="439">
        <v>2</v>
      </c>
      <c r="F20" s="448" t="s">
        <v>28</v>
      </c>
      <c r="G20"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6.5" thickTop="1" thickBot="1">
      <c r="A21" s="438">
        <v>6</v>
      </c>
      <c r="B21" s="436" t="s">
        <v>20</v>
      </c>
      <c r="C21" s="451" t="s">
        <v>18</v>
      </c>
      <c r="D21" s="436" t="s">
        <v>9</v>
      </c>
      <c r="E21" s="439">
        <v>2</v>
      </c>
      <c r="F21" s="448" t="s">
        <v>28</v>
      </c>
      <c r="G21"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6.5" thickTop="1" thickBot="1">
      <c r="A22" s="438">
        <v>7</v>
      </c>
      <c r="B22" s="436" t="s">
        <v>21</v>
      </c>
      <c r="C22" s="451" t="s">
        <v>22</v>
      </c>
      <c r="D22" s="436" t="s">
        <v>19</v>
      </c>
      <c r="E22" s="439">
        <v>2</v>
      </c>
      <c r="F22" s="448" t="s">
        <v>28</v>
      </c>
      <c r="G22"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6.5" thickTop="1" thickBot="1">
      <c r="A23" s="438">
        <v>8</v>
      </c>
      <c r="B23" s="436" t="s">
        <v>23</v>
      </c>
      <c r="C23" s="451" t="s">
        <v>22</v>
      </c>
      <c r="D23" s="436" t="s">
        <v>9</v>
      </c>
      <c r="E23" s="439">
        <v>2</v>
      </c>
      <c r="F23" s="448" t="s">
        <v>28</v>
      </c>
      <c r="G23"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6.5" thickTop="1" thickBot="1">
      <c r="A24" s="438">
        <v>9</v>
      </c>
      <c r="B24" s="436" t="s">
        <v>24</v>
      </c>
      <c r="C24" s="451"/>
      <c r="D24" s="436" t="s">
        <v>9</v>
      </c>
      <c r="E24" s="439">
        <v>2</v>
      </c>
      <c r="F24" s="448" t="s">
        <v>28</v>
      </c>
      <c r="G24"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6.5" thickTop="1" thickBot="1">
      <c r="A25" s="438">
        <v>10</v>
      </c>
      <c r="B25" s="436" t="s">
        <v>25</v>
      </c>
      <c r="C25" s="451"/>
      <c r="D25" s="436" t="s">
        <v>9</v>
      </c>
      <c r="E25" s="439">
        <v>2</v>
      </c>
      <c r="F25" s="448" t="s">
        <v>28</v>
      </c>
      <c r="G25"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6.5" thickTop="1" thickBot="1">
      <c r="A26" s="438">
        <v>11</v>
      </c>
      <c r="B26" s="436" t="s">
        <v>26</v>
      </c>
      <c r="C26" s="451"/>
      <c r="D26" s="436" t="s">
        <v>9</v>
      </c>
      <c r="E26" s="439">
        <v>2</v>
      </c>
      <c r="F26" s="448" t="s">
        <v>28</v>
      </c>
      <c r="G26"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4.25" thickTop="1" thickBot="1">
      <c r="A27" s="438">
        <v>12</v>
      </c>
      <c r="B27" s="436" t="s">
        <v>27</v>
      </c>
      <c r="C27" s="435"/>
      <c r="D27" s="436" t="s">
        <v>19</v>
      </c>
      <c r="E27" s="439">
        <v>2</v>
      </c>
      <c r="F27" s="448" t="s">
        <v>28</v>
      </c>
      <c r="G27" s="437">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449">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6.5" thickTop="1" thickBot="1">
      <c r="A28" s="450">
        <v>0</v>
      </c>
      <c r="B28" s="85" t="s">
        <v>8</v>
      </c>
      <c r="C28" s="451"/>
      <c r="D28" s="441" t="s">
        <v>9</v>
      </c>
      <c r="E28" s="446">
        <v>3</v>
      </c>
      <c r="F28" s="447" t="s">
        <v>29</v>
      </c>
      <c r="G28" s="437">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28" s="449">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6.5" thickTop="1" thickBot="1">
      <c r="A29" s="438">
        <v>1</v>
      </c>
      <c r="B29" s="436" t="s">
        <v>11</v>
      </c>
      <c r="C29" s="451"/>
      <c r="D29" s="436" t="s">
        <v>9</v>
      </c>
      <c r="E29" s="439">
        <v>3</v>
      </c>
      <c r="F29" s="448" t="s">
        <v>29</v>
      </c>
      <c r="G29"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6.5" thickTop="1" thickBot="1">
      <c r="A30" s="438">
        <v>2</v>
      </c>
      <c r="B30" s="436" t="s">
        <v>12</v>
      </c>
      <c r="C30" s="451" t="s">
        <v>13</v>
      </c>
      <c r="D30" s="436" t="s">
        <v>9</v>
      </c>
      <c r="E30" s="439">
        <v>3</v>
      </c>
      <c r="F30" s="448" t="s">
        <v>29</v>
      </c>
      <c r="G30"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449"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6.5" thickTop="1" thickBot="1">
      <c r="A31" s="438">
        <v>3</v>
      </c>
      <c r="B31" s="436" t="s">
        <v>14</v>
      </c>
      <c r="C31" s="451"/>
      <c r="D31" s="436" t="s">
        <v>9</v>
      </c>
      <c r="E31" s="439">
        <v>3</v>
      </c>
      <c r="F31" s="448" t="s">
        <v>29</v>
      </c>
      <c r="G31"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449"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6.5" thickTop="1" thickBot="1">
      <c r="A32" s="438">
        <v>4</v>
      </c>
      <c r="B32" s="436" t="s">
        <v>15</v>
      </c>
      <c r="C32" s="451" t="s">
        <v>16</v>
      </c>
      <c r="D32" s="436" t="s">
        <v>9</v>
      </c>
      <c r="E32" s="439">
        <v>3</v>
      </c>
      <c r="F32" s="448" t="s">
        <v>29</v>
      </c>
      <c r="G32"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449"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6.5" thickTop="1" thickBot="1">
      <c r="A33" s="438">
        <v>5</v>
      </c>
      <c r="B33" s="436" t="s">
        <v>17</v>
      </c>
      <c r="C33" s="451" t="s">
        <v>18</v>
      </c>
      <c r="D33" s="436" t="s">
        <v>19</v>
      </c>
      <c r="E33" s="439">
        <v>3</v>
      </c>
      <c r="F33" s="448" t="s">
        <v>29</v>
      </c>
      <c r="G33"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6.5" thickTop="1" thickBot="1">
      <c r="A34" s="438">
        <v>6</v>
      </c>
      <c r="B34" s="436" t="s">
        <v>20</v>
      </c>
      <c r="C34" s="451" t="s">
        <v>18</v>
      </c>
      <c r="D34" s="436" t="s">
        <v>9</v>
      </c>
      <c r="E34" s="439">
        <v>3</v>
      </c>
      <c r="F34" s="448" t="s">
        <v>29</v>
      </c>
      <c r="G34"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6.5" thickTop="1" thickBot="1">
      <c r="A35" s="438">
        <v>7</v>
      </c>
      <c r="B35" s="436" t="s">
        <v>21</v>
      </c>
      <c r="C35" s="451" t="s">
        <v>22</v>
      </c>
      <c r="D35" s="436" t="s">
        <v>19</v>
      </c>
      <c r="E35" s="439">
        <v>3</v>
      </c>
      <c r="F35" s="448" t="s">
        <v>29</v>
      </c>
      <c r="G35"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6.5" thickTop="1" thickBot="1">
      <c r="A36" s="438">
        <v>8</v>
      </c>
      <c r="B36" s="436" t="s">
        <v>23</v>
      </c>
      <c r="C36" s="451" t="s">
        <v>22</v>
      </c>
      <c r="D36" s="436" t="s">
        <v>9</v>
      </c>
      <c r="E36" s="439">
        <v>3</v>
      </c>
      <c r="F36" s="448" t="s">
        <v>29</v>
      </c>
      <c r="G36"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6.5" thickTop="1" thickBot="1">
      <c r="A37" s="438">
        <v>9</v>
      </c>
      <c r="B37" s="436" t="s">
        <v>24</v>
      </c>
      <c r="C37" s="451"/>
      <c r="D37" s="436" t="s">
        <v>9</v>
      </c>
      <c r="E37" s="439">
        <v>3</v>
      </c>
      <c r="F37" s="448" t="s">
        <v>29</v>
      </c>
      <c r="G37"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6.5" thickTop="1" thickBot="1">
      <c r="A38" s="438">
        <v>10</v>
      </c>
      <c r="B38" s="436" t="s">
        <v>25</v>
      </c>
      <c r="C38" s="451"/>
      <c r="D38" s="436" t="s">
        <v>9</v>
      </c>
      <c r="E38" s="439">
        <v>3</v>
      </c>
      <c r="F38" s="448" t="s">
        <v>29</v>
      </c>
      <c r="G38"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6.5" thickTop="1" thickBot="1">
      <c r="A39" s="438">
        <v>11</v>
      </c>
      <c r="B39" s="436" t="s">
        <v>26</v>
      </c>
      <c r="C39" s="451"/>
      <c r="D39" s="436" t="s">
        <v>9</v>
      </c>
      <c r="E39" s="439">
        <v>3</v>
      </c>
      <c r="F39" s="448" t="s">
        <v>29</v>
      </c>
      <c r="G39"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4.25" thickTop="1" thickBot="1">
      <c r="A40" s="438">
        <v>12</v>
      </c>
      <c r="B40" s="436" t="s">
        <v>27</v>
      </c>
      <c r="C40" s="435"/>
      <c r="D40" s="436" t="s">
        <v>19</v>
      </c>
      <c r="E40" s="439">
        <v>3</v>
      </c>
      <c r="F40" s="448" t="s">
        <v>29</v>
      </c>
      <c r="G40"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449">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6.5" thickTop="1" thickBot="1">
      <c r="A41" s="450">
        <v>0</v>
      </c>
      <c r="B41" s="85" t="s">
        <v>8</v>
      </c>
      <c r="C41" s="451"/>
      <c r="D41" s="441" t="s">
        <v>9</v>
      </c>
      <c r="E41" s="446">
        <v>4</v>
      </c>
      <c r="F41" s="447" t="s">
        <v>30</v>
      </c>
      <c r="G41" s="437">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449">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6.5" thickTop="1" thickBot="1">
      <c r="A42" s="438">
        <v>1</v>
      </c>
      <c r="B42" s="436" t="s">
        <v>11</v>
      </c>
      <c r="C42" s="451"/>
      <c r="D42" s="436" t="s">
        <v>9</v>
      </c>
      <c r="E42" s="439">
        <v>4</v>
      </c>
      <c r="F42" s="448" t="s">
        <v>30</v>
      </c>
      <c r="G42"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6.5" thickTop="1" thickBot="1">
      <c r="A43" s="438">
        <v>2</v>
      </c>
      <c r="B43" s="436" t="s">
        <v>12</v>
      </c>
      <c r="C43" s="451" t="s">
        <v>13</v>
      </c>
      <c r="D43" s="436" t="s">
        <v>9</v>
      </c>
      <c r="E43" s="439">
        <v>4</v>
      </c>
      <c r="F43" s="448" t="s">
        <v>30</v>
      </c>
      <c r="G43"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449"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6.5" thickTop="1" thickBot="1">
      <c r="A44" s="438">
        <v>3</v>
      </c>
      <c r="B44" s="436" t="s">
        <v>14</v>
      </c>
      <c r="C44" s="451"/>
      <c r="D44" s="436" t="s">
        <v>9</v>
      </c>
      <c r="E44" s="439">
        <v>4</v>
      </c>
      <c r="F44" s="448" t="s">
        <v>30</v>
      </c>
      <c r="G44"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449"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6.5" thickTop="1" thickBot="1">
      <c r="A45" s="438">
        <v>4</v>
      </c>
      <c r="B45" s="436" t="s">
        <v>15</v>
      </c>
      <c r="C45" s="451" t="s">
        <v>16</v>
      </c>
      <c r="D45" s="436" t="s">
        <v>9</v>
      </c>
      <c r="E45" s="439">
        <v>4</v>
      </c>
      <c r="F45" s="448" t="s">
        <v>30</v>
      </c>
      <c r="G45"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449"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6.5" thickTop="1" thickBot="1">
      <c r="A46" s="438">
        <v>5</v>
      </c>
      <c r="B46" s="436" t="s">
        <v>17</v>
      </c>
      <c r="C46" s="451" t="s">
        <v>18</v>
      </c>
      <c r="D46" s="436" t="s">
        <v>19</v>
      </c>
      <c r="E46" s="439">
        <v>4</v>
      </c>
      <c r="F46" s="448" t="s">
        <v>30</v>
      </c>
      <c r="G46"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6.5" thickTop="1" thickBot="1">
      <c r="A47" s="438">
        <v>6</v>
      </c>
      <c r="B47" s="436" t="s">
        <v>20</v>
      </c>
      <c r="C47" s="451" t="s">
        <v>18</v>
      </c>
      <c r="D47" s="436" t="s">
        <v>9</v>
      </c>
      <c r="E47" s="439">
        <v>4</v>
      </c>
      <c r="F47" s="448" t="s">
        <v>30</v>
      </c>
      <c r="G47"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6.5" thickTop="1" thickBot="1">
      <c r="A48" s="438">
        <v>7</v>
      </c>
      <c r="B48" s="436" t="s">
        <v>21</v>
      </c>
      <c r="C48" s="451" t="s">
        <v>22</v>
      </c>
      <c r="D48" s="436" t="s">
        <v>19</v>
      </c>
      <c r="E48" s="439">
        <v>4</v>
      </c>
      <c r="F48" s="448" t="s">
        <v>30</v>
      </c>
      <c r="G48"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6.5" thickTop="1" thickBot="1">
      <c r="A49" s="438">
        <v>8</v>
      </c>
      <c r="B49" s="436" t="s">
        <v>23</v>
      </c>
      <c r="C49" s="451" t="s">
        <v>22</v>
      </c>
      <c r="D49" s="436" t="s">
        <v>9</v>
      </c>
      <c r="E49" s="439">
        <v>4</v>
      </c>
      <c r="F49" s="448" t="s">
        <v>30</v>
      </c>
      <c r="G49"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6.5" thickTop="1" thickBot="1">
      <c r="A50" s="438">
        <v>9</v>
      </c>
      <c r="B50" s="436" t="s">
        <v>24</v>
      </c>
      <c r="C50" s="451"/>
      <c r="D50" s="436" t="s">
        <v>9</v>
      </c>
      <c r="E50" s="439">
        <v>4</v>
      </c>
      <c r="F50" s="448" t="s">
        <v>30</v>
      </c>
      <c r="G50"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6.5" thickTop="1" thickBot="1">
      <c r="A51" s="438">
        <v>10</v>
      </c>
      <c r="B51" s="436" t="s">
        <v>25</v>
      </c>
      <c r="C51" s="451"/>
      <c r="D51" s="436" t="s">
        <v>9</v>
      </c>
      <c r="E51" s="439">
        <v>4</v>
      </c>
      <c r="F51" s="448" t="s">
        <v>30</v>
      </c>
      <c r="G51"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6.5" thickTop="1" thickBot="1">
      <c r="A52" s="438">
        <v>11</v>
      </c>
      <c r="B52" s="436" t="s">
        <v>26</v>
      </c>
      <c r="C52" s="451"/>
      <c r="D52" s="436" t="s">
        <v>9</v>
      </c>
      <c r="E52" s="439">
        <v>4</v>
      </c>
      <c r="F52" s="448" t="s">
        <v>30</v>
      </c>
      <c r="G52"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4.25" thickTop="1" thickBot="1">
      <c r="A53" s="438">
        <v>12</v>
      </c>
      <c r="B53" s="436" t="s">
        <v>27</v>
      </c>
      <c r="C53" s="435"/>
      <c r="D53" s="436" t="s">
        <v>19</v>
      </c>
      <c r="E53" s="439">
        <v>4</v>
      </c>
      <c r="F53" s="448" t="s">
        <v>30</v>
      </c>
      <c r="G53"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449">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6.5" thickTop="1" thickBot="1">
      <c r="A54" s="450">
        <v>0</v>
      </c>
      <c r="B54" s="85" t="s">
        <v>8</v>
      </c>
      <c r="C54" s="451"/>
      <c r="D54" s="441" t="s">
        <v>9</v>
      </c>
      <c r="E54" s="446">
        <v>5</v>
      </c>
      <c r="F54" s="447" t="s">
        <v>31</v>
      </c>
      <c r="G54" s="437">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449">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6.5" thickTop="1" thickBot="1">
      <c r="A55" s="438">
        <v>1</v>
      </c>
      <c r="B55" s="436" t="s">
        <v>11</v>
      </c>
      <c r="C55" s="451"/>
      <c r="D55" s="436" t="s">
        <v>9</v>
      </c>
      <c r="E55" s="439">
        <v>5</v>
      </c>
      <c r="F55" s="448" t="s">
        <v>31</v>
      </c>
      <c r="G55"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6.5" thickTop="1" thickBot="1">
      <c r="A56" s="438">
        <v>2</v>
      </c>
      <c r="B56" s="436" t="s">
        <v>12</v>
      </c>
      <c r="C56" s="451" t="s">
        <v>13</v>
      </c>
      <c r="D56" s="436" t="s">
        <v>9</v>
      </c>
      <c r="E56" s="439">
        <v>5</v>
      </c>
      <c r="F56" s="448" t="s">
        <v>31</v>
      </c>
      <c r="G56"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449"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6.5" thickTop="1" thickBot="1">
      <c r="A57" s="438">
        <v>3</v>
      </c>
      <c r="B57" s="436" t="s">
        <v>14</v>
      </c>
      <c r="C57" s="451"/>
      <c r="D57" s="436" t="s">
        <v>9</v>
      </c>
      <c r="E57" s="439">
        <v>5</v>
      </c>
      <c r="F57" s="448" t="s">
        <v>31</v>
      </c>
      <c r="G57"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449"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6.5" thickTop="1" thickBot="1">
      <c r="A58" s="438">
        <v>4</v>
      </c>
      <c r="B58" s="436" t="s">
        <v>15</v>
      </c>
      <c r="C58" s="451" t="s">
        <v>16</v>
      </c>
      <c r="D58" s="436" t="s">
        <v>9</v>
      </c>
      <c r="E58" s="439">
        <v>5</v>
      </c>
      <c r="F58" s="448" t="s">
        <v>31</v>
      </c>
      <c r="G58"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449"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6.5" thickTop="1" thickBot="1">
      <c r="A59" s="438">
        <v>5</v>
      </c>
      <c r="B59" s="436" t="s">
        <v>17</v>
      </c>
      <c r="C59" s="451" t="s">
        <v>18</v>
      </c>
      <c r="D59" s="436" t="s">
        <v>19</v>
      </c>
      <c r="E59" s="439">
        <v>5</v>
      </c>
      <c r="F59" s="448" t="s">
        <v>31</v>
      </c>
      <c r="G59"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6.5" thickTop="1" thickBot="1">
      <c r="A60" s="438">
        <v>6</v>
      </c>
      <c r="B60" s="436" t="s">
        <v>20</v>
      </c>
      <c r="C60" s="451" t="s">
        <v>18</v>
      </c>
      <c r="D60" s="436" t="s">
        <v>9</v>
      </c>
      <c r="E60" s="439">
        <v>5</v>
      </c>
      <c r="F60" s="448" t="s">
        <v>31</v>
      </c>
      <c r="G60"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6.5" thickTop="1" thickBot="1">
      <c r="A61" s="438">
        <v>7</v>
      </c>
      <c r="B61" s="436" t="s">
        <v>21</v>
      </c>
      <c r="C61" s="451" t="s">
        <v>22</v>
      </c>
      <c r="D61" s="436" t="s">
        <v>19</v>
      </c>
      <c r="E61" s="439">
        <v>5</v>
      </c>
      <c r="F61" s="448" t="s">
        <v>31</v>
      </c>
      <c r="G61"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6.5" thickTop="1" thickBot="1">
      <c r="A62" s="438">
        <v>8</v>
      </c>
      <c r="B62" s="436" t="s">
        <v>23</v>
      </c>
      <c r="C62" s="451" t="s">
        <v>22</v>
      </c>
      <c r="D62" s="436" t="s">
        <v>9</v>
      </c>
      <c r="E62" s="439">
        <v>5</v>
      </c>
      <c r="F62" s="448" t="s">
        <v>31</v>
      </c>
      <c r="G62"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6.5" thickTop="1" thickBot="1">
      <c r="A63" s="438">
        <v>9</v>
      </c>
      <c r="B63" s="436" t="s">
        <v>24</v>
      </c>
      <c r="C63" s="451"/>
      <c r="D63" s="436" t="s">
        <v>9</v>
      </c>
      <c r="E63" s="439">
        <v>5</v>
      </c>
      <c r="F63" s="448" t="s">
        <v>31</v>
      </c>
      <c r="G63"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6.5" thickTop="1" thickBot="1">
      <c r="A64" s="438">
        <v>10</v>
      </c>
      <c r="B64" s="436" t="s">
        <v>25</v>
      </c>
      <c r="C64" s="451"/>
      <c r="D64" s="436" t="s">
        <v>9</v>
      </c>
      <c r="E64" s="439">
        <v>5</v>
      </c>
      <c r="F64" s="448" t="s">
        <v>31</v>
      </c>
      <c r="G64"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6.5" thickTop="1" thickBot="1">
      <c r="A65" s="438">
        <v>11</v>
      </c>
      <c r="B65" s="436" t="s">
        <v>26</v>
      </c>
      <c r="C65" s="451"/>
      <c r="D65" s="436" t="s">
        <v>9</v>
      </c>
      <c r="E65" s="439">
        <v>5</v>
      </c>
      <c r="F65" s="448" t="s">
        <v>31</v>
      </c>
      <c r="G65"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4.25" thickTop="1" thickBot="1">
      <c r="A66" s="438">
        <v>12</v>
      </c>
      <c r="B66" s="436" t="s">
        <v>27</v>
      </c>
      <c r="C66" s="435"/>
      <c r="D66" s="436" t="s">
        <v>19</v>
      </c>
      <c r="E66" s="439">
        <v>5</v>
      </c>
      <c r="F66" s="448" t="s">
        <v>31</v>
      </c>
      <c r="G66"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449">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6.5" thickTop="1" thickBot="1">
      <c r="A67" s="450">
        <v>0</v>
      </c>
      <c r="B67" s="85" t="s">
        <v>8</v>
      </c>
      <c r="C67" s="451"/>
      <c r="D67" s="441" t="s">
        <v>9</v>
      </c>
      <c r="E67" s="446">
        <v>6</v>
      </c>
      <c r="F67" s="447" t="s">
        <v>32</v>
      </c>
      <c r="G67" s="437">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67" s="449">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0.76944903564453127</v>
      </c>
    </row>
    <row r="68" spans="1:8" ht="16.5" thickTop="1" thickBot="1">
      <c r="A68" s="438">
        <v>1</v>
      </c>
      <c r="B68" s="436" t="s">
        <v>11</v>
      </c>
      <c r="C68" s="451"/>
      <c r="D68" s="436" t="s">
        <v>9</v>
      </c>
      <c r="E68" s="439">
        <v>6</v>
      </c>
      <c r="F68" s="448" t="s">
        <v>32</v>
      </c>
      <c r="G68"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14095</v>
      </c>
      <c r="H68"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1.9500192885000003</v>
      </c>
    </row>
    <row r="69" spans="1:8" ht="16.5" thickTop="1" thickBot="1">
      <c r="A69" s="438">
        <v>2</v>
      </c>
      <c r="B69" s="436" t="s">
        <v>12</v>
      </c>
      <c r="C69" s="451" t="s">
        <v>13</v>
      </c>
      <c r="D69" s="436" t="s">
        <v>9</v>
      </c>
      <c r="E69" s="439">
        <v>6</v>
      </c>
      <c r="F69" s="448" t="s">
        <v>32</v>
      </c>
      <c r="G69"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449"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6.5" thickTop="1" thickBot="1">
      <c r="A70" s="438">
        <v>3</v>
      </c>
      <c r="B70" s="436" t="s">
        <v>14</v>
      </c>
      <c r="C70" s="451"/>
      <c r="D70" s="436" t="s">
        <v>9</v>
      </c>
      <c r="E70" s="439">
        <v>6</v>
      </c>
      <c r="F70" s="448" t="s">
        <v>32</v>
      </c>
      <c r="G70"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449"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6.5" thickTop="1" thickBot="1">
      <c r="A71" s="438">
        <v>4</v>
      </c>
      <c r="B71" s="436" t="s">
        <v>15</v>
      </c>
      <c r="C71" s="451" t="s">
        <v>16</v>
      </c>
      <c r="D71" s="436" t="s">
        <v>9</v>
      </c>
      <c r="E71" s="439">
        <v>6</v>
      </c>
      <c r="F71" s="448" t="s">
        <v>32</v>
      </c>
      <c r="G71"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449"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6.5" thickTop="1" thickBot="1">
      <c r="A72" s="438">
        <v>5</v>
      </c>
      <c r="B72" s="436" t="s">
        <v>17</v>
      </c>
      <c r="C72" s="451" t="s">
        <v>18</v>
      </c>
      <c r="D72" s="436" t="s">
        <v>19</v>
      </c>
      <c r="E72" s="439">
        <v>6</v>
      </c>
      <c r="F72" s="448" t="s">
        <v>32</v>
      </c>
      <c r="G72"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14944</v>
      </c>
      <c r="H72"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1.7535013246536255</v>
      </c>
    </row>
    <row r="73" spans="1:8" ht="16.5" thickTop="1" thickBot="1">
      <c r="A73" s="438">
        <v>6</v>
      </c>
      <c r="B73" s="436" t="s">
        <v>20</v>
      </c>
      <c r="C73" s="451" t="s">
        <v>18</v>
      </c>
      <c r="D73" s="436" t="s">
        <v>9</v>
      </c>
      <c r="E73" s="439">
        <v>6</v>
      </c>
      <c r="F73" s="448" t="s">
        <v>32</v>
      </c>
      <c r="G73"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980</v>
      </c>
      <c r="H73"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0.25252178430557248</v>
      </c>
    </row>
    <row r="74" spans="1:8" ht="16.5" thickTop="1" thickBot="1">
      <c r="A74" s="438">
        <v>7</v>
      </c>
      <c r="B74" s="436" t="s">
        <v>21</v>
      </c>
      <c r="C74" s="451" t="s">
        <v>22</v>
      </c>
      <c r="D74" s="436" t="s">
        <v>19</v>
      </c>
      <c r="E74" s="439">
        <v>6</v>
      </c>
      <c r="F74" s="448" t="s">
        <v>32</v>
      </c>
      <c r="G74"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7938</v>
      </c>
      <c r="H74"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2.34337698E-2</v>
      </c>
    </row>
    <row r="75" spans="1:8" ht="16.5" thickTop="1" thickBot="1">
      <c r="A75" s="438">
        <v>8</v>
      </c>
      <c r="B75" s="436" t="s">
        <v>23</v>
      </c>
      <c r="C75" s="451" t="s">
        <v>22</v>
      </c>
      <c r="D75" s="436" t="s">
        <v>9</v>
      </c>
      <c r="E75" s="439">
        <v>6</v>
      </c>
      <c r="F75" s="448" t="s">
        <v>32</v>
      </c>
      <c r="G75"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3218</v>
      </c>
      <c r="H75"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0.1919092916</v>
      </c>
    </row>
    <row r="76" spans="1:8" ht="16.5" thickTop="1" thickBot="1">
      <c r="A76" s="438">
        <v>9</v>
      </c>
      <c r="B76" s="436" t="s">
        <v>24</v>
      </c>
      <c r="C76" s="451"/>
      <c r="D76" s="436" t="s">
        <v>9</v>
      </c>
      <c r="E76" s="439">
        <v>6</v>
      </c>
      <c r="F76" s="448" t="s">
        <v>32</v>
      </c>
      <c r="G76"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0.20861366189624328</v>
      </c>
    </row>
    <row r="77" spans="1:8" ht="16.5" thickTop="1" thickBot="1">
      <c r="A77" s="438">
        <v>10</v>
      </c>
      <c r="B77" s="436" t="s">
        <v>25</v>
      </c>
      <c r="C77" s="451"/>
      <c r="D77" s="436" t="s">
        <v>9</v>
      </c>
      <c r="E77" s="439">
        <v>6</v>
      </c>
      <c r="F77" s="448" t="s">
        <v>32</v>
      </c>
      <c r="G77"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142</v>
      </c>
      <c r="H77"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2.4164771762342481</v>
      </c>
    </row>
    <row r="78" spans="1:8" ht="16.5" thickTop="1" thickBot="1">
      <c r="A78" s="438">
        <v>11</v>
      </c>
      <c r="B78" s="436" t="s">
        <v>26</v>
      </c>
      <c r="C78" s="451"/>
      <c r="D78" s="436" t="s">
        <v>9</v>
      </c>
      <c r="E78" s="439">
        <v>6</v>
      </c>
      <c r="F78" s="448" t="s">
        <v>32</v>
      </c>
      <c r="G78"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112680</v>
      </c>
      <c r="H78"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1.7073372121900321</v>
      </c>
    </row>
    <row r="79" spans="1:8" ht="14.25" thickTop="1" thickBot="1">
      <c r="A79" s="438">
        <v>12</v>
      </c>
      <c r="B79" s="436" t="s">
        <v>27</v>
      </c>
      <c r="C79" s="435"/>
      <c r="D79" s="436" t="s">
        <v>19</v>
      </c>
      <c r="E79" s="439">
        <v>6</v>
      </c>
      <c r="F79" s="448" t="s">
        <v>32</v>
      </c>
      <c r="G79"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16151</v>
      </c>
      <c r="H79" s="449">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2.6979194424897432</v>
      </c>
    </row>
    <row r="80" spans="1:8" ht="16.5" thickTop="1" thickBot="1">
      <c r="A80" s="450">
        <v>0</v>
      </c>
      <c r="B80" s="85" t="s">
        <v>8</v>
      </c>
      <c r="C80" s="451"/>
      <c r="D80" s="441" t="s">
        <v>9</v>
      </c>
      <c r="E80" s="446">
        <v>7</v>
      </c>
      <c r="F80" s="447" t="s">
        <v>33</v>
      </c>
      <c r="G80" s="437">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80" s="449">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0.71939520263671874</v>
      </c>
    </row>
    <row r="81" spans="1:8" ht="16.5" thickTop="1" thickBot="1">
      <c r="A81" s="438">
        <v>1</v>
      </c>
      <c r="B81" s="436" t="s">
        <v>11</v>
      </c>
      <c r="C81" s="451"/>
      <c r="D81" s="436" t="s">
        <v>9</v>
      </c>
      <c r="E81" s="439">
        <v>7</v>
      </c>
      <c r="F81" s="448" t="s">
        <v>33</v>
      </c>
      <c r="G81"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14095</v>
      </c>
      <c r="H81" s="449">
        <f>VLOOKUP(BUReporting[[#This Row],[Program]],'Program MW '!$A$35:$S$46,3,FALSE)</f>
        <v>3.8359866684999999</v>
      </c>
    </row>
    <row r="82" spans="1:8" ht="16.5" thickTop="1" thickBot="1">
      <c r="A82" s="438">
        <v>2</v>
      </c>
      <c r="B82" s="436" t="s">
        <v>12</v>
      </c>
      <c r="C82" s="451" t="s">
        <v>13</v>
      </c>
      <c r="D82" s="436" t="s">
        <v>9</v>
      </c>
      <c r="E82" s="439">
        <v>7</v>
      </c>
      <c r="F82" s="448" t="s">
        <v>33</v>
      </c>
      <c r="G82" s="437"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449" t="e">
        <f>VLOOKUP(BUReporting[[#This Row],[Program]],'Program MW '!$A$35:$S$46,3,FALSE)</f>
        <v>#N/A</v>
      </c>
    </row>
    <row r="83" spans="1:8" ht="16.5" thickTop="1" thickBot="1">
      <c r="A83" s="438">
        <v>3</v>
      </c>
      <c r="B83" s="436" t="s">
        <v>14</v>
      </c>
      <c r="C83" s="451"/>
      <c r="D83" s="436" t="s">
        <v>9</v>
      </c>
      <c r="E83" s="439">
        <v>7</v>
      </c>
      <c r="F83" s="448" t="s">
        <v>33</v>
      </c>
      <c r="G83" s="437"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449" t="e">
        <f>VLOOKUP(BUReporting[[#This Row],[Program]],'Program MW '!$A$35:$S$46,3,FALSE)</f>
        <v>#N/A</v>
      </c>
    </row>
    <row r="84" spans="1:8" ht="16.5" thickTop="1" thickBot="1">
      <c r="A84" s="438">
        <v>4</v>
      </c>
      <c r="B84" s="436" t="s">
        <v>15</v>
      </c>
      <c r="C84" s="451" t="s">
        <v>16</v>
      </c>
      <c r="D84" s="436" t="s">
        <v>9</v>
      </c>
      <c r="E84" s="439">
        <v>7</v>
      </c>
      <c r="F84" s="448" t="s">
        <v>33</v>
      </c>
      <c r="G84" s="437"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449" t="e">
        <f>VLOOKUP(BUReporting[[#This Row],[Program]],'Program MW '!$A$35:$S$46,3,FALSE)</f>
        <v>#N/A</v>
      </c>
    </row>
    <row r="85" spans="1:8" ht="16.5" thickTop="1" thickBot="1">
      <c r="A85" s="438">
        <v>5</v>
      </c>
      <c r="B85" s="436" t="s">
        <v>17</v>
      </c>
      <c r="C85" s="451" t="s">
        <v>18</v>
      </c>
      <c r="D85" s="436" t="s">
        <v>19</v>
      </c>
      <c r="E85" s="439">
        <v>7</v>
      </c>
      <c r="F85" s="448" t="s">
        <v>33</v>
      </c>
      <c r="G85"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15107</v>
      </c>
      <c r="H85" s="449">
        <f>VLOOKUP(BUReporting[[#This Row],[Program]],'Program MW '!$A$35:$S$46,3,FALSE)</f>
        <v>3.4192109391242265</v>
      </c>
    </row>
    <row r="86" spans="1:8" ht="16.5" thickTop="1" thickBot="1">
      <c r="A86" s="438">
        <v>6</v>
      </c>
      <c r="B86" s="436" t="s">
        <v>20</v>
      </c>
      <c r="C86" s="451" t="s">
        <v>18</v>
      </c>
      <c r="D86" s="436" t="s">
        <v>9</v>
      </c>
      <c r="E86" s="439">
        <v>7</v>
      </c>
      <c r="F86" s="448" t="s">
        <v>33</v>
      </c>
      <c r="G86"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986</v>
      </c>
      <c r="H86" s="449">
        <f>VLOOKUP(BUReporting[[#This Row],[Program]],'Program MW '!$A$35:$S$46,3,FALSE)</f>
        <v>0.43775688320398332</v>
      </c>
    </row>
    <row r="87" spans="1:8" ht="16.5" thickTop="1" thickBot="1">
      <c r="A87" s="438">
        <v>7</v>
      </c>
      <c r="B87" s="436" t="s">
        <v>21</v>
      </c>
      <c r="C87" s="451" t="s">
        <v>22</v>
      </c>
      <c r="D87" s="436" t="s">
        <v>19</v>
      </c>
      <c r="E87" s="439">
        <v>7</v>
      </c>
      <c r="F87" s="448" t="s">
        <v>33</v>
      </c>
      <c r="G87"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9456</v>
      </c>
      <c r="H87" s="449">
        <f>VLOOKUP(BUReporting[[#This Row],[Program]],'Program MW '!$A$35:$S$46,3,FALSE)</f>
        <v>1.4435983487999999</v>
      </c>
    </row>
    <row r="88" spans="1:8" ht="16.5" thickTop="1" thickBot="1">
      <c r="A88" s="438">
        <v>8</v>
      </c>
      <c r="B88" s="436" t="s">
        <v>23</v>
      </c>
      <c r="C88" s="451" t="s">
        <v>22</v>
      </c>
      <c r="D88" s="436" t="s">
        <v>9</v>
      </c>
      <c r="E88" s="439">
        <v>7</v>
      </c>
      <c r="F88" s="448" t="s">
        <v>33</v>
      </c>
      <c r="G88"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3217</v>
      </c>
      <c r="H88" s="449">
        <f>VLOOKUP(BUReporting[[#This Row],[Program]],'Program MW '!$A$35:$S$46,3,FALSE)</f>
        <v>0.39307236200000006</v>
      </c>
    </row>
    <row r="89" spans="1:8" ht="16.5" thickTop="1" thickBot="1">
      <c r="A89" s="438">
        <v>9</v>
      </c>
      <c r="B89" s="436" t="s">
        <v>24</v>
      </c>
      <c r="C89" s="451"/>
      <c r="D89" s="436" t="s">
        <v>9</v>
      </c>
      <c r="E89" s="439">
        <v>7</v>
      </c>
      <c r="F89" s="448" t="s">
        <v>33</v>
      </c>
      <c r="G89"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24</v>
      </c>
      <c r="H89" s="449">
        <f>VLOOKUP(BUReporting[[#This Row],[Program]],'Program MW '!$A$35:$S$46,3,FALSE)</f>
        <v>0.44888562719141323</v>
      </c>
    </row>
    <row r="90" spans="1:8" ht="16.5" thickTop="1" thickBot="1">
      <c r="A90" s="438">
        <v>10</v>
      </c>
      <c r="B90" s="436" t="s">
        <v>25</v>
      </c>
      <c r="C90" s="451"/>
      <c r="D90" s="436" t="s">
        <v>9</v>
      </c>
      <c r="E90" s="439">
        <v>7</v>
      </c>
      <c r="F90" s="448" t="s">
        <v>33</v>
      </c>
      <c r="G90"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175</v>
      </c>
      <c r="H90" s="449">
        <f>VLOOKUP(BUReporting[[#This Row],[Program]],'Program MW '!$A$35:$S$46,3,FALSE)</f>
        <v>2.9780528580351651</v>
      </c>
    </row>
    <row r="91" spans="1:8" ht="16.5" thickTop="1" thickBot="1">
      <c r="A91" s="438">
        <v>11</v>
      </c>
      <c r="B91" s="436" t="s">
        <v>26</v>
      </c>
      <c r="C91" s="451"/>
      <c r="D91" s="436" t="s">
        <v>9</v>
      </c>
      <c r="E91" s="439">
        <v>7</v>
      </c>
      <c r="F91" s="448" t="s">
        <v>33</v>
      </c>
      <c r="G91"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112437</v>
      </c>
      <c r="H91" s="449">
        <f>VLOOKUP(BUReporting[[#This Row],[Program]],'Program MW '!$A$35:$S$46,3,FALSE)</f>
        <v>1.9057328109797089</v>
      </c>
    </row>
    <row r="92" spans="1:8" ht="14.25" thickTop="1" thickBot="1">
      <c r="A92" s="438">
        <v>12</v>
      </c>
      <c r="B92" s="436" t="s">
        <v>27</v>
      </c>
      <c r="C92" s="435"/>
      <c r="D92" s="436" t="s">
        <v>19</v>
      </c>
      <c r="E92" s="439">
        <v>7</v>
      </c>
      <c r="F92" s="448" t="s">
        <v>33</v>
      </c>
      <c r="G92" s="437">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16192</v>
      </c>
      <c r="H92" s="449">
        <f>VLOOKUP(BUReporting[[#This Row],[Program]],'Program MW '!$A$35:$S$46,3,FALSE)</f>
        <v>3.1104105689525605</v>
      </c>
    </row>
    <row r="93" spans="1:8" ht="16.5" thickTop="1" thickBot="1">
      <c r="A93" s="450">
        <v>0</v>
      </c>
      <c r="B93" s="85" t="s">
        <v>8</v>
      </c>
      <c r="C93" s="451"/>
      <c r="D93" s="441" t="s">
        <v>9</v>
      </c>
      <c r="E93" s="446">
        <v>8</v>
      </c>
      <c r="F93" s="447" t="s">
        <v>34</v>
      </c>
      <c r="G93" s="437">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93" s="449">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0.71393469238281249</v>
      </c>
    </row>
    <row r="94" spans="1:8" ht="16.5" thickTop="1" thickBot="1">
      <c r="A94" s="438">
        <v>1</v>
      </c>
      <c r="B94" s="436" t="s">
        <v>11</v>
      </c>
      <c r="C94" s="451"/>
      <c r="D94" s="436" t="s">
        <v>9</v>
      </c>
      <c r="E94" s="439">
        <v>8</v>
      </c>
      <c r="F94" s="448" t="s">
        <v>34</v>
      </c>
      <c r="G94"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14837</v>
      </c>
      <c r="H94" s="449">
        <f>VLOOKUP(BUReporting[[#This Row],[Program]],'Program MW '!$A$35:$S$46,6,FALSE)</f>
        <v>2.2824810526999997</v>
      </c>
    </row>
    <row r="95" spans="1:8" ht="16.5" thickTop="1" thickBot="1">
      <c r="A95" s="438">
        <v>2</v>
      </c>
      <c r="B95" s="436" t="s">
        <v>12</v>
      </c>
      <c r="C95" s="451" t="s">
        <v>13</v>
      </c>
      <c r="D95" s="436" t="s">
        <v>9</v>
      </c>
      <c r="E95" s="439">
        <v>8</v>
      </c>
      <c r="F95" s="448" t="s">
        <v>34</v>
      </c>
      <c r="G95" s="437"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449" t="e">
        <f>VLOOKUP(BUReporting[[#This Row],[Program]],'Program MW '!$A$35:$S$46,6,FALSE)</f>
        <v>#N/A</v>
      </c>
    </row>
    <row r="96" spans="1:8" ht="16.5" thickTop="1" thickBot="1">
      <c r="A96" s="438">
        <v>3</v>
      </c>
      <c r="B96" s="436" t="s">
        <v>14</v>
      </c>
      <c r="C96" s="451"/>
      <c r="D96" s="436" t="s">
        <v>9</v>
      </c>
      <c r="E96" s="439">
        <v>8</v>
      </c>
      <c r="F96" s="448" t="s">
        <v>34</v>
      </c>
      <c r="G96" s="437"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449" t="e">
        <f>VLOOKUP(BUReporting[[#This Row],[Program]],'Program MW '!$A$35:$S$46,6,FALSE)</f>
        <v>#N/A</v>
      </c>
    </row>
    <row r="97" spans="1:8" ht="16.5" thickTop="1" thickBot="1">
      <c r="A97" s="438">
        <v>4</v>
      </c>
      <c r="B97" s="436" t="s">
        <v>15</v>
      </c>
      <c r="C97" s="451" t="s">
        <v>16</v>
      </c>
      <c r="D97" s="436" t="s">
        <v>9</v>
      </c>
      <c r="E97" s="439">
        <v>8</v>
      </c>
      <c r="F97" s="448" t="s">
        <v>34</v>
      </c>
      <c r="G97" s="437"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449" t="e">
        <f>VLOOKUP(BUReporting[[#This Row],[Program]],'Program MW '!$A$35:$S$46,6,FALSE)</f>
        <v>#N/A</v>
      </c>
    </row>
    <row r="98" spans="1:8" ht="16.5" thickTop="1" thickBot="1">
      <c r="A98" s="438">
        <v>5</v>
      </c>
      <c r="B98" s="436" t="s">
        <v>17</v>
      </c>
      <c r="C98" s="451" t="s">
        <v>18</v>
      </c>
      <c r="D98" s="436" t="s">
        <v>19</v>
      </c>
      <c r="E98" s="439">
        <v>8</v>
      </c>
      <c r="F98" s="448" t="s">
        <v>34</v>
      </c>
      <c r="G98"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15310</v>
      </c>
      <c r="H98" s="449">
        <f>VLOOKUP(BUReporting[[#This Row],[Program]],'Program MW '!$A$35:$S$46,6,FALSE)</f>
        <v>4.6823426511883728</v>
      </c>
    </row>
    <row r="99" spans="1:8" ht="16.5" thickTop="1" thickBot="1">
      <c r="A99" s="438">
        <v>6</v>
      </c>
      <c r="B99" s="436" t="s">
        <v>20</v>
      </c>
      <c r="C99" s="451" t="s">
        <v>18</v>
      </c>
      <c r="D99" s="436" t="s">
        <v>9</v>
      </c>
      <c r="E99" s="439">
        <v>8</v>
      </c>
      <c r="F99" s="448" t="s">
        <v>34</v>
      </c>
      <c r="G99"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1041</v>
      </c>
      <c r="H99" s="449">
        <f>VLOOKUP(BUReporting[[#This Row],[Program]],'Program MW '!$A$35:$S$46,6,FALSE)</f>
        <v>0.57844579267501828</v>
      </c>
    </row>
    <row r="100" spans="1:8" ht="16.5" thickTop="1" thickBot="1">
      <c r="A100" s="438">
        <v>7</v>
      </c>
      <c r="B100" s="436" t="s">
        <v>21</v>
      </c>
      <c r="C100" s="451" t="s">
        <v>22</v>
      </c>
      <c r="D100" s="436" t="s">
        <v>19</v>
      </c>
      <c r="E100" s="439">
        <v>8</v>
      </c>
      <c r="F100" s="448" t="s">
        <v>34</v>
      </c>
      <c r="G100"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9356</v>
      </c>
      <c r="H100" s="449">
        <f>VLOOKUP(BUReporting[[#This Row],[Program]],'Program MW '!$A$35:$S$46,6,FALSE)</f>
        <v>2.1663836712000002</v>
      </c>
    </row>
    <row r="101" spans="1:8" ht="16.5" thickTop="1" thickBot="1">
      <c r="A101" s="438">
        <v>8</v>
      </c>
      <c r="B101" s="436" t="s">
        <v>23</v>
      </c>
      <c r="C101" s="451" t="s">
        <v>22</v>
      </c>
      <c r="D101" s="436" t="s">
        <v>9</v>
      </c>
      <c r="E101" s="439">
        <v>8</v>
      </c>
      <c r="F101" s="448" t="s">
        <v>34</v>
      </c>
      <c r="G101"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3198</v>
      </c>
      <c r="H101" s="449">
        <f>VLOOKUP(BUReporting[[#This Row],[Program]],'Program MW '!$A$35:$S$46,6,FALSE)</f>
        <v>0.47751928380000003</v>
      </c>
    </row>
    <row r="102" spans="1:8" ht="16.5" thickTop="1" thickBot="1">
      <c r="A102" s="438">
        <v>9</v>
      </c>
      <c r="B102" s="436" t="s">
        <v>24</v>
      </c>
      <c r="C102" s="451"/>
      <c r="D102" s="436" t="s">
        <v>9</v>
      </c>
      <c r="E102" s="439">
        <v>8</v>
      </c>
      <c r="F102" s="448" t="s">
        <v>34</v>
      </c>
      <c r="G102"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26</v>
      </c>
      <c r="H102" s="449">
        <f>VLOOKUP(BUReporting[[#This Row],[Program]],'Program MW '!$A$35:$S$46,6,FALSE)</f>
        <v>0.48629276279069766</v>
      </c>
    </row>
    <row r="103" spans="1:8" ht="16.5" thickTop="1" thickBot="1">
      <c r="A103" s="438">
        <v>10</v>
      </c>
      <c r="B103" s="436" t="s">
        <v>25</v>
      </c>
      <c r="C103" s="451"/>
      <c r="D103" s="436" t="s">
        <v>9</v>
      </c>
      <c r="E103" s="439">
        <v>8</v>
      </c>
      <c r="F103" s="448" t="s">
        <v>34</v>
      </c>
      <c r="G103"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175</v>
      </c>
      <c r="H103" s="449">
        <f>VLOOKUP(BUReporting[[#This Row],[Program]],'Program MW '!$A$35:$S$46,6,FALSE)</f>
        <v>2.9780528580351651</v>
      </c>
    </row>
    <row r="104" spans="1:8" ht="16.5" thickTop="1" thickBot="1">
      <c r="A104" s="438">
        <v>11</v>
      </c>
      <c r="B104" s="436" t="s">
        <v>26</v>
      </c>
      <c r="C104" s="451"/>
      <c r="D104" s="436" t="s">
        <v>9</v>
      </c>
      <c r="E104" s="439">
        <v>8</v>
      </c>
      <c r="F104" s="448" t="s">
        <v>34</v>
      </c>
      <c r="G104"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112368</v>
      </c>
      <c r="H104" s="449">
        <f>VLOOKUP(BUReporting[[#This Row],[Program]],'Program MW '!$A$35:$S$46,6,FALSE)</f>
        <v>1.9959247588813303</v>
      </c>
    </row>
    <row r="105" spans="1:8" ht="14.25" thickTop="1" thickBot="1">
      <c r="A105" s="438">
        <v>12</v>
      </c>
      <c r="B105" s="436" t="s">
        <v>27</v>
      </c>
      <c r="C105" s="435"/>
      <c r="D105" s="436" t="s">
        <v>19</v>
      </c>
      <c r="E105" s="439">
        <v>8</v>
      </c>
      <c r="F105" s="448" t="s">
        <v>34</v>
      </c>
      <c r="G105" s="437">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16302</v>
      </c>
      <c r="H105" s="449">
        <f>VLOOKUP(BUReporting[[#This Row],[Program]],'Program MW '!$A$35:$S$46,6,FALSE)</f>
        <v>3.330096468642354</v>
      </c>
    </row>
    <row r="106" spans="1:8" ht="16.5" thickTop="1" thickBot="1">
      <c r="A106" s="450">
        <v>0</v>
      </c>
      <c r="B106" s="85" t="s">
        <v>8</v>
      </c>
      <c r="C106" s="451"/>
      <c r="D106" s="441" t="s">
        <v>9</v>
      </c>
      <c r="E106" s="446">
        <v>9</v>
      </c>
      <c r="F106" s="447" t="s">
        <v>35</v>
      </c>
      <c r="G106" s="437">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106" s="449">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107" spans="1:8" ht="16.5" thickTop="1" thickBot="1">
      <c r="A107" s="438">
        <v>1</v>
      </c>
      <c r="B107" s="436" t="s">
        <v>11</v>
      </c>
      <c r="C107" s="451"/>
      <c r="D107" s="436" t="s">
        <v>9</v>
      </c>
      <c r="E107" s="439">
        <v>9</v>
      </c>
      <c r="F107" s="448" t="s">
        <v>35</v>
      </c>
      <c r="G107"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7" s="449">
        <f>VLOOKUP(BUReporting[[#This Row],[Program]],'Program MW '!$A$35:$S$46,9,FALSE)</f>
        <v>0</v>
      </c>
    </row>
    <row r="108" spans="1:8" ht="16.5" thickTop="1" thickBot="1">
      <c r="A108" s="438">
        <v>2</v>
      </c>
      <c r="B108" s="436" t="s">
        <v>12</v>
      </c>
      <c r="C108" s="451" t="s">
        <v>13</v>
      </c>
      <c r="D108" s="436" t="s">
        <v>9</v>
      </c>
      <c r="E108" s="439">
        <v>9</v>
      </c>
      <c r="F108" s="448" t="s">
        <v>35</v>
      </c>
      <c r="G108"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449" t="e">
        <f>VLOOKUP(BUReporting[[#This Row],[Program]],'Program MW '!$A$35:$S$46,9,FALSE)</f>
        <v>#N/A</v>
      </c>
    </row>
    <row r="109" spans="1:8" ht="16.5" thickTop="1" thickBot="1">
      <c r="A109" s="438">
        <v>3</v>
      </c>
      <c r="B109" s="436" t="s">
        <v>14</v>
      </c>
      <c r="C109" s="451"/>
      <c r="D109" s="436" t="s">
        <v>9</v>
      </c>
      <c r="E109" s="439">
        <v>9</v>
      </c>
      <c r="F109" s="448" t="s">
        <v>35</v>
      </c>
      <c r="G109"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449" t="e">
        <f>VLOOKUP(BUReporting[[#This Row],[Program]],'Program MW '!$A$35:$S$46,9,FALSE)</f>
        <v>#N/A</v>
      </c>
    </row>
    <row r="110" spans="1:8" ht="16.5" thickTop="1" thickBot="1">
      <c r="A110" s="438">
        <v>4</v>
      </c>
      <c r="B110" s="436" t="s">
        <v>15</v>
      </c>
      <c r="C110" s="451" t="s">
        <v>16</v>
      </c>
      <c r="D110" s="436" t="s">
        <v>9</v>
      </c>
      <c r="E110" s="439">
        <v>9</v>
      </c>
      <c r="F110" s="448" t="s">
        <v>35</v>
      </c>
      <c r="G110" s="437"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449" t="e">
        <f>VLOOKUP(BUReporting[[#This Row],[Program]],'Program MW '!$A$35:$S$46,9,FALSE)</f>
        <v>#N/A</v>
      </c>
    </row>
    <row r="111" spans="1:8" ht="16.5" thickTop="1" thickBot="1">
      <c r="A111" s="438">
        <v>5</v>
      </c>
      <c r="B111" s="436" t="s">
        <v>17</v>
      </c>
      <c r="C111" s="451" t="s">
        <v>18</v>
      </c>
      <c r="D111" s="436" t="s">
        <v>19</v>
      </c>
      <c r="E111" s="439">
        <v>9</v>
      </c>
      <c r="F111" s="448" t="s">
        <v>35</v>
      </c>
      <c r="G111"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1" s="449">
        <f>VLOOKUP(BUReporting[[#This Row],[Program]],'Program MW '!$A$35:$S$46,9,FALSE)</f>
        <v>0</v>
      </c>
    </row>
    <row r="112" spans="1:8" ht="16.5" thickTop="1" thickBot="1">
      <c r="A112" s="438">
        <v>6</v>
      </c>
      <c r="B112" s="436" t="s">
        <v>20</v>
      </c>
      <c r="C112" s="451" t="s">
        <v>18</v>
      </c>
      <c r="D112" s="436" t="s">
        <v>9</v>
      </c>
      <c r="E112" s="439">
        <v>9</v>
      </c>
      <c r="F112" s="448" t="s">
        <v>35</v>
      </c>
      <c r="G112"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2" s="449">
        <f>VLOOKUP(BUReporting[[#This Row],[Program]],'Program MW '!$A$35:$S$46,9,FALSE)</f>
        <v>0</v>
      </c>
    </row>
    <row r="113" spans="1:8" ht="16.5" thickTop="1" thickBot="1">
      <c r="A113" s="438">
        <v>7</v>
      </c>
      <c r="B113" s="436" t="s">
        <v>21</v>
      </c>
      <c r="C113" s="451" t="s">
        <v>22</v>
      </c>
      <c r="D113" s="436" t="s">
        <v>19</v>
      </c>
      <c r="E113" s="439">
        <v>9</v>
      </c>
      <c r="F113" s="448" t="s">
        <v>35</v>
      </c>
      <c r="G113"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3" s="449">
        <f>VLOOKUP(BUReporting[[#This Row],[Program]],'Program MW '!$A$35:$S$46,9,FALSE)</f>
        <v>0</v>
      </c>
    </row>
    <row r="114" spans="1:8" ht="16.5" thickTop="1" thickBot="1">
      <c r="A114" s="438">
        <v>8</v>
      </c>
      <c r="B114" s="436" t="s">
        <v>23</v>
      </c>
      <c r="C114" s="451" t="s">
        <v>22</v>
      </c>
      <c r="D114" s="436" t="s">
        <v>9</v>
      </c>
      <c r="E114" s="439">
        <v>9</v>
      </c>
      <c r="F114" s="448" t="s">
        <v>35</v>
      </c>
      <c r="G114"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4" s="449">
        <f>VLOOKUP(BUReporting[[#This Row],[Program]],'Program MW '!$A$35:$S$46,9,FALSE)</f>
        <v>0</v>
      </c>
    </row>
    <row r="115" spans="1:8" ht="16.5" thickTop="1" thickBot="1">
      <c r="A115" s="438">
        <v>9</v>
      </c>
      <c r="B115" s="436" t="s">
        <v>24</v>
      </c>
      <c r="C115" s="451"/>
      <c r="D115" s="436" t="s">
        <v>9</v>
      </c>
      <c r="E115" s="439">
        <v>9</v>
      </c>
      <c r="F115" s="448" t="s">
        <v>35</v>
      </c>
      <c r="G115"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5" s="449">
        <f>VLOOKUP(BUReporting[[#This Row],[Program]],'Program MW '!$A$35:$S$46,9,FALSE)</f>
        <v>0</v>
      </c>
    </row>
    <row r="116" spans="1:8" ht="16.5" thickTop="1" thickBot="1">
      <c r="A116" s="438">
        <v>10</v>
      </c>
      <c r="B116" s="436" t="s">
        <v>25</v>
      </c>
      <c r="C116" s="451"/>
      <c r="D116" s="436" t="s">
        <v>9</v>
      </c>
      <c r="E116" s="439">
        <v>9</v>
      </c>
      <c r="F116" s="448" t="s">
        <v>35</v>
      </c>
      <c r="G116"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6" s="449">
        <f>VLOOKUP(BUReporting[[#This Row],[Program]],'Program MW '!$A$35:$S$46,9,FALSE)</f>
        <v>0</v>
      </c>
    </row>
    <row r="117" spans="1:8" ht="16.5" thickTop="1" thickBot="1">
      <c r="A117" s="438">
        <v>11</v>
      </c>
      <c r="B117" s="436" t="s">
        <v>26</v>
      </c>
      <c r="C117" s="451"/>
      <c r="D117" s="436" t="s">
        <v>9</v>
      </c>
      <c r="E117" s="439">
        <v>9</v>
      </c>
      <c r="F117" s="448" t="s">
        <v>35</v>
      </c>
      <c r="G117"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7" s="449">
        <f>VLOOKUP(BUReporting[[#This Row],[Program]],'Program MW '!$A$35:$S$46,9,FALSE)</f>
        <v>0</v>
      </c>
    </row>
    <row r="118" spans="1:8" ht="14.25" thickTop="1" thickBot="1">
      <c r="A118" s="438">
        <v>12</v>
      </c>
      <c r="B118" s="436" t="s">
        <v>27</v>
      </c>
      <c r="C118" s="435"/>
      <c r="D118" s="436" t="s">
        <v>19</v>
      </c>
      <c r="E118" s="439">
        <v>9</v>
      </c>
      <c r="F118" s="448" t="s">
        <v>35</v>
      </c>
      <c r="G118" s="437">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8" s="449">
        <f>VLOOKUP(BUReporting[[#This Row],[Program]],'Program MW '!$A$35:$S$46,9,FALSE)</f>
        <v>0</v>
      </c>
    </row>
    <row r="119" spans="1:8" ht="16.5" thickTop="1" thickBot="1">
      <c r="A119" s="450">
        <v>0</v>
      </c>
      <c r="B119" s="85" t="s">
        <v>8</v>
      </c>
      <c r="C119" s="451"/>
      <c r="D119" s="441" t="s">
        <v>9</v>
      </c>
      <c r="E119" s="446">
        <v>10</v>
      </c>
      <c r="F119" s="447" t="s">
        <v>36</v>
      </c>
      <c r="G119" s="437">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449">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6.5" thickTop="1" thickBot="1">
      <c r="A120" s="438">
        <v>1</v>
      </c>
      <c r="B120" s="436" t="s">
        <v>11</v>
      </c>
      <c r="C120" s="451"/>
      <c r="D120" s="436" t="s">
        <v>9</v>
      </c>
      <c r="E120" s="439">
        <v>10</v>
      </c>
      <c r="F120" s="448" t="s">
        <v>36</v>
      </c>
      <c r="G120"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449">
        <f>VLOOKUP(BUReporting[[#This Row],[Program]],'Program MW '!$A$35:$S$46,12,FALSE)</f>
        <v>0</v>
      </c>
    </row>
    <row r="121" spans="1:8" ht="16.5" thickTop="1" thickBot="1">
      <c r="A121" s="438">
        <v>2</v>
      </c>
      <c r="B121" s="436" t="s">
        <v>12</v>
      </c>
      <c r="C121" s="451" t="s">
        <v>13</v>
      </c>
      <c r="D121" s="436" t="s">
        <v>9</v>
      </c>
      <c r="E121" s="439">
        <v>10</v>
      </c>
      <c r="F121" s="448" t="s">
        <v>36</v>
      </c>
      <c r="G121"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449" t="e">
        <f>VLOOKUP(BUReporting[[#This Row],[Program]],'Program MW '!$A$35:$S$46,12,FALSE)</f>
        <v>#N/A</v>
      </c>
    </row>
    <row r="122" spans="1:8" ht="16.5" thickTop="1" thickBot="1">
      <c r="A122" s="438">
        <v>3</v>
      </c>
      <c r="B122" s="436" t="s">
        <v>14</v>
      </c>
      <c r="C122" s="451"/>
      <c r="D122" s="436" t="s">
        <v>9</v>
      </c>
      <c r="E122" s="439">
        <v>10</v>
      </c>
      <c r="F122" s="448" t="s">
        <v>36</v>
      </c>
      <c r="G122"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449" t="e">
        <f>VLOOKUP(BUReporting[[#This Row],[Program]],'Program MW '!$A$35:$S$46,12,FALSE)</f>
        <v>#N/A</v>
      </c>
    </row>
    <row r="123" spans="1:8" ht="16.5" thickTop="1" thickBot="1">
      <c r="A123" s="438">
        <v>4</v>
      </c>
      <c r="B123" s="436" t="s">
        <v>15</v>
      </c>
      <c r="C123" s="451" t="s">
        <v>16</v>
      </c>
      <c r="D123" s="436" t="s">
        <v>9</v>
      </c>
      <c r="E123" s="439">
        <v>10</v>
      </c>
      <c r="F123" s="448" t="s">
        <v>36</v>
      </c>
      <c r="G123" s="437"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449" t="e">
        <f>VLOOKUP(BUReporting[[#This Row],[Program]],'Program MW '!$A$35:$S$46,12,FALSE)</f>
        <v>#N/A</v>
      </c>
    </row>
    <row r="124" spans="1:8" ht="16.5" thickTop="1" thickBot="1">
      <c r="A124" s="438">
        <v>5</v>
      </c>
      <c r="B124" s="436" t="s">
        <v>17</v>
      </c>
      <c r="C124" s="451" t="s">
        <v>18</v>
      </c>
      <c r="D124" s="436" t="s">
        <v>19</v>
      </c>
      <c r="E124" s="439">
        <v>10</v>
      </c>
      <c r="F124" s="448" t="s">
        <v>36</v>
      </c>
      <c r="G124"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449">
        <f>VLOOKUP(BUReporting[[#This Row],[Program]],'Program MW '!$A$35:$S$46,12,FALSE)</f>
        <v>0</v>
      </c>
    </row>
    <row r="125" spans="1:8" ht="16.5" thickTop="1" thickBot="1">
      <c r="A125" s="438">
        <v>6</v>
      </c>
      <c r="B125" s="436" t="s">
        <v>20</v>
      </c>
      <c r="C125" s="451" t="s">
        <v>18</v>
      </c>
      <c r="D125" s="436" t="s">
        <v>9</v>
      </c>
      <c r="E125" s="439">
        <v>10</v>
      </c>
      <c r="F125" s="448" t="s">
        <v>36</v>
      </c>
      <c r="G125"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449">
        <f>VLOOKUP(BUReporting[[#This Row],[Program]],'Program MW '!$A$35:$S$46,12,FALSE)</f>
        <v>0</v>
      </c>
    </row>
    <row r="126" spans="1:8" ht="16.5" thickTop="1" thickBot="1">
      <c r="A126" s="438">
        <v>7</v>
      </c>
      <c r="B126" s="436" t="s">
        <v>21</v>
      </c>
      <c r="C126" s="451" t="s">
        <v>22</v>
      </c>
      <c r="D126" s="436" t="s">
        <v>19</v>
      </c>
      <c r="E126" s="439">
        <v>10</v>
      </c>
      <c r="F126" s="448" t="s">
        <v>36</v>
      </c>
      <c r="G126"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449">
        <f>VLOOKUP(BUReporting[[#This Row],[Program]],'Program MW '!$A$35:$S$46,12,FALSE)</f>
        <v>0</v>
      </c>
    </row>
    <row r="127" spans="1:8" ht="16.5" thickTop="1" thickBot="1">
      <c r="A127" s="438">
        <v>8</v>
      </c>
      <c r="B127" s="436" t="s">
        <v>23</v>
      </c>
      <c r="C127" s="451" t="s">
        <v>22</v>
      </c>
      <c r="D127" s="436" t="s">
        <v>9</v>
      </c>
      <c r="E127" s="439">
        <v>10</v>
      </c>
      <c r="F127" s="448" t="s">
        <v>36</v>
      </c>
      <c r="G127"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449">
        <f>VLOOKUP(BUReporting[[#This Row],[Program]],'Program MW '!$A$35:$S$46,12,FALSE)</f>
        <v>0</v>
      </c>
    </row>
    <row r="128" spans="1:8" ht="16.5" thickTop="1" thickBot="1">
      <c r="A128" s="438">
        <v>9</v>
      </c>
      <c r="B128" s="436" t="s">
        <v>24</v>
      </c>
      <c r="C128" s="451"/>
      <c r="D128" s="436" t="s">
        <v>9</v>
      </c>
      <c r="E128" s="439">
        <v>10</v>
      </c>
      <c r="F128" s="448" t="s">
        <v>36</v>
      </c>
      <c r="G128"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449">
        <f>VLOOKUP(BUReporting[[#This Row],[Program]],'Program MW '!$A$35:$S$46,12,FALSE)</f>
        <v>0</v>
      </c>
    </row>
    <row r="129" spans="1:8" ht="16.5" thickTop="1" thickBot="1">
      <c r="A129" s="438">
        <v>10</v>
      </c>
      <c r="B129" s="436" t="s">
        <v>25</v>
      </c>
      <c r="C129" s="451"/>
      <c r="D129" s="436" t="s">
        <v>9</v>
      </c>
      <c r="E129" s="439">
        <v>10</v>
      </c>
      <c r="F129" s="448" t="s">
        <v>36</v>
      </c>
      <c r="G129"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449">
        <f>VLOOKUP(BUReporting[[#This Row],[Program]],'Program MW '!$A$35:$S$46,12,FALSE)</f>
        <v>0</v>
      </c>
    </row>
    <row r="130" spans="1:8" ht="16.5" thickTop="1" thickBot="1">
      <c r="A130" s="438">
        <v>11</v>
      </c>
      <c r="B130" s="436" t="s">
        <v>26</v>
      </c>
      <c r="C130" s="451"/>
      <c r="D130" s="436" t="s">
        <v>9</v>
      </c>
      <c r="E130" s="439">
        <v>10</v>
      </c>
      <c r="F130" s="448" t="s">
        <v>36</v>
      </c>
      <c r="G130"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449">
        <f>VLOOKUP(BUReporting[[#This Row],[Program]],'Program MW '!$A$35:$S$46,12,FALSE)</f>
        <v>0</v>
      </c>
    </row>
    <row r="131" spans="1:8" ht="14.25" thickTop="1" thickBot="1">
      <c r="A131" s="438">
        <v>12</v>
      </c>
      <c r="B131" s="436" t="s">
        <v>27</v>
      </c>
      <c r="C131" s="435"/>
      <c r="D131" s="436" t="s">
        <v>19</v>
      </c>
      <c r="E131" s="439">
        <v>10</v>
      </c>
      <c r="F131" s="448" t="s">
        <v>36</v>
      </c>
      <c r="G131" s="437">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449">
        <f>VLOOKUP(BUReporting[[#This Row],[Program]],'Program MW '!$A$35:$S$46,12,FALSE)</f>
        <v>0</v>
      </c>
    </row>
    <row r="132" spans="1:8" ht="16.5" thickTop="1" thickBot="1">
      <c r="A132" s="450">
        <v>0</v>
      </c>
      <c r="B132" s="85" t="s">
        <v>8</v>
      </c>
      <c r="C132" s="451"/>
      <c r="D132" s="441" t="s">
        <v>9</v>
      </c>
      <c r="E132" s="446">
        <v>11</v>
      </c>
      <c r="F132" s="447" t="s">
        <v>37</v>
      </c>
      <c r="G132" s="437">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449">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6.5" thickTop="1" thickBot="1">
      <c r="A133" s="438">
        <v>1</v>
      </c>
      <c r="B133" s="436" t="s">
        <v>11</v>
      </c>
      <c r="C133" s="451"/>
      <c r="D133" s="436" t="s">
        <v>9</v>
      </c>
      <c r="E133" s="439">
        <v>11</v>
      </c>
      <c r="F133" s="448" t="s">
        <v>37</v>
      </c>
      <c r="G133"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449">
        <f>VLOOKUP(BUReporting[[#This Row],[Program]],'Program MW '!$A$35:$S$46,15,FALSE)</f>
        <v>0</v>
      </c>
    </row>
    <row r="134" spans="1:8" ht="16.5" thickTop="1" thickBot="1">
      <c r="A134" s="438">
        <v>2</v>
      </c>
      <c r="B134" s="436" t="s">
        <v>12</v>
      </c>
      <c r="C134" s="451" t="s">
        <v>13</v>
      </c>
      <c r="D134" s="436" t="s">
        <v>9</v>
      </c>
      <c r="E134" s="439">
        <v>11</v>
      </c>
      <c r="F134" s="448" t="s">
        <v>37</v>
      </c>
      <c r="G134"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449" t="e">
        <f>VLOOKUP(BUReporting[[#This Row],[Program]],'Program MW '!$A$35:$S$46,15,FALSE)</f>
        <v>#N/A</v>
      </c>
    </row>
    <row r="135" spans="1:8" ht="16.5" thickTop="1" thickBot="1">
      <c r="A135" s="438">
        <v>3</v>
      </c>
      <c r="B135" s="436" t="s">
        <v>14</v>
      </c>
      <c r="C135" s="451"/>
      <c r="D135" s="436" t="s">
        <v>9</v>
      </c>
      <c r="E135" s="439">
        <v>11</v>
      </c>
      <c r="F135" s="448" t="s">
        <v>37</v>
      </c>
      <c r="G135"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449" t="e">
        <f>VLOOKUP(BUReporting[[#This Row],[Program]],'Program MW '!$A$35:$S$46,15,FALSE)</f>
        <v>#N/A</v>
      </c>
    </row>
    <row r="136" spans="1:8" ht="16.5" thickTop="1" thickBot="1">
      <c r="A136" s="438">
        <v>4</v>
      </c>
      <c r="B136" s="436" t="s">
        <v>15</v>
      </c>
      <c r="C136" s="451" t="s">
        <v>16</v>
      </c>
      <c r="D136" s="436" t="s">
        <v>9</v>
      </c>
      <c r="E136" s="439">
        <v>11</v>
      </c>
      <c r="F136" s="448" t="s">
        <v>37</v>
      </c>
      <c r="G136" s="437"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449" t="e">
        <f>VLOOKUP(BUReporting[[#This Row],[Program]],'Program MW '!$A$35:$S$46,15,FALSE)</f>
        <v>#N/A</v>
      </c>
    </row>
    <row r="137" spans="1:8" ht="16.5" thickTop="1" thickBot="1">
      <c r="A137" s="438">
        <v>5</v>
      </c>
      <c r="B137" s="436" t="s">
        <v>17</v>
      </c>
      <c r="C137" s="451" t="s">
        <v>18</v>
      </c>
      <c r="D137" s="436" t="s">
        <v>19</v>
      </c>
      <c r="E137" s="439">
        <v>11</v>
      </c>
      <c r="F137" s="448" t="s">
        <v>37</v>
      </c>
      <c r="G137"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449">
        <f>VLOOKUP(BUReporting[[#This Row],[Program]],'Program MW '!$A$35:$S$46,15,FALSE)</f>
        <v>0</v>
      </c>
    </row>
    <row r="138" spans="1:8" ht="16.5" thickTop="1" thickBot="1">
      <c r="A138" s="438">
        <v>6</v>
      </c>
      <c r="B138" s="436" t="s">
        <v>20</v>
      </c>
      <c r="C138" s="451" t="s">
        <v>18</v>
      </c>
      <c r="D138" s="436" t="s">
        <v>9</v>
      </c>
      <c r="E138" s="439">
        <v>11</v>
      </c>
      <c r="F138" s="448" t="s">
        <v>37</v>
      </c>
      <c r="G138"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449">
        <f>VLOOKUP(BUReporting[[#This Row],[Program]],'Program MW '!$A$35:$S$46,15,FALSE)</f>
        <v>0</v>
      </c>
    </row>
    <row r="139" spans="1:8" ht="16.5" thickTop="1" thickBot="1">
      <c r="A139" s="438">
        <v>7</v>
      </c>
      <c r="B139" s="436" t="s">
        <v>21</v>
      </c>
      <c r="C139" s="451" t="s">
        <v>22</v>
      </c>
      <c r="D139" s="436" t="s">
        <v>19</v>
      </c>
      <c r="E139" s="439">
        <v>11</v>
      </c>
      <c r="F139" s="448" t="s">
        <v>37</v>
      </c>
      <c r="G139"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449">
        <f>VLOOKUP(BUReporting[[#This Row],[Program]],'Program MW '!$A$35:$S$46,15,FALSE)</f>
        <v>0</v>
      </c>
    </row>
    <row r="140" spans="1:8" ht="16.5" thickTop="1" thickBot="1">
      <c r="A140" s="438">
        <v>8</v>
      </c>
      <c r="B140" s="436" t="s">
        <v>23</v>
      </c>
      <c r="C140" s="451" t="s">
        <v>22</v>
      </c>
      <c r="D140" s="436" t="s">
        <v>9</v>
      </c>
      <c r="E140" s="439">
        <v>11</v>
      </c>
      <c r="F140" s="448" t="s">
        <v>37</v>
      </c>
      <c r="G140"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449">
        <f>VLOOKUP(BUReporting[[#This Row],[Program]],'Program MW '!$A$35:$S$46,15,FALSE)</f>
        <v>0</v>
      </c>
    </row>
    <row r="141" spans="1:8" ht="16.5" thickTop="1" thickBot="1">
      <c r="A141" s="438">
        <v>9</v>
      </c>
      <c r="B141" s="436" t="s">
        <v>24</v>
      </c>
      <c r="C141" s="451"/>
      <c r="D141" s="436" t="s">
        <v>9</v>
      </c>
      <c r="E141" s="439">
        <v>11</v>
      </c>
      <c r="F141" s="448" t="s">
        <v>37</v>
      </c>
      <c r="G141"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449">
        <f>VLOOKUP(BUReporting[[#This Row],[Program]],'Program MW '!$A$35:$S$46,15,FALSE)</f>
        <v>0</v>
      </c>
    </row>
    <row r="142" spans="1:8" ht="16.5" thickTop="1" thickBot="1">
      <c r="A142" s="438">
        <v>10</v>
      </c>
      <c r="B142" s="436" t="s">
        <v>25</v>
      </c>
      <c r="C142" s="451"/>
      <c r="D142" s="436" t="s">
        <v>9</v>
      </c>
      <c r="E142" s="439">
        <v>11</v>
      </c>
      <c r="F142" s="448" t="s">
        <v>37</v>
      </c>
      <c r="G142"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449">
        <f>VLOOKUP(BUReporting[[#This Row],[Program]],'Program MW '!$A$35:$S$46,15,FALSE)</f>
        <v>0</v>
      </c>
    </row>
    <row r="143" spans="1:8" ht="16.5" thickTop="1" thickBot="1">
      <c r="A143" s="438">
        <v>11</v>
      </c>
      <c r="B143" s="436" t="s">
        <v>26</v>
      </c>
      <c r="C143" s="451"/>
      <c r="D143" s="436" t="s">
        <v>9</v>
      </c>
      <c r="E143" s="439">
        <v>11</v>
      </c>
      <c r="F143" s="448" t="s">
        <v>37</v>
      </c>
      <c r="G143"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449">
        <f>VLOOKUP(BUReporting[[#This Row],[Program]],'Program MW '!$A$35:$S$46,15,FALSE)</f>
        <v>0</v>
      </c>
    </row>
    <row r="144" spans="1:8" ht="14.25" thickTop="1" thickBot="1">
      <c r="A144" s="438">
        <v>12</v>
      </c>
      <c r="B144" s="436" t="s">
        <v>27</v>
      </c>
      <c r="C144" s="435"/>
      <c r="D144" s="436" t="s">
        <v>19</v>
      </c>
      <c r="E144" s="439">
        <v>11</v>
      </c>
      <c r="F144" s="448" t="s">
        <v>37</v>
      </c>
      <c r="G144" s="437">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449">
        <f>VLOOKUP(BUReporting[[#This Row],[Program]],'Program MW '!$A$35:$S$46,15,FALSE)</f>
        <v>0</v>
      </c>
    </row>
    <row r="145" spans="1:8" ht="16.5" thickTop="1" thickBot="1">
      <c r="A145" s="450">
        <v>0</v>
      </c>
      <c r="B145" s="85" t="s">
        <v>8</v>
      </c>
      <c r="C145" s="451"/>
      <c r="D145" s="441" t="s">
        <v>9</v>
      </c>
      <c r="E145" s="446">
        <v>12</v>
      </c>
      <c r="F145" s="447" t="s">
        <v>38</v>
      </c>
      <c r="G145" s="437">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449">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6.5" thickTop="1" thickBot="1">
      <c r="A146" s="438">
        <v>1</v>
      </c>
      <c r="B146" s="436" t="s">
        <v>11</v>
      </c>
      <c r="C146" s="451"/>
      <c r="D146" s="436" t="s">
        <v>9</v>
      </c>
      <c r="E146" s="439">
        <v>12</v>
      </c>
      <c r="F146" s="448" t="s">
        <v>38</v>
      </c>
      <c r="G146"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449">
        <f>VLOOKUP(BUReporting[[#This Row],[Program]],'Program MW '!$A$35:$S$46,18,FALSE)</f>
        <v>0</v>
      </c>
    </row>
    <row r="147" spans="1:8" ht="16.5" thickTop="1" thickBot="1">
      <c r="A147" s="438">
        <v>2</v>
      </c>
      <c r="B147" s="436" t="s">
        <v>12</v>
      </c>
      <c r="C147" s="451" t="s">
        <v>13</v>
      </c>
      <c r="D147" s="436" t="s">
        <v>9</v>
      </c>
      <c r="E147" s="439">
        <v>12</v>
      </c>
      <c r="F147" s="448" t="s">
        <v>38</v>
      </c>
      <c r="G147"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449" t="e">
        <f>VLOOKUP(BUReporting[[#This Row],[Program]],'Program MW '!$A$35:$S$46,18,FALSE)</f>
        <v>#N/A</v>
      </c>
    </row>
    <row r="148" spans="1:8" ht="16.5" thickTop="1" thickBot="1">
      <c r="A148" s="438">
        <v>3</v>
      </c>
      <c r="B148" s="436" t="s">
        <v>14</v>
      </c>
      <c r="C148" s="451"/>
      <c r="D148" s="436" t="s">
        <v>9</v>
      </c>
      <c r="E148" s="439">
        <v>12</v>
      </c>
      <c r="F148" s="448" t="s">
        <v>38</v>
      </c>
      <c r="G148"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449" t="e">
        <f>VLOOKUP(BUReporting[[#This Row],[Program]],'Program MW '!$A$35:$S$46,18,FALSE)</f>
        <v>#N/A</v>
      </c>
    </row>
    <row r="149" spans="1:8" ht="16.5" thickTop="1" thickBot="1">
      <c r="A149" s="438">
        <v>4</v>
      </c>
      <c r="B149" s="436" t="s">
        <v>15</v>
      </c>
      <c r="C149" s="451" t="s">
        <v>16</v>
      </c>
      <c r="D149" s="436" t="s">
        <v>9</v>
      </c>
      <c r="E149" s="439">
        <v>12</v>
      </c>
      <c r="F149" s="448" t="s">
        <v>38</v>
      </c>
      <c r="G149" s="437"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449" t="e">
        <f>VLOOKUP(BUReporting[[#This Row],[Program]],'Program MW '!$A$35:$S$46,18,FALSE)</f>
        <v>#N/A</v>
      </c>
    </row>
    <row r="150" spans="1:8" ht="16.5" thickTop="1" thickBot="1">
      <c r="A150" s="438">
        <v>5</v>
      </c>
      <c r="B150" s="436" t="s">
        <v>17</v>
      </c>
      <c r="C150" s="451" t="s">
        <v>18</v>
      </c>
      <c r="D150" s="436" t="s">
        <v>19</v>
      </c>
      <c r="E150" s="439">
        <v>12</v>
      </c>
      <c r="F150" s="448" t="s">
        <v>38</v>
      </c>
      <c r="G150"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449">
        <f>VLOOKUP(BUReporting[[#This Row],[Program]],'Program MW '!$A$35:$S$46,18,FALSE)</f>
        <v>0</v>
      </c>
    </row>
    <row r="151" spans="1:8" ht="16.5" thickTop="1" thickBot="1">
      <c r="A151" s="438">
        <v>6</v>
      </c>
      <c r="B151" s="436" t="s">
        <v>20</v>
      </c>
      <c r="C151" s="451" t="s">
        <v>18</v>
      </c>
      <c r="D151" s="436" t="s">
        <v>9</v>
      </c>
      <c r="E151" s="439">
        <v>12</v>
      </c>
      <c r="F151" s="448" t="s">
        <v>38</v>
      </c>
      <c r="G151"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449">
        <f>VLOOKUP(BUReporting[[#This Row],[Program]],'Program MW '!$A$35:$S$46,18,FALSE)</f>
        <v>0</v>
      </c>
    </row>
    <row r="152" spans="1:8" ht="16.5" thickTop="1" thickBot="1">
      <c r="A152" s="438">
        <v>7</v>
      </c>
      <c r="B152" s="436" t="s">
        <v>21</v>
      </c>
      <c r="C152" s="451" t="s">
        <v>22</v>
      </c>
      <c r="D152" s="436" t="s">
        <v>19</v>
      </c>
      <c r="E152" s="439">
        <v>12</v>
      </c>
      <c r="F152" s="448" t="s">
        <v>38</v>
      </c>
      <c r="G152"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449">
        <f>VLOOKUP(BUReporting[[#This Row],[Program]],'Program MW '!$A$35:$S$46,18,FALSE)</f>
        <v>0</v>
      </c>
    </row>
    <row r="153" spans="1:8" ht="16.5" thickTop="1" thickBot="1">
      <c r="A153" s="438">
        <v>8</v>
      </c>
      <c r="B153" s="436" t="s">
        <v>23</v>
      </c>
      <c r="C153" s="451" t="s">
        <v>22</v>
      </c>
      <c r="D153" s="436" t="s">
        <v>9</v>
      </c>
      <c r="E153" s="439">
        <v>12</v>
      </c>
      <c r="F153" s="448" t="s">
        <v>38</v>
      </c>
      <c r="G153"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449">
        <f>VLOOKUP(BUReporting[[#This Row],[Program]],'Program MW '!$A$35:$S$46,18,FALSE)</f>
        <v>0</v>
      </c>
    </row>
    <row r="154" spans="1:8" ht="16.5" thickTop="1" thickBot="1">
      <c r="A154" s="438">
        <v>9</v>
      </c>
      <c r="B154" s="436" t="s">
        <v>24</v>
      </c>
      <c r="C154" s="451"/>
      <c r="D154" s="436" t="s">
        <v>9</v>
      </c>
      <c r="E154" s="439">
        <v>12</v>
      </c>
      <c r="F154" s="448" t="s">
        <v>38</v>
      </c>
      <c r="G154"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449">
        <f>VLOOKUP(BUReporting[[#This Row],[Program]],'Program MW '!$A$35:$S$46,18,FALSE)</f>
        <v>0</v>
      </c>
    </row>
    <row r="155" spans="1:8" ht="16.5" thickTop="1" thickBot="1">
      <c r="A155" s="438">
        <v>10</v>
      </c>
      <c r="B155" s="436" t="s">
        <v>25</v>
      </c>
      <c r="C155" s="451"/>
      <c r="D155" s="436" t="s">
        <v>9</v>
      </c>
      <c r="E155" s="439">
        <v>12</v>
      </c>
      <c r="F155" s="448" t="s">
        <v>38</v>
      </c>
      <c r="G155"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449">
        <f>VLOOKUP(BUReporting[[#This Row],[Program]],'Program MW '!$A$35:$S$46,18,FALSE)</f>
        <v>0</v>
      </c>
    </row>
    <row r="156" spans="1:8" ht="16.5" thickTop="1" thickBot="1">
      <c r="A156" s="438">
        <v>11</v>
      </c>
      <c r="B156" s="436" t="s">
        <v>26</v>
      </c>
      <c r="C156" s="451"/>
      <c r="D156" s="436" t="s">
        <v>9</v>
      </c>
      <c r="E156" s="439">
        <v>12</v>
      </c>
      <c r="F156" s="448" t="s">
        <v>38</v>
      </c>
      <c r="G156"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449">
        <f>VLOOKUP(BUReporting[[#This Row],[Program]],'Program MW '!$A$35:$S$46,18,FALSE)</f>
        <v>0</v>
      </c>
    </row>
    <row r="157" spans="1:8" ht="13.5" thickTop="1">
      <c r="A157" s="438">
        <v>12</v>
      </c>
      <c r="B157" s="436" t="s">
        <v>27</v>
      </c>
      <c r="C157" s="435"/>
      <c r="D157" s="436" t="s">
        <v>19</v>
      </c>
      <c r="E157" s="439">
        <v>12</v>
      </c>
      <c r="F157" s="448" t="s">
        <v>38</v>
      </c>
      <c r="G157" s="437">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449">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136"/>
  <sheetViews>
    <sheetView topLeftCell="A37" zoomScaleNormal="100" zoomScaleSheetLayoutView="90" workbookViewId="0">
      <selection activeCell="A10" sqref="A10"/>
    </sheetView>
  </sheetViews>
  <sheetFormatPr defaultColWidth="9.28515625" defaultRowHeight="14.25" customHeight="1"/>
  <cols>
    <col min="1" max="1" width="56.7109375" style="387" customWidth="1"/>
    <col min="2" max="2" width="30" style="257" customWidth="1"/>
    <col min="3" max="3" width="15.7109375" style="389" customWidth="1"/>
    <col min="4" max="4" width="27" style="387" bestFit="1" customWidth="1"/>
    <col min="5" max="5" width="15.7109375" style="387" customWidth="1"/>
    <col min="6" max="6" width="22" style="387" customWidth="1"/>
    <col min="7" max="7" width="37" style="387" customWidth="1"/>
    <col min="8" max="16384" width="9.28515625" style="388"/>
  </cols>
  <sheetData>
    <row r="2" spans="1:14" ht="12.75">
      <c r="C2" s="258" t="s">
        <v>39</v>
      </c>
    </row>
    <row r="3" spans="1:14" ht="12.75">
      <c r="C3" s="258" t="s">
        <v>231</v>
      </c>
    </row>
    <row r="4" spans="1:14" ht="12.75">
      <c r="C4" s="452" t="str">
        <f>'Program MW '!H3</f>
        <v>August 2020</v>
      </c>
    </row>
    <row r="5" spans="1:14" ht="12.75">
      <c r="C5" s="258"/>
    </row>
    <row r="7" spans="1:14" ht="15.75">
      <c r="A7" s="693" t="s">
        <v>232</v>
      </c>
      <c r="B7" s="694"/>
      <c r="C7" s="694"/>
      <c r="D7" s="694"/>
      <c r="E7" s="694"/>
      <c r="F7" s="694"/>
      <c r="G7" s="695"/>
    </row>
    <row r="8" spans="1:14" ht="27">
      <c r="A8" s="423" t="s">
        <v>225</v>
      </c>
      <c r="B8" s="423" t="s">
        <v>233</v>
      </c>
      <c r="C8" s="424" t="s">
        <v>228</v>
      </c>
      <c r="D8" s="423" t="s">
        <v>234</v>
      </c>
      <c r="E8" s="425" t="s">
        <v>235</v>
      </c>
      <c r="F8" s="425" t="s">
        <v>236</v>
      </c>
      <c r="G8" s="425" t="s">
        <v>237</v>
      </c>
    </row>
    <row r="9" spans="1:14" ht="14.25" customHeight="1">
      <c r="A9" s="546" t="s">
        <v>238</v>
      </c>
      <c r="B9" s="426">
        <v>1</v>
      </c>
      <c r="C9" s="547">
        <v>43984</v>
      </c>
      <c r="D9" s="427" t="s">
        <v>239</v>
      </c>
      <c r="E9" s="548">
        <v>0.87294310536484865</v>
      </c>
      <c r="F9" s="549" t="s">
        <v>240</v>
      </c>
      <c r="G9" s="428">
        <v>2</v>
      </c>
    </row>
    <row r="10" spans="1:14" ht="14.25" customHeight="1">
      <c r="A10" s="546" t="s">
        <v>238</v>
      </c>
      <c r="B10" s="426">
        <v>2</v>
      </c>
      <c r="C10" s="547">
        <v>43985</v>
      </c>
      <c r="D10" s="427" t="s">
        <v>239</v>
      </c>
      <c r="E10" s="548">
        <v>1.6640008917675333</v>
      </c>
      <c r="F10" s="549" t="s">
        <v>240</v>
      </c>
      <c r="G10" s="428">
        <v>4</v>
      </c>
    </row>
    <row r="11" spans="1:14" ht="14.25" customHeight="1">
      <c r="A11" s="546" t="s">
        <v>241</v>
      </c>
      <c r="B11" s="426">
        <v>3</v>
      </c>
      <c r="C11" s="547">
        <v>43984</v>
      </c>
      <c r="D11" s="427" t="s">
        <v>242</v>
      </c>
      <c r="E11" s="548">
        <v>0.30500092296163572</v>
      </c>
      <c r="F11" s="549" t="s">
        <v>240</v>
      </c>
      <c r="G11" s="428">
        <v>2</v>
      </c>
    </row>
    <row r="12" spans="1:14" ht="14.25" customHeight="1">
      <c r="A12" s="546" t="s">
        <v>241</v>
      </c>
      <c r="B12" s="426">
        <v>4</v>
      </c>
      <c r="C12" s="547">
        <v>43985</v>
      </c>
      <c r="D12" s="427" t="s">
        <v>242</v>
      </c>
      <c r="E12" s="548">
        <v>0.36058606179688218</v>
      </c>
      <c r="F12" s="549" t="s">
        <v>240</v>
      </c>
      <c r="G12" s="428">
        <v>4</v>
      </c>
    </row>
    <row r="13" spans="1:14" ht="14.25" customHeight="1">
      <c r="A13" s="546" t="s">
        <v>243</v>
      </c>
      <c r="B13" s="426">
        <v>5</v>
      </c>
      <c r="C13" s="547">
        <v>43985</v>
      </c>
      <c r="D13" s="427" t="s">
        <v>242</v>
      </c>
      <c r="E13" s="548">
        <v>0.2</v>
      </c>
      <c r="F13" s="549" t="s">
        <v>244</v>
      </c>
      <c r="G13" s="428">
        <v>2</v>
      </c>
    </row>
    <row r="14" spans="1:14" ht="18" customHeight="1">
      <c r="A14" s="546" t="s">
        <v>245</v>
      </c>
      <c r="B14" s="426">
        <v>6</v>
      </c>
      <c r="C14" s="547">
        <v>43985</v>
      </c>
      <c r="D14" s="427" t="s">
        <v>246</v>
      </c>
      <c r="E14" s="548">
        <v>2.7172703166408931</v>
      </c>
      <c r="F14" s="549" t="s">
        <v>240</v>
      </c>
      <c r="G14" s="428">
        <v>2</v>
      </c>
      <c r="N14" s="388">
        <v>15648</v>
      </c>
    </row>
    <row r="15" spans="1:14" ht="18.75" customHeight="1">
      <c r="A15" s="546" t="s">
        <v>238</v>
      </c>
      <c r="B15" s="426">
        <v>7</v>
      </c>
      <c r="C15" s="547">
        <v>43992</v>
      </c>
      <c r="D15" s="427" t="s">
        <v>239</v>
      </c>
      <c r="E15" s="548">
        <v>0.76196803612685282</v>
      </c>
      <c r="F15" s="550" t="s">
        <v>240</v>
      </c>
      <c r="G15" s="428">
        <v>6</v>
      </c>
      <c r="N15" s="388">
        <v>972</v>
      </c>
    </row>
    <row r="16" spans="1:14" ht="14.25" customHeight="1">
      <c r="A16" s="546" t="s">
        <v>247</v>
      </c>
      <c r="B16" s="426">
        <v>8</v>
      </c>
      <c r="C16" s="547">
        <v>43992</v>
      </c>
      <c r="D16" s="427" t="s">
        <v>239</v>
      </c>
      <c r="E16" s="548">
        <v>5.3595040000000003</v>
      </c>
      <c r="F16" s="550" t="s">
        <v>240</v>
      </c>
      <c r="G16" s="428">
        <v>2</v>
      </c>
    </row>
    <row r="17" spans="1:7" ht="14.25" customHeight="1">
      <c r="A17" s="546" t="s">
        <v>248</v>
      </c>
      <c r="B17" s="426">
        <v>9</v>
      </c>
      <c r="C17" s="547">
        <v>43992</v>
      </c>
      <c r="D17" s="427" t="s">
        <v>239</v>
      </c>
      <c r="E17" s="551">
        <v>0.43282929999999997</v>
      </c>
      <c r="F17" s="550" t="s">
        <v>240</v>
      </c>
      <c r="G17" s="428">
        <v>2</v>
      </c>
    </row>
    <row r="18" spans="1:7" ht="14.25" customHeight="1">
      <c r="A18" s="552" t="s">
        <v>238</v>
      </c>
      <c r="B18" s="426">
        <v>10</v>
      </c>
      <c r="C18" s="553">
        <v>44004</v>
      </c>
      <c r="D18" s="427" t="s">
        <v>239</v>
      </c>
      <c r="E18" s="551">
        <v>0.75432594725687063</v>
      </c>
      <c r="F18" s="550" t="s">
        <v>249</v>
      </c>
      <c r="G18" s="428">
        <v>8</v>
      </c>
    </row>
    <row r="19" spans="1:7" ht="14.25" customHeight="1">
      <c r="A19" s="546" t="s">
        <v>247</v>
      </c>
      <c r="B19" s="426">
        <v>11</v>
      </c>
      <c r="C19" s="553">
        <v>44004</v>
      </c>
      <c r="D19" s="427" t="s">
        <v>239</v>
      </c>
      <c r="E19" s="548">
        <v>1.43</v>
      </c>
      <c r="F19" s="550" t="s">
        <v>249</v>
      </c>
      <c r="G19" s="428">
        <v>4</v>
      </c>
    </row>
    <row r="20" spans="1:7" ht="14.25" customHeight="1">
      <c r="A20" s="546" t="s">
        <v>248</v>
      </c>
      <c r="B20" s="426">
        <v>12</v>
      </c>
      <c r="C20" s="553">
        <v>44004</v>
      </c>
      <c r="D20" s="427" t="s">
        <v>239</v>
      </c>
      <c r="E20" s="548">
        <v>0.28000000000000003</v>
      </c>
      <c r="F20" s="550" t="s">
        <v>249</v>
      </c>
      <c r="G20" s="428">
        <v>4</v>
      </c>
    </row>
    <row r="21" spans="1:7" ht="14.25" customHeight="1">
      <c r="A21" s="546" t="s">
        <v>238</v>
      </c>
      <c r="B21" s="426">
        <v>13</v>
      </c>
      <c r="C21" s="553">
        <v>44020</v>
      </c>
      <c r="D21" s="427" t="s">
        <v>239</v>
      </c>
      <c r="E21" s="548">
        <v>2.4777615653257274E-2</v>
      </c>
      <c r="F21" s="550" t="s">
        <v>250</v>
      </c>
      <c r="G21" s="428">
        <v>10</v>
      </c>
    </row>
    <row r="22" spans="1:7" ht="14.25" customHeight="1">
      <c r="A22" s="546" t="s">
        <v>247</v>
      </c>
      <c r="B22" s="426">
        <v>14</v>
      </c>
      <c r="C22" s="553">
        <v>44020</v>
      </c>
      <c r="D22" s="427" t="s">
        <v>239</v>
      </c>
      <c r="E22" s="548">
        <v>1.92</v>
      </c>
      <c r="F22" s="550" t="s">
        <v>250</v>
      </c>
      <c r="G22" s="428">
        <v>6</v>
      </c>
    </row>
    <row r="23" spans="1:7" ht="14.25" customHeight="1">
      <c r="A23" s="546" t="s">
        <v>238</v>
      </c>
      <c r="B23" s="426">
        <v>15</v>
      </c>
      <c r="C23" s="553">
        <v>44021</v>
      </c>
      <c r="D23" s="427" t="s">
        <v>239</v>
      </c>
      <c r="E23" s="548">
        <v>0.65303222578993159</v>
      </c>
      <c r="F23" s="550" t="s">
        <v>240</v>
      </c>
      <c r="G23" s="428">
        <v>12</v>
      </c>
    </row>
    <row r="24" spans="1:7" ht="14.25" customHeight="1">
      <c r="A24" s="546" t="s">
        <v>241</v>
      </c>
      <c r="B24" s="426">
        <v>16</v>
      </c>
      <c r="C24" s="553">
        <v>44022</v>
      </c>
      <c r="D24" s="427" t="s">
        <v>242</v>
      </c>
      <c r="E24" s="548">
        <v>0.17615686920676604</v>
      </c>
      <c r="F24" s="550" t="s">
        <v>240</v>
      </c>
      <c r="G24" s="428">
        <v>6</v>
      </c>
    </row>
    <row r="25" spans="1:7" ht="14.25" customHeight="1">
      <c r="A25" s="546" t="s">
        <v>245</v>
      </c>
      <c r="B25" s="426">
        <v>17</v>
      </c>
      <c r="C25" s="553">
        <v>44022</v>
      </c>
      <c r="D25" s="427" t="s">
        <v>246</v>
      </c>
      <c r="E25" s="548">
        <v>3.5406663068488209</v>
      </c>
      <c r="F25" s="550" t="s">
        <v>240</v>
      </c>
      <c r="G25" s="428">
        <v>4</v>
      </c>
    </row>
    <row r="26" spans="1:7" ht="14.25" customHeight="1">
      <c r="A26" s="546" t="s">
        <v>241</v>
      </c>
      <c r="B26" s="426">
        <v>18</v>
      </c>
      <c r="C26" s="553">
        <v>44025</v>
      </c>
      <c r="D26" s="427" t="s">
        <v>242</v>
      </c>
      <c r="E26" s="548">
        <v>0.20266879308888952</v>
      </c>
      <c r="F26" s="550" t="s">
        <v>240</v>
      </c>
      <c r="G26" s="428">
        <v>8</v>
      </c>
    </row>
    <row r="27" spans="1:7" ht="14.25" customHeight="1">
      <c r="A27" s="546" t="s">
        <v>245</v>
      </c>
      <c r="B27" s="426">
        <v>19</v>
      </c>
      <c r="C27" s="553">
        <v>44025</v>
      </c>
      <c r="D27" s="427" t="s">
        <v>246</v>
      </c>
      <c r="E27" s="548">
        <v>3.7652464934783172</v>
      </c>
      <c r="F27" s="550" t="s">
        <v>240</v>
      </c>
      <c r="G27" s="428">
        <v>6</v>
      </c>
    </row>
    <row r="28" spans="1:7" ht="14.25" customHeight="1">
      <c r="A28" s="546" t="s">
        <v>238</v>
      </c>
      <c r="B28" s="426">
        <v>20</v>
      </c>
      <c r="C28" s="553">
        <v>44022</v>
      </c>
      <c r="D28" s="427" t="s">
        <v>239</v>
      </c>
      <c r="E28" s="548">
        <v>0.65421572469126477</v>
      </c>
      <c r="F28" s="550" t="s">
        <v>240</v>
      </c>
      <c r="G28" s="428">
        <v>14</v>
      </c>
    </row>
    <row r="29" spans="1:7" ht="14.25" customHeight="1">
      <c r="A29" s="546" t="s">
        <v>247</v>
      </c>
      <c r="B29" s="426">
        <v>21</v>
      </c>
      <c r="C29" s="553">
        <v>44021</v>
      </c>
      <c r="D29" s="427" t="s">
        <v>239</v>
      </c>
      <c r="E29" s="548">
        <v>2.3199999999999998</v>
      </c>
      <c r="F29" s="550" t="s">
        <v>240</v>
      </c>
      <c r="G29" s="428">
        <v>8</v>
      </c>
    </row>
    <row r="30" spans="1:7" ht="14.25" customHeight="1">
      <c r="A30" s="546" t="s">
        <v>248</v>
      </c>
      <c r="B30" s="426">
        <v>22</v>
      </c>
      <c r="C30" s="553">
        <v>44021</v>
      </c>
      <c r="D30" s="427" t="s">
        <v>239</v>
      </c>
      <c r="E30" s="548">
        <v>0.55000000000000004</v>
      </c>
      <c r="F30" s="550" t="s">
        <v>240</v>
      </c>
      <c r="G30" s="428">
        <v>6</v>
      </c>
    </row>
    <row r="31" spans="1:7" ht="14.25" customHeight="1">
      <c r="A31" s="546" t="s">
        <v>247</v>
      </c>
      <c r="B31" s="426">
        <v>23</v>
      </c>
      <c r="C31" s="553">
        <v>44022</v>
      </c>
      <c r="D31" s="427" t="s">
        <v>239</v>
      </c>
      <c r="E31" s="548">
        <v>4.8499999999999996</v>
      </c>
      <c r="F31" s="550" t="s">
        <v>240</v>
      </c>
      <c r="G31" s="428">
        <v>10</v>
      </c>
    </row>
    <row r="32" spans="1:7" ht="14.25" customHeight="1">
      <c r="A32" s="546" t="s">
        <v>248</v>
      </c>
      <c r="B32" s="426">
        <v>24</v>
      </c>
      <c r="C32" s="553">
        <v>44022</v>
      </c>
      <c r="D32" s="427" t="s">
        <v>239</v>
      </c>
      <c r="E32" s="548">
        <v>0.56000000000000005</v>
      </c>
      <c r="F32" s="550" t="s">
        <v>240</v>
      </c>
      <c r="G32" s="428">
        <v>8</v>
      </c>
    </row>
    <row r="33" spans="1:7" ht="14.25" customHeight="1">
      <c r="A33" s="546" t="s">
        <v>248</v>
      </c>
      <c r="B33" s="426">
        <v>25</v>
      </c>
      <c r="C33" s="553">
        <v>44023</v>
      </c>
      <c r="D33" s="427" t="s">
        <v>239</v>
      </c>
      <c r="E33" s="548">
        <v>0.61</v>
      </c>
      <c r="F33" s="550" t="s">
        <v>240</v>
      </c>
      <c r="G33" s="428">
        <v>10</v>
      </c>
    </row>
    <row r="34" spans="1:7" ht="14.25" customHeight="1">
      <c r="A34" s="546" t="s">
        <v>247</v>
      </c>
      <c r="B34" s="426">
        <v>26</v>
      </c>
      <c r="C34" s="553">
        <v>44025</v>
      </c>
      <c r="D34" s="427" t="s">
        <v>239</v>
      </c>
      <c r="E34" s="548">
        <v>5.6</v>
      </c>
      <c r="F34" s="550" t="s">
        <v>240</v>
      </c>
      <c r="G34" s="428">
        <v>12</v>
      </c>
    </row>
    <row r="35" spans="1:7" ht="14.25" customHeight="1">
      <c r="A35" s="546" t="s">
        <v>248</v>
      </c>
      <c r="B35" s="426">
        <v>27</v>
      </c>
      <c r="C35" s="553">
        <v>44025</v>
      </c>
      <c r="D35" s="427" t="s">
        <v>239</v>
      </c>
      <c r="E35" s="548">
        <v>0.67</v>
      </c>
      <c r="F35" s="550" t="s">
        <v>240</v>
      </c>
      <c r="G35" s="428">
        <v>12</v>
      </c>
    </row>
    <row r="36" spans="1:7" ht="14.25" customHeight="1">
      <c r="A36" s="546" t="s">
        <v>247</v>
      </c>
      <c r="B36" s="426">
        <v>28</v>
      </c>
      <c r="C36" s="553">
        <v>44026</v>
      </c>
      <c r="D36" s="427" t="s">
        <v>239</v>
      </c>
      <c r="E36" s="548">
        <v>3.75</v>
      </c>
      <c r="F36" s="550" t="s">
        <v>240</v>
      </c>
      <c r="G36" s="428">
        <v>14</v>
      </c>
    </row>
    <row r="37" spans="1:7" ht="14.25" customHeight="1">
      <c r="A37" s="546" t="s">
        <v>238</v>
      </c>
      <c r="B37" s="426">
        <v>29</v>
      </c>
      <c r="C37" s="553">
        <v>44025</v>
      </c>
      <c r="D37" s="427" t="s">
        <v>239</v>
      </c>
      <c r="E37" s="548">
        <v>3.2607669166882296</v>
      </c>
      <c r="F37" s="550" t="s">
        <v>240</v>
      </c>
      <c r="G37" s="428">
        <v>16</v>
      </c>
    </row>
    <row r="38" spans="1:7" ht="14.25" customHeight="1">
      <c r="A38" s="546" t="s">
        <v>248</v>
      </c>
      <c r="B38" s="426">
        <v>30</v>
      </c>
      <c r="C38" s="553">
        <v>44026</v>
      </c>
      <c r="D38" s="427" t="s">
        <v>239</v>
      </c>
      <c r="E38" s="548">
        <v>0.53</v>
      </c>
      <c r="F38" s="550" t="s">
        <v>240</v>
      </c>
      <c r="G38" s="428">
        <v>14</v>
      </c>
    </row>
    <row r="39" spans="1:7" ht="14.25" customHeight="1">
      <c r="A39" s="546" t="s">
        <v>238</v>
      </c>
      <c r="B39" s="426">
        <v>31</v>
      </c>
      <c r="C39" s="553">
        <v>44039</v>
      </c>
      <c r="D39" s="427" t="s">
        <v>239</v>
      </c>
      <c r="E39" s="548">
        <v>0.97413929167736746</v>
      </c>
      <c r="F39" s="550" t="s">
        <v>240</v>
      </c>
      <c r="G39" s="428">
        <v>18</v>
      </c>
    </row>
    <row r="40" spans="1:7" ht="14.25" customHeight="1">
      <c r="A40" s="546" t="s">
        <v>238</v>
      </c>
      <c r="B40" s="426">
        <v>32</v>
      </c>
      <c r="C40" s="553">
        <v>44041</v>
      </c>
      <c r="D40" s="427" t="s">
        <v>239</v>
      </c>
      <c r="E40" s="548">
        <v>0.72716369878340181</v>
      </c>
      <c r="F40" s="550" t="s">
        <v>240</v>
      </c>
      <c r="G40" s="428">
        <v>20</v>
      </c>
    </row>
    <row r="41" spans="1:7" ht="14.25" customHeight="1">
      <c r="A41" s="546" t="s">
        <v>238</v>
      </c>
      <c r="B41" s="426">
        <v>33</v>
      </c>
      <c r="C41" s="553">
        <v>44042</v>
      </c>
      <c r="D41" s="427" t="s">
        <v>239</v>
      </c>
      <c r="E41" s="548">
        <v>1.0994028736593646</v>
      </c>
      <c r="F41" s="550" t="s">
        <v>251</v>
      </c>
      <c r="G41" s="428">
        <v>23</v>
      </c>
    </row>
    <row r="42" spans="1:7" ht="14.25" customHeight="1">
      <c r="A42" s="546" t="s">
        <v>238</v>
      </c>
      <c r="B42" s="426">
        <v>34</v>
      </c>
      <c r="C42" s="553">
        <v>44043</v>
      </c>
      <c r="D42" s="427" t="s">
        <v>239</v>
      </c>
      <c r="E42" s="548">
        <v>1.0999705377366087</v>
      </c>
      <c r="F42" s="550" t="s">
        <v>252</v>
      </c>
      <c r="G42" s="428">
        <v>26</v>
      </c>
    </row>
    <row r="43" spans="1:7" ht="14.25" customHeight="1">
      <c r="A43" s="546" t="s">
        <v>243</v>
      </c>
      <c r="B43" s="426">
        <v>35</v>
      </c>
      <c r="C43" s="553">
        <v>44041</v>
      </c>
      <c r="D43" s="427" t="s">
        <v>242</v>
      </c>
      <c r="E43" s="548">
        <v>2.6843261206185931E-3</v>
      </c>
      <c r="F43" s="550" t="s">
        <v>244</v>
      </c>
      <c r="G43" s="428">
        <v>4</v>
      </c>
    </row>
    <row r="44" spans="1:7" ht="14.25" customHeight="1">
      <c r="A44" s="546" t="s">
        <v>241</v>
      </c>
      <c r="B44" s="426">
        <v>36</v>
      </c>
      <c r="C44" s="553">
        <v>44041</v>
      </c>
      <c r="D44" s="427" t="s">
        <v>242</v>
      </c>
      <c r="E44" s="548">
        <v>0.55070926200119596</v>
      </c>
      <c r="F44" s="550" t="s">
        <v>240</v>
      </c>
      <c r="G44" s="428">
        <v>10</v>
      </c>
    </row>
    <row r="45" spans="1:7" ht="14.25" customHeight="1">
      <c r="A45" s="546" t="s">
        <v>245</v>
      </c>
      <c r="B45" s="426">
        <v>37</v>
      </c>
      <c r="C45" s="553">
        <v>44041</v>
      </c>
      <c r="D45" s="427" t="s">
        <v>246</v>
      </c>
      <c r="E45" s="548">
        <v>2.703297743777398</v>
      </c>
      <c r="F45" s="550" t="s">
        <v>240</v>
      </c>
      <c r="G45" s="428">
        <v>8</v>
      </c>
    </row>
    <row r="46" spans="1:7" ht="14.25" customHeight="1">
      <c r="A46" s="546" t="s">
        <v>243</v>
      </c>
      <c r="B46" s="426">
        <v>38</v>
      </c>
      <c r="C46" s="553">
        <v>44042</v>
      </c>
      <c r="D46" s="427" t="s">
        <v>242</v>
      </c>
      <c r="E46" s="548">
        <v>2.9115096920951516E-3</v>
      </c>
      <c r="F46" s="550" t="s">
        <v>244</v>
      </c>
      <c r="G46" s="428">
        <v>6</v>
      </c>
    </row>
    <row r="47" spans="1:7" ht="14.25" customHeight="1">
      <c r="A47" s="546" t="s">
        <v>241</v>
      </c>
      <c r="B47" s="426">
        <v>39</v>
      </c>
      <c r="C47" s="553">
        <v>44042</v>
      </c>
      <c r="D47" s="427" t="s">
        <v>242</v>
      </c>
      <c r="E47" s="548">
        <v>0.40164341113017532</v>
      </c>
      <c r="F47" s="550" t="s">
        <v>253</v>
      </c>
      <c r="G47" s="428">
        <v>14</v>
      </c>
    </row>
    <row r="48" spans="1:7" ht="14.25" customHeight="1">
      <c r="A48" s="546" t="s">
        <v>254</v>
      </c>
      <c r="B48" s="426">
        <v>40</v>
      </c>
      <c r="C48" s="553">
        <v>44042</v>
      </c>
      <c r="D48" s="427" t="s">
        <v>246</v>
      </c>
      <c r="E48" s="548">
        <v>0.70372002846344284</v>
      </c>
      <c r="F48" s="550" t="s">
        <v>244</v>
      </c>
      <c r="G48" s="428">
        <v>2</v>
      </c>
    </row>
    <row r="49" spans="1:7" ht="14.25" customHeight="1">
      <c r="A49" s="546" t="s">
        <v>245</v>
      </c>
      <c r="B49" s="426">
        <v>41</v>
      </c>
      <c r="C49" s="553">
        <v>44042</v>
      </c>
      <c r="D49" s="427" t="s">
        <v>246</v>
      </c>
      <c r="E49" s="548">
        <v>3.527342393988941</v>
      </c>
      <c r="F49" s="550" t="s">
        <v>240</v>
      </c>
      <c r="G49" s="428">
        <v>10</v>
      </c>
    </row>
    <row r="50" spans="1:7" ht="14.25" customHeight="1">
      <c r="A50" s="546" t="s">
        <v>243</v>
      </c>
      <c r="B50" s="426">
        <v>42</v>
      </c>
      <c r="C50" s="553">
        <v>44043</v>
      </c>
      <c r="D50" s="427" t="s">
        <v>242</v>
      </c>
      <c r="E50" s="548">
        <v>4.4469639950471844E-3</v>
      </c>
      <c r="F50" s="550" t="s">
        <v>244</v>
      </c>
      <c r="G50" s="428">
        <v>8</v>
      </c>
    </row>
    <row r="51" spans="1:7" ht="14.25" customHeight="1">
      <c r="A51" s="546" t="s">
        <v>241</v>
      </c>
      <c r="B51" s="426">
        <v>43</v>
      </c>
      <c r="C51" s="553">
        <v>44043</v>
      </c>
      <c r="D51" s="427" t="s">
        <v>242</v>
      </c>
      <c r="E51" s="548">
        <v>0.54681819370628615</v>
      </c>
      <c r="F51" s="550" t="s">
        <v>253</v>
      </c>
      <c r="G51" s="428">
        <v>18</v>
      </c>
    </row>
    <row r="52" spans="1:7" ht="14.25" customHeight="1">
      <c r="A52" s="546" t="s">
        <v>254</v>
      </c>
      <c r="B52" s="426">
        <v>44</v>
      </c>
      <c r="C52" s="553">
        <v>44043</v>
      </c>
      <c r="D52" s="427" t="s">
        <v>246</v>
      </c>
      <c r="E52" s="548">
        <v>0.50598413843733492</v>
      </c>
      <c r="F52" s="550" t="s">
        <v>244</v>
      </c>
      <c r="G52" s="428">
        <v>4</v>
      </c>
    </row>
    <row r="53" spans="1:7" ht="14.25" customHeight="1">
      <c r="A53" s="546" t="s">
        <v>245</v>
      </c>
      <c r="B53" s="426">
        <v>45</v>
      </c>
      <c r="C53" s="553">
        <v>44043</v>
      </c>
      <c r="D53" s="427" t="s">
        <v>246</v>
      </c>
      <c r="E53" s="548">
        <v>3.7953297506686328</v>
      </c>
      <c r="F53" s="550" t="s">
        <v>240</v>
      </c>
      <c r="G53" s="428">
        <v>12</v>
      </c>
    </row>
    <row r="54" spans="1:7" ht="14.25" customHeight="1">
      <c r="A54" s="546" t="s">
        <v>247</v>
      </c>
      <c r="B54" s="426">
        <v>46</v>
      </c>
      <c r="C54" s="553">
        <v>44041</v>
      </c>
      <c r="D54" s="427" t="s">
        <v>239</v>
      </c>
      <c r="E54" s="548">
        <v>2.6</v>
      </c>
      <c r="F54" s="550" t="s">
        <v>240</v>
      </c>
      <c r="G54" s="428">
        <v>16</v>
      </c>
    </row>
    <row r="55" spans="1:7" ht="14.25" customHeight="1">
      <c r="A55" s="546" t="s">
        <v>248</v>
      </c>
      <c r="B55" s="426">
        <v>47</v>
      </c>
      <c r="C55" s="553">
        <v>44041</v>
      </c>
      <c r="D55" s="427" t="s">
        <v>239</v>
      </c>
      <c r="E55" s="548">
        <v>0.31900000000000001</v>
      </c>
      <c r="F55" s="550" t="s">
        <v>240</v>
      </c>
      <c r="G55" s="428">
        <v>16</v>
      </c>
    </row>
    <row r="56" spans="1:7" ht="14.25" customHeight="1">
      <c r="A56" s="546" t="s">
        <v>247</v>
      </c>
      <c r="B56" s="426">
        <v>48</v>
      </c>
      <c r="C56" s="553">
        <v>44042</v>
      </c>
      <c r="D56" s="427" t="s">
        <v>239</v>
      </c>
      <c r="E56" s="548">
        <v>3.21</v>
      </c>
      <c r="F56" s="550" t="s">
        <v>251</v>
      </c>
      <c r="G56" s="428">
        <v>19</v>
      </c>
    </row>
    <row r="57" spans="1:7" ht="14.25" customHeight="1">
      <c r="A57" s="546" t="s">
        <v>248</v>
      </c>
      <c r="B57" s="426">
        <v>49</v>
      </c>
      <c r="C57" s="553">
        <v>44042</v>
      </c>
      <c r="D57" s="427" t="s">
        <v>239</v>
      </c>
      <c r="E57" s="548">
        <v>0.24299999999999999</v>
      </c>
      <c r="F57" s="550" t="s">
        <v>251</v>
      </c>
      <c r="G57" s="428">
        <v>19</v>
      </c>
    </row>
    <row r="58" spans="1:7" ht="14.25" customHeight="1">
      <c r="A58" s="546" t="s">
        <v>247</v>
      </c>
      <c r="B58" s="426">
        <v>50</v>
      </c>
      <c r="C58" s="553">
        <v>44043</v>
      </c>
      <c r="D58" s="427" t="s">
        <v>239</v>
      </c>
      <c r="E58" s="548">
        <v>4.08</v>
      </c>
      <c r="F58" s="550" t="s">
        <v>252</v>
      </c>
      <c r="G58" s="428">
        <v>22</v>
      </c>
    </row>
    <row r="59" spans="1:7" ht="14.25" customHeight="1">
      <c r="A59" s="546" t="s">
        <v>248</v>
      </c>
      <c r="B59" s="426">
        <v>51</v>
      </c>
      <c r="C59" s="553">
        <v>44043</v>
      </c>
      <c r="D59" s="427" t="s">
        <v>239</v>
      </c>
      <c r="E59" s="548">
        <v>0.61099999999999999</v>
      </c>
      <c r="F59" s="550" t="s">
        <v>252</v>
      </c>
      <c r="G59" s="428">
        <v>22</v>
      </c>
    </row>
    <row r="60" spans="1:7" ht="14.25" customHeight="1">
      <c r="A60" s="546" t="s">
        <v>247</v>
      </c>
      <c r="B60" s="426">
        <v>52</v>
      </c>
      <c r="C60" s="553">
        <v>44046</v>
      </c>
      <c r="D60" s="427" t="s">
        <v>239</v>
      </c>
      <c r="E60" s="548">
        <v>3.35</v>
      </c>
      <c r="F60" s="550" t="s">
        <v>240</v>
      </c>
      <c r="G60" s="428">
        <v>24</v>
      </c>
    </row>
    <row r="61" spans="1:7" ht="14.25" customHeight="1">
      <c r="A61" s="546" t="s">
        <v>248</v>
      </c>
      <c r="B61" s="426">
        <v>53</v>
      </c>
      <c r="C61" s="553">
        <v>44046</v>
      </c>
      <c r="D61" s="427" t="s">
        <v>239</v>
      </c>
      <c r="E61" s="548">
        <v>0.44</v>
      </c>
      <c r="F61" s="550" t="s">
        <v>240</v>
      </c>
      <c r="G61" s="428">
        <v>24</v>
      </c>
    </row>
    <row r="62" spans="1:7" ht="14.25" customHeight="1">
      <c r="A62" s="546" t="s">
        <v>241</v>
      </c>
      <c r="B62" s="426">
        <v>54</v>
      </c>
      <c r="C62" s="553">
        <v>44046</v>
      </c>
      <c r="D62" s="427" t="s">
        <v>242</v>
      </c>
      <c r="E62" s="548">
        <v>0.60808243104481741</v>
      </c>
      <c r="F62" s="550" t="s">
        <v>240</v>
      </c>
      <c r="G62" s="428">
        <v>20</v>
      </c>
    </row>
    <row r="63" spans="1:7" ht="14.25" customHeight="1">
      <c r="A63" s="546" t="s">
        <v>238</v>
      </c>
      <c r="B63" s="426">
        <v>55</v>
      </c>
      <c r="C63" s="553">
        <v>44057</v>
      </c>
      <c r="D63" s="427" t="s">
        <v>239</v>
      </c>
      <c r="E63" s="548">
        <v>2.854380904572813</v>
      </c>
      <c r="F63" s="550" t="s">
        <v>253</v>
      </c>
      <c r="G63" s="428">
        <v>30</v>
      </c>
    </row>
    <row r="64" spans="1:7" ht="14.25" customHeight="1">
      <c r="A64" s="546" t="s">
        <v>247</v>
      </c>
      <c r="B64" s="426">
        <v>56</v>
      </c>
      <c r="C64" s="553">
        <v>44057</v>
      </c>
      <c r="D64" s="427" t="s">
        <v>239</v>
      </c>
      <c r="E64" s="548">
        <v>5.16</v>
      </c>
      <c r="F64" s="550" t="s">
        <v>253</v>
      </c>
      <c r="G64" s="428">
        <v>28</v>
      </c>
    </row>
    <row r="65" spans="1:7" ht="14.25" customHeight="1">
      <c r="A65" s="546" t="s">
        <v>248</v>
      </c>
      <c r="B65" s="426">
        <v>57</v>
      </c>
      <c r="C65" s="553">
        <v>44057</v>
      </c>
      <c r="D65" s="427" t="s">
        <v>239</v>
      </c>
      <c r="E65" s="548">
        <v>2.06</v>
      </c>
      <c r="F65" s="550" t="s">
        <v>253</v>
      </c>
      <c r="G65" s="428">
        <v>28</v>
      </c>
    </row>
    <row r="66" spans="1:7" ht="14.25" customHeight="1">
      <c r="A66" s="546" t="s">
        <v>110</v>
      </c>
      <c r="B66" s="426">
        <v>58</v>
      </c>
      <c r="C66" s="553" t="s">
        <v>340</v>
      </c>
      <c r="D66" s="427" t="s">
        <v>341</v>
      </c>
      <c r="E66" s="548">
        <v>0.38195510546671452</v>
      </c>
      <c r="F66" s="550" t="s">
        <v>240</v>
      </c>
      <c r="G66" s="428">
        <v>2</v>
      </c>
    </row>
    <row r="67" spans="1:7" ht="14.25" customHeight="1">
      <c r="A67" s="546" t="s">
        <v>238</v>
      </c>
      <c r="B67" s="426">
        <v>59</v>
      </c>
      <c r="C67" s="553">
        <v>44060</v>
      </c>
      <c r="D67" s="427" t="s">
        <v>341</v>
      </c>
      <c r="E67" s="548">
        <v>3.9877592062911527</v>
      </c>
      <c r="F67" s="550" t="s">
        <v>252</v>
      </c>
      <c r="G67" s="428">
        <v>33</v>
      </c>
    </row>
    <row r="68" spans="1:7" ht="14.25" customHeight="1">
      <c r="A68" s="546" t="s">
        <v>247</v>
      </c>
      <c r="B68" s="426">
        <v>60</v>
      </c>
      <c r="C68" s="553">
        <v>44060</v>
      </c>
      <c r="D68" s="427" t="s">
        <v>341</v>
      </c>
      <c r="E68" s="548">
        <v>5.42</v>
      </c>
      <c r="F68" s="550" t="s">
        <v>252</v>
      </c>
      <c r="G68" s="428">
        <v>31</v>
      </c>
    </row>
    <row r="69" spans="1:7" ht="14.25" customHeight="1">
      <c r="A69" s="546" t="s">
        <v>248</v>
      </c>
      <c r="B69" s="426">
        <v>61</v>
      </c>
      <c r="C69" s="553">
        <v>44060</v>
      </c>
      <c r="D69" s="427" t="s">
        <v>341</v>
      </c>
      <c r="E69" s="548">
        <v>0.68</v>
      </c>
      <c r="F69" s="550" t="s">
        <v>252</v>
      </c>
      <c r="G69" s="428">
        <v>31</v>
      </c>
    </row>
    <row r="70" spans="1:7" ht="14.25" customHeight="1">
      <c r="A70" s="546" t="s">
        <v>110</v>
      </c>
      <c r="B70" s="426">
        <v>62</v>
      </c>
      <c r="C70" s="553">
        <v>44060</v>
      </c>
      <c r="D70" s="427" t="s">
        <v>341</v>
      </c>
      <c r="E70" s="548">
        <v>0.66040757306299658</v>
      </c>
      <c r="F70" s="550" t="s">
        <v>342</v>
      </c>
      <c r="G70" s="428">
        <v>4</v>
      </c>
    </row>
    <row r="71" spans="1:7" ht="14.25" customHeight="1">
      <c r="A71" s="546" t="s">
        <v>110</v>
      </c>
      <c r="B71" s="426">
        <v>63</v>
      </c>
      <c r="C71" s="553">
        <v>44061</v>
      </c>
      <c r="D71" s="427" t="s">
        <v>341</v>
      </c>
      <c r="E71" s="548">
        <v>8.4315267929227278E-2</v>
      </c>
      <c r="F71" s="550" t="s">
        <v>343</v>
      </c>
      <c r="G71" s="428">
        <v>5</v>
      </c>
    </row>
    <row r="72" spans="1:7" ht="14.25" customHeight="1">
      <c r="A72" s="546" t="s">
        <v>247</v>
      </c>
      <c r="B72" s="426">
        <v>64</v>
      </c>
      <c r="C72" s="553">
        <v>44061</v>
      </c>
      <c r="D72" s="427" t="s">
        <v>341</v>
      </c>
      <c r="E72" s="548">
        <v>6.07</v>
      </c>
      <c r="F72" s="550" t="s">
        <v>344</v>
      </c>
      <c r="G72" s="428">
        <v>35</v>
      </c>
    </row>
    <row r="73" spans="1:7" ht="14.25" customHeight="1">
      <c r="A73" s="546" t="s">
        <v>248</v>
      </c>
      <c r="B73" s="426">
        <v>65</v>
      </c>
      <c r="C73" s="553">
        <v>44061</v>
      </c>
      <c r="D73" s="427" t="s">
        <v>341</v>
      </c>
      <c r="E73" s="548">
        <v>1.0900000000000001</v>
      </c>
      <c r="F73" s="550" t="s">
        <v>344</v>
      </c>
      <c r="G73" s="428">
        <v>35</v>
      </c>
    </row>
    <row r="74" spans="1:7" ht="14.25" customHeight="1">
      <c r="A74" s="546" t="s">
        <v>243</v>
      </c>
      <c r="B74" s="426">
        <v>66</v>
      </c>
      <c r="C74" s="553">
        <v>44057</v>
      </c>
      <c r="D74" s="427" t="s">
        <v>341</v>
      </c>
      <c r="E74" s="548">
        <v>3.5143935297968199E-3</v>
      </c>
      <c r="F74" s="550" t="s">
        <v>342</v>
      </c>
      <c r="G74" s="428">
        <v>12</v>
      </c>
    </row>
    <row r="75" spans="1:7" ht="14.25" customHeight="1">
      <c r="A75" s="546" t="s">
        <v>241</v>
      </c>
      <c r="B75" s="426">
        <v>67</v>
      </c>
      <c r="C75" s="553">
        <v>44057</v>
      </c>
      <c r="D75" s="427" t="s">
        <v>341</v>
      </c>
      <c r="E75" s="548">
        <v>0.48305746408342076</v>
      </c>
      <c r="F75" s="550" t="s">
        <v>253</v>
      </c>
      <c r="G75" s="428">
        <v>24</v>
      </c>
    </row>
    <row r="76" spans="1:7" ht="14.25" customHeight="1">
      <c r="A76" s="546" t="s">
        <v>254</v>
      </c>
      <c r="B76" s="426">
        <v>68</v>
      </c>
      <c r="C76" s="553">
        <v>44057</v>
      </c>
      <c r="D76" s="427" t="s">
        <v>341</v>
      </c>
      <c r="E76" s="548">
        <v>0.3403662971957826</v>
      </c>
      <c r="F76" s="550" t="s">
        <v>342</v>
      </c>
      <c r="G76" s="428">
        <v>8</v>
      </c>
    </row>
    <row r="77" spans="1:7" ht="14.25" customHeight="1">
      <c r="A77" s="546" t="s">
        <v>245</v>
      </c>
      <c r="B77" s="426">
        <v>69</v>
      </c>
      <c r="C77" s="553">
        <v>44057</v>
      </c>
      <c r="D77" s="427" t="s">
        <v>341</v>
      </c>
      <c r="E77" s="548">
        <v>3.532358817103546</v>
      </c>
      <c r="F77" s="550" t="s">
        <v>253</v>
      </c>
      <c r="G77" s="428">
        <v>16</v>
      </c>
    </row>
    <row r="78" spans="1:7" ht="14.25" customHeight="1">
      <c r="A78" s="546" t="s">
        <v>243</v>
      </c>
      <c r="B78" s="426">
        <v>70</v>
      </c>
      <c r="C78" s="553">
        <v>44060</v>
      </c>
      <c r="D78" s="427" t="s">
        <v>341</v>
      </c>
      <c r="E78" s="548">
        <v>8.1305630342868723E-3</v>
      </c>
      <c r="F78" s="550" t="s">
        <v>342</v>
      </c>
      <c r="G78" s="428">
        <v>16</v>
      </c>
    </row>
    <row r="79" spans="1:7" ht="14.25" customHeight="1">
      <c r="A79" s="546" t="s">
        <v>241</v>
      </c>
      <c r="B79" s="426">
        <v>71</v>
      </c>
      <c r="C79" s="553">
        <v>44060</v>
      </c>
      <c r="D79" s="427" t="s">
        <v>341</v>
      </c>
      <c r="E79" s="548">
        <v>0.62492629135757327</v>
      </c>
      <c r="F79" s="550" t="s">
        <v>344</v>
      </c>
      <c r="G79" s="428">
        <v>28</v>
      </c>
    </row>
    <row r="80" spans="1:7" ht="14.25" customHeight="1">
      <c r="A80" s="546" t="s">
        <v>254</v>
      </c>
      <c r="B80" s="426">
        <v>72</v>
      </c>
      <c r="C80" s="553">
        <v>44060</v>
      </c>
      <c r="D80" s="427" t="s">
        <v>341</v>
      </c>
      <c r="E80" s="548">
        <v>0.59533208561115791</v>
      </c>
      <c r="F80" s="550" t="s">
        <v>342</v>
      </c>
      <c r="G80" s="428">
        <v>12</v>
      </c>
    </row>
    <row r="81" spans="1:7" ht="14.25" customHeight="1">
      <c r="A81" s="546" t="s">
        <v>245</v>
      </c>
      <c r="B81" s="426">
        <v>73</v>
      </c>
      <c r="C81" s="553">
        <v>44060</v>
      </c>
      <c r="D81" s="427" t="s">
        <v>341</v>
      </c>
      <c r="E81" s="548">
        <v>3.6070562349959765</v>
      </c>
      <c r="F81" s="550" t="s">
        <v>344</v>
      </c>
      <c r="G81" s="428">
        <v>20</v>
      </c>
    </row>
    <row r="82" spans="1:7" ht="14.25" customHeight="1">
      <c r="A82" s="546" t="s">
        <v>243</v>
      </c>
      <c r="B82" s="426">
        <v>74</v>
      </c>
      <c r="C82" s="553">
        <v>44061</v>
      </c>
      <c r="D82" s="427" t="s">
        <v>341</v>
      </c>
      <c r="E82" s="548">
        <v>-1.1943753209084676E-2</v>
      </c>
      <c r="F82" s="550" t="s">
        <v>342</v>
      </c>
      <c r="G82" s="428">
        <v>20</v>
      </c>
    </row>
    <row r="83" spans="1:7" ht="14.25" customHeight="1">
      <c r="A83" s="546" t="s">
        <v>241</v>
      </c>
      <c r="B83" s="426">
        <v>75</v>
      </c>
      <c r="C83" s="553">
        <v>44061</v>
      </c>
      <c r="D83" s="427" t="s">
        <v>341</v>
      </c>
      <c r="E83" s="548">
        <v>0.87264148782305384</v>
      </c>
      <c r="F83" s="550" t="s">
        <v>344</v>
      </c>
      <c r="G83" s="428">
        <v>32</v>
      </c>
    </row>
    <row r="84" spans="1:7" ht="14.25" customHeight="1">
      <c r="A84" s="546" t="s">
        <v>254</v>
      </c>
      <c r="B84" s="426">
        <v>76</v>
      </c>
      <c r="C84" s="553">
        <v>44061</v>
      </c>
      <c r="D84" s="427" t="s">
        <v>341</v>
      </c>
      <c r="E84" s="548">
        <v>0.81466310967002842</v>
      </c>
      <c r="F84" s="550" t="s">
        <v>342</v>
      </c>
      <c r="G84" s="428">
        <v>16</v>
      </c>
    </row>
    <row r="85" spans="1:7" ht="14.25" customHeight="1">
      <c r="A85" s="546" t="s">
        <v>245</v>
      </c>
      <c r="B85" s="426">
        <v>77</v>
      </c>
      <c r="C85" s="553">
        <v>44061</v>
      </c>
      <c r="D85" s="427" t="s">
        <v>341</v>
      </c>
      <c r="E85" s="548">
        <v>3.7440282784266508</v>
      </c>
      <c r="F85" s="550" t="s">
        <v>344</v>
      </c>
      <c r="G85" s="428">
        <v>24</v>
      </c>
    </row>
    <row r="86" spans="1:7" ht="14.25" customHeight="1">
      <c r="A86" s="546" t="s">
        <v>243</v>
      </c>
      <c r="B86" s="426">
        <v>78</v>
      </c>
      <c r="C86" s="553">
        <v>44062</v>
      </c>
      <c r="D86" s="427" t="s">
        <v>341</v>
      </c>
      <c r="E86" s="548">
        <v>-2.1560799552101249E-2</v>
      </c>
      <c r="F86" s="550" t="s">
        <v>342</v>
      </c>
      <c r="G86" s="428">
        <v>24</v>
      </c>
    </row>
    <row r="87" spans="1:7" ht="14.25" customHeight="1">
      <c r="A87" s="546" t="s">
        <v>241</v>
      </c>
      <c r="B87" s="426">
        <v>79</v>
      </c>
      <c r="C87" s="553">
        <v>44062</v>
      </c>
      <c r="D87" s="427" t="s">
        <v>341</v>
      </c>
      <c r="E87" s="548">
        <v>0.67758894843754369</v>
      </c>
      <c r="F87" s="550" t="s">
        <v>253</v>
      </c>
      <c r="G87" s="428">
        <v>36</v>
      </c>
    </row>
    <row r="88" spans="1:7" ht="14.25" customHeight="1">
      <c r="A88" s="546" t="s">
        <v>254</v>
      </c>
      <c r="B88" s="426">
        <v>80</v>
      </c>
      <c r="C88" s="553">
        <v>44062</v>
      </c>
      <c r="D88" s="427" t="s">
        <v>341</v>
      </c>
      <c r="E88" s="548">
        <v>0.74744128225655659</v>
      </c>
      <c r="F88" s="550" t="s">
        <v>342</v>
      </c>
      <c r="G88" s="428">
        <v>20</v>
      </c>
    </row>
    <row r="89" spans="1:7" ht="14.25" customHeight="1">
      <c r="A89" s="546" t="s">
        <v>245</v>
      </c>
      <c r="B89" s="426">
        <v>81</v>
      </c>
      <c r="C89" s="553">
        <v>44062</v>
      </c>
      <c r="D89" s="427" t="s">
        <v>341</v>
      </c>
      <c r="E89" s="548">
        <v>3.8289650431384628</v>
      </c>
      <c r="F89" s="550" t="s">
        <v>253</v>
      </c>
      <c r="G89" s="428">
        <v>28</v>
      </c>
    </row>
    <row r="90" spans="1:7" ht="14.25" customHeight="1">
      <c r="A90" s="546" t="s">
        <v>110</v>
      </c>
      <c r="B90" s="426">
        <v>82</v>
      </c>
      <c r="C90" s="553">
        <v>44062</v>
      </c>
      <c r="D90" s="427" t="s">
        <v>341</v>
      </c>
      <c r="E90" s="548">
        <v>0.30467900223224464</v>
      </c>
      <c r="F90" s="550" t="s">
        <v>240</v>
      </c>
      <c r="G90" s="428">
        <v>7</v>
      </c>
    </row>
    <row r="91" spans="1:7" ht="14.25" customHeight="1">
      <c r="A91" s="546" t="s">
        <v>238</v>
      </c>
      <c r="B91" s="426">
        <v>83</v>
      </c>
      <c r="C91" s="553">
        <v>44061</v>
      </c>
      <c r="D91" s="427" t="s">
        <v>341</v>
      </c>
      <c r="E91" s="548">
        <v>8.0637723870852867</v>
      </c>
      <c r="F91" s="550" t="s">
        <v>344</v>
      </c>
      <c r="G91" s="428">
        <v>37</v>
      </c>
    </row>
    <row r="92" spans="1:7" ht="14.25" customHeight="1">
      <c r="A92" s="546" t="s">
        <v>238</v>
      </c>
      <c r="B92" s="426">
        <v>84</v>
      </c>
      <c r="C92" s="553">
        <v>44062</v>
      </c>
      <c r="D92" s="427" t="s">
        <v>341</v>
      </c>
      <c r="E92" s="548">
        <v>4.6379533259022585</v>
      </c>
      <c r="F92" s="550" t="s">
        <v>240</v>
      </c>
      <c r="G92" s="428">
        <v>39</v>
      </c>
    </row>
    <row r="93" spans="1:7" ht="14.25" customHeight="1">
      <c r="A93" s="546" t="s">
        <v>247</v>
      </c>
      <c r="B93" s="426">
        <v>85</v>
      </c>
      <c r="C93" s="553">
        <v>44062</v>
      </c>
      <c r="D93" s="427" t="s">
        <v>341</v>
      </c>
      <c r="E93" s="548">
        <v>6.44</v>
      </c>
      <c r="F93" s="550" t="s">
        <v>240</v>
      </c>
      <c r="G93" s="428">
        <v>37</v>
      </c>
    </row>
    <row r="94" spans="1:7" ht="14.25" customHeight="1">
      <c r="A94" s="546" t="s">
        <v>248</v>
      </c>
      <c r="B94" s="426">
        <v>86</v>
      </c>
      <c r="C94" s="553">
        <v>44062</v>
      </c>
      <c r="D94" s="427" t="s">
        <v>341</v>
      </c>
      <c r="E94" s="548">
        <v>0.83</v>
      </c>
      <c r="F94" s="550" t="s">
        <v>240</v>
      </c>
      <c r="G94" s="428">
        <v>37</v>
      </c>
    </row>
    <row r="95" spans="1:7" ht="14.25" customHeight="1">
      <c r="A95" s="546" t="s">
        <v>238</v>
      </c>
      <c r="B95" s="426">
        <v>87</v>
      </c>
      <c r="C95" s="553">
        <v>44064</v>
      </c>
      <c r="D95" s="427" t="s">
        <v>341</v>
      </c>
      <c r="E95" s="548">
        <v>4.2462326480807189</v>
      </c>
      <c r="F95" s="550" t="s">
        <v>240</v>
      </c>
      <c r="G95" s="428">
        <v>41</v>
      </c>
    </row>
    <row r="96" spans="1:7" ht="14.25" customHeight="1">
      <c r="A96" s="546" t="s">
        <v>110</v>
      </c>
      <c r="B96" s="426">
        <v>88</v>
      </c>
      <c r="C96" s="553">
        <v>44063</v>
      </c>
      <c r="D96" s="427" t="s">
        <v>341</v>
      </c>
      <c r="E96" s="548">
        <v>0.25115609125783694</v>
      </c>
      <c r="F96" s="550" t="s">
        <v>240</v>
      </c>
      <c r="G96" s="428">
        <v>9</v>
      </c>
    </row>
    <row r="97" spans="1:7" ht="14.25" customHeight="1">
      <c r="A97" s="546" t="s">
        <v>243</v>
      </c>
      <c r="B97" s="426">
        <v>89</v>
      </c>
      <c r="C97" s="553">
        <v>44064</v>
      </c>
      <c r="D97" s="427" t="s">
        <v>341</v>
      </c>
      <c r="E97" s="548">
        <v>1.6726649026147327E-2</v>
      </c>
      <c r="F97" s="550" t="s">
        <v>244</v>
      </c>
      <c r="G97" s="428">
        <v>26</v>
      </c>
    </row>
    <row r="98" spans="1:7" ht="14.25" customHeight="1">
      <c r="A98" s="546" t="s">
        <v>241</v>
      </c>
      <c r="B98" s="426">
        <v>90</v>
      </c>
      <c r="C98" s="553">
        <v>44064</v>
      </c>
      <c r="D98" s="427" t="s">
        <v>341</v>
      </c>
      <c r="E98" s="548">
        <v>0.38677621589732009</v>
      </c>
      <c r="F98" s="550" t="s">
        <v>253</v>
      </c>
      <c r="G98" s="428">
        <v>40</v>
      </c>
    </row>
    <row r="99" spans="1:7" ht="14.25" customHeight="1">
      <c r="A99" s="546" t="s">
        <v>254</v>
      </c>
      <c r="B99" s="426">
        <v>91</v>
      </c>
      <c r="C99" s="553">
        <v>44064</v>
      </c>
      <c r="D99" s="427" t="s">
        <v>341</v>
      </c>
      <c r="E99" s="548">
        <v>0.36444113687432766</v>
      </c>
      <c r="F99" s="550" t="s">
        <v>244</v>
      </c>
      <c r="G99" s="428">
        <v>22</v>
      </c>
    </row>
    <row r="100" spans="1:7" ht="14.25" customHeight="1">
      <c r="A100" s="546" t="s">
        <v>245</v>
      </c>
      <c r="B100" s="426">
        <v>92</v>
      </c>
      <c r="C100" s="553">
        <v>44064</v>
      </c>
      <c r="D100" s="427" t="s">
        <v>341</v>
      </c>
      <c r="E100" s="548">
        <v>5.3244683282538627</v>
      </c>
      <c r="F100" s="550" t="s">
        <v>240</v>
      </c>
      <c r="G100" s="428">
        <v>30</v>
      </c>
    </row>
    <row r="101" spans="1:7" ht="14.25" customHeight="1">
      <c r="A101" s="546" t="s">
        <v>247</v>
      </c>
      <c r="B101" s="426">
        <v>93</v>
      </c>
      <c r="C101" s="553">
        <v>44064</v>
      </c>
      <c r="D101" s="427" t="s">
        <v>341</v>
      </c>
      <c r="E101" s="548">
        <v>7.49</v>
      </c>
      <c r="F101" s="550" t="s">
        <v>240</v>
      </c>
      <c r="G101" s="428">
        <v>39</v>
      </c>
    </row>
    <row r="102" spans="1:7" ht="14.25" customHeight="1">
      <c r="A102" s="546" t="s">
        <v>248</v>
      </c>
      <c r="B102" s="426">
        <v>94</v>
      </c>
      <c r="C102" s="553">
        <v>44064</v>
      </c>
      <c r="D102" s="427" t="s">
        <v>341</v>
      </c>
      <c r="E102" s="548">
        <v>1.2</v>
      </c>
      <c r="F102" s="550" t="s">
        <v>240</v>
      </c>
      <c r="G102" s="428">
        <v>39</v>
      </c>
    </row>
    <row r="103" spans="1:7" ht="14.25" customHeight="1">
      <c r="A103" s="546" t="s">
        <v>345</v>
      </c>
      <c r="B103" s="426">
        <v>95</v>
      </c>
      <c r="C103" s="553">
        <v>44060</v>
      </c>
      <c r="D103" s="427" t="s">
        <v>341</v>
      </c>
      <c r="E103" s="548">
        <v>2.2200000000000002</v>
      </c>
      <c r="F103" s="550" t="s">
        <v>346</v>
      </c>
      <c r="G103" s="428">
        <v>4</v>
      </c>
    </row>
    <row r="104" spans="1:7" ht="14.25" customHeight="1">
      <c r="A104" s="546" t="s">
        <v>347</v>
      </c>
      <c r="B104" s="426">
        <v>96</v>
      </c>
      <c r="C104" s="553">
        <v>44060</v>
      </c>
      <c r="D104" s="427" t="s">
        <v>341</v>
      </c>
      <c r="E104" s="548">
        <v>5.3</v>
      </c>
      <c r="F104" s="550" t="s">
        <v>346</v>
      </c>
      <c r="G104" s="428">
        <v>4</v>
      </c>
    </row>
    <row r="105" spans="1:7" ht="14.25" customHeight="1">
      <c r="A105" s="546" t="s">
        <v>345</v>
      </c>
      <c r="B105" s="426">
        <v>97</v>
      </c>
      <c r="C105" s="553">
        <v>44061</v>
      </c>
      <c r="D105" s="427" t="s">
        <v>341</v>
      </c>
      <c r="E105" s="548">
        <v>1.78</v>
      </c>
      <c r="F105" s="550" t="s">
        <v>346</v>
      </c>
      <c r="G105" s="428">
        <v>8</v>
      </c>
    </row>
    <row r="106" spans="1:7" ht="14.25" customHeight="1">
      <c r="A106" s="546" t="s">
        <v>347</v>
      </c>
      <c r="B106" s="426">
        <v>98</v>
      </c>
      <c r="C106" s="553">
        <v>44061</v>
      </c>
      <c r="D106" s="427" t="s">
        <v>341</v>
      </c>
      <c r="E106" s="548">
        <v>2.29</v>
      </c>
      <c r="F106" s="550" t="s">
        <v>346</v>
      </c>
      <c r="G106" s="428">
        <v>8</v>
      </c>
    </row>
    <row r="107" spans="1:7" ht="14.25" customHeight="1">
      <c r="A107" s="546" t="s">
        <v>348</v>
      </c>
      <c r="B107" s="426">
        <v>99</v>
      </c>
      <c r="C107" s="553">
        <v>44060</v>
      </c>
      <c r="D107" s="427" t="s">
        <v>341</v>
      </c>
      <c r="E107" s="548">
        <v>-17.089616186330144</v>
      </c>
      <c r="F107" s="550" t="s">
        <v>346</v>
      </c>
      <c r="G107" s="428">
        <v>4</v>
      </c>
    </row>
    <row r="108" spans="1:7" ht="14.25" customHeight="1">
      <c r="A108" s="546" t="s">
        <v>348</v>
      </c>
      <c r="B108" s="426">
        <v>100</v>
      </c>
      <c r="C108" s="553">
        <v>44061</v>
      </c>
      <c r="D108" s="427" t="s">
        <v>341</v>
      </c>
      <c r="E108" s="548">
        <v>29.720372228383138</v>
      </c>
      <c r="F108" s="550" t="s">
        <v>346</v>
      </c>
      <c r="G108" s="428">
        <v>8</v>
      </c>
    </row>
    <row r="109" spans="1:7" ht="14.25" customHeight="1">
      <c r="A109" s="546" t="s">
        <v>348</v>
      </c>
      <c r="B109" s="426">
        <v>101</v>
      </c>
      <c r="C109" s="553">
        <v>44062</v>
      </c>
      <c r="D109" s="427" t="s">
        <v>341</v>
      </c>
      <c r="E109" s="548">
        <v>10.760503335870698</v>
      </c>
      <c r="F109" s="550" t="s">
        <v>346</v>
      </c>
      <c r="G109" s="428">
        <v>12</v>
      </c>
    </row>
    <row r="110" spans="1:7" ht="14.25" customHeight="1">
      <c r="A110" s="546" t="s">
        <v>349</v>
      </c>
      <c r="B110" s="426">
        <v>102</v>
      </c>
      <c r="C110" s="553">
        <v>44063</v>
      </c>
      <c r="D110" s="427" t="s">
        <v>341</v>
      </c>
      <c r="E110" s="548">
        <v>14.91623568930865</v>
      </c>
      <c r="F110" s="550" t="s">
        <v>346</v>
      </c>
      <c r="G110" s="428">
        <v>16</v>
      </c>
    </row>
    <row r="111" spans="1:7" ht="14.25" customHeight="1">
      <c r="A111" s="546" t="s">
        <v>345</v>
      </c>
      <c r="B111" s="426">
        <v>103</v>
      </c>
      <c r="C111" s="553">
        <v>44062</v>
      </c>
      <c r="D111" s="427" t="s">
        <v>341</v>
      </c>
      <c r="E111" s="548">
        <v>1.84</v>
      </c>
      <c r="F111" s="550" t="s">
        <v>346</v>
      </c>
      <c r="G111" s="428">
        <v>12</v>
      </c>
    </row>
    <row r="112" spans="1:7" ht="14.25" customHeight="1">
      <c r="A112" s="546" t="s">
        <v>347</v>
      </c>
      <c r="B112" s="426">
        <v>104</v>
      </c>
      <c r="C112" s="553">
        <v>44062</v>
      </c>
      <c r="D112" s="427" t="s">
        <v>341</v>
      </c>
      <c r="E112" s="548">
        <v>5.89</v>
      </c>
      <c r="F112" s="550" t="s">
        <v>346</v>
      </c>
      <c r="G112" s="428">
        <v>12</v>
      </c>
    </row>
    <row r="113" spans="1:7" ht="14.25" customHeight="1">
      <c r="A113" s="546" t="s">
        <v>345</v>
      </c>
      <c r="B113" s="426">
        <v>105</v>
      </c>
      <c r="C113" s="553">
        <v>44063</v>
      </c>
      <c r="D113" s="427" t="s">
        <v>341</v>
      </c>
      <c r="E113" s="548">
        <v>2.34</v>
      </c>
      <c r="F113" s="550" t="s">
        <v>346</v>
      </c>
      <c r="G113" s="428">
        <v>16</v>
      </c>
    </row>
    <row r="114" spans="1:7" ht="14.25" customHeight="1">
      <c r="A114" s="546" t="s">
        <v>347</v>
      </c>
      <c r="B114" s="426">
        <v>106</v>
      </c>
      <c r="C114" s="553">
        <v>44063</v>
      </c>
      <c r="D114" s="427" t="s">
        <v>341</v>
      </c>
      <c r="E114" s="548">
        <v>4.78</v>
      </c>
      <c r="F114" s="550" t="s">
        <v>346</v>
      </c>
      <c r="G114" s="428">
        <v>16</v>
      </c>
    </row>
    <row r="115" spans="1:7" ht="14.25" customHeight="1">
      <c r="A115" s="546" t="s">
        <v>247</v>
      </c>
      <c r="B115" s="426">
        <v>107</v>
      </c>
      <c r="C115" s="553">
        <v>44070</v>
      </c>
      <c r="D115" s="427" t="s">
        <v>239</v>
      </c>
      <c r="E115" s="548">
        <v>7.12</v>
      </c>
      <c r="F115" s="550" t="s">
        <v>240</v>
      </c>
      <c r="G115" s="428">
        <v>41</v>
      </c>
    </row>
    <row r="116" spans="1:7" ht="14.25" customHeight="1">
      <c r="A116" s="546" t="s">
        <v>248</v>
      </c>
      <c r="B116" s="426">
        <v>108</v>
      </c>
      <c r="C116" s="553">
        <v>44070</v>
      </c>
      <c r="D116" s="427" t="s">
        <v>239</v>
      </c>
      <c r="E116" s="548">
        <v>0.84</v>
      </c>
      <c r="F116" s="550" t="s">
        <v>240</v>
      </c>
      <c r="G116" s="428">
        <v>41</v>
      </c>
    </row>
    <row r="117" spans="1:7" ht="14.25" customHeight="1">
      <c r="A117" s="546" t="s">
        <v>243</v>
      </c>
      <c r="B117" s="426">
        <v>109</v>
      </c>
      <c r="C117" s="553">
        <v>44070</v>
      </c>
      <c r="D117" s="427" t="s">
        <v>242</v>
      </c>
      <c r="E117" s="548">
        <v>2.3829604028014376E-2</v>
      </c>
      <c r="F117" s="550" t="s">
        <v>350</v>
      </c>
      <c r="G117" s="428">
        <v>29</v>
      </c>
    </row>
    <row r="118" spans="1:7" ht="14.25" customHeight="1">
      <c r="A118" s="546" t="s">
        <v>254</v>
      </c>
      <c r="B118" s="426">
        <v>110</v>
      </c>
      <c r="C118" s="553">
        <v>44070</v>
      </c>
      <c r="D118" s="427" t="s">
        <v>246</v>
      </c>
      <c r="E118" s="548">
        <v>0.36444113687432766</v>
      </c>
      <c r="F118" s="550" t="s">
        <v>244</v>
      </c>
      <c r="G118" s="428">
        <v>24</v>
      </c>
    </row>
    <row r="119" spans="1:7" ht="14.25" customHeight="1">
      <c r="A119" s="546" t="s">
        <v>245</v>
      </c>
      <c r="B119" s="426">
        <v>111</v>
      </c>
      <c r="C119" s="553">
        <v>44070</v>
      </c>
      <c r="D119" s="427" t="s">
        <v>246</v>
      </c>
      <c r="E119" s="548">
        <v>3.6722575752587105</v>
      </c>
      <c r="F119" s="550" t="s">
        <v>252</v>
      </c>
      <c r="G119" s="428">
        <v>33</v>
      </c>
    </row>
    <row r="120" spans="1:7" ht="14.25" customHeight="1">
      <c r="A120" s="546" t="s">
        <v>238</v>
      </c>
      <c r="B120" s="426">
        <v>112</v>
      </c>
      <c r="C120" s="553">
        <v>44070</v>
      </c>
      <c r="D120" s="427" t="s">
        <v>239</v>
      </c>
      <c r="E120" s="548">
        <v>0.62922827592359865</v>
      </c>
      <c r="F120" s="550" t="s">
        <v>240</v>
      </c>
      <c r="G120" s="428">
        <v>43</v>
      </c>
    </row>
    <row r="121" spans="1:7" ht="14.25" customHeight="1">
      <c r="A121" s="581"/>
      <c r="B121" s="582"/>
      <c r="C121" s="583"/>
      <c r="D121" s="584"/>
      <c r="E121" s="585"/>
      <c r="F121" s="586"/>
      <c r="G121" s="587"/>
    </row>
    <row r="122" spans="1:7" ht="14.25" customHeight="1">
      <c r="A122" s="581"/>
      <c r="B122" s="582"/>
      <c r="C122" s="583"/>
      <c r="D122" s="584"/>
      <c r="E122" s="585"/>
      <c r="F122" s="586"/>
      <c r="G122" s="587"/>
    </row>
    <row r="123" spans="1:7" ht="14.25" customHeight="1">
      <c r="A123" s="429"/>
    </row>
    <row r="124" spans="1:7" ht="14.25" customHeight="1">
      <c r="A124" s="434"/>
    </row>
    <row r="125" spans="1:7" ht="14.25" customHeight="1">
      <c r="A125" s="434"/>
    </row>
    <row r="126" spans="1:7" ht="14.25" customHeight="1">
      <c r="A126" s="430" t="s">
        <v>66</v>
      </c>
    </row>
    <row r="127" spans="1:7" ht="14.25" customHeight="1">
      <c r="A127" s="541" t="s">
        <v>255</v>
      </c>
    </row>
    <row r="128" spans="1:7" ht="14.25" customHeight="1">
      <c r="A128" s="508" t="s">
        <v>256</v>
      </c>
    </row>
    <row r="129" spans="1:1" ht="14.25" customHeight="1">
      <c r="A129" s="508"/>
    </row>
    <row r="130" spans="1:1" ht="14.25" customHeight="1">
      <c r="A130" s="509" t="s">
        <v>73</v>
      </c>
    </row>
    <row r="131" spans="1:1" ht="14.25" customHeight="1">
      <c r="A131" s="370"/>
    </row>
    <row r="132" spans="1:1" ht="12.75"/>
    <row r="133" spans="1:1" ht="12.75"/>
    <row r="134" spans="1:1" ht="12.75"/>
    <row r="135" spans="1:1" ht="12.75"/>
    <row r="136" spans="1:1" ht="12.75"/>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topLeftCell="A6" zoomScale="120" zoomScaleNormal="120" zoomScaleSheetLayoutView="75" workbookViewId="0">
      <selection activeCell="N9" sqref="N9:N33"/>
    </sheetView>
  </sheetViews>
  <sheetFormatPr defaultColWidth="17" defaultRowHeight="12"/>
  <cols>
    <col min="1" max="1" width="46.28515625" style="215" customWidth="1"/>
    <col min="2" max="3" width="11.7109375" style="215" customWidth="1"/>
    <col min="4" max="4" width="15.5703125" style="215" customWidth="1"/>
    <col min="5" max="7" width="11.7109375" style="215" customWidth="1"/>
    <col min="8" max="8" width="14.7109375" style="215" customWidth="1"/>
    <col min="9" max="9" width="11.7109375" style="215" customWidth="1"/>
    <col min="10" max="10" width="11.7109375" style="216" customWidth="1"/>
    <col min="11" max="11" width="11.7109375" style="215" customWidth="1"/>
    <col min="12" max="12" width="12.28515625" style="215" customWidth="1"/>
    <col min="13" max="13" width="11.7109375" style="215" customWidth="1"/>
    <col min="14" max="14" width="12.7109375" style="215" customWidth="1"/>
    <col min="15" max="16" width="0" style="215" hidden="1" customWidth="1"/>
    <col min="17" max="16384" width="17" style="215"/>
  </cols>
  <sheetData>
    <row r="1" spans="1:16">
      <c r="A1" s="215" t="s">
        <v>57</v>
      </c>
      <c r="E1" s="213" t="s">
        <v>39</v>
      </c>
    </row>
    <row r="2" spans="1:16">
      <c r="E2" s="213" t="s">
        <v>257</v>
      </c>
    </row>
    <row r="3" spans="1:16">
      <c r="D3" s="217"/>
      <c r="E3" s="218" t="str">
        <f>'Program MW '!H3</f>
        <v>August 2020</v>
      </c>
      <c r="F3" s="217"/>
    </row>
    <row r="4" spans="1:16" ht="12.75" thickBot="1"/>
    <row r="5" spans="1:16">
      <c r="A5" s="219"/>
      <c r="B5" s="220"/>
      <c r="C5" s="220"/>
      <c r="D5" s="220"/>
      <c r="E5" s="220"/>
      <c r="F5" s="220"/>
      <c r="G5" s="220"/>
      <c r="H5" s="220"/>
      <c r="I5" s="220"/>
      <c r="J5" s="221"/>
      <c r="K5" s="220"/>
      <c r="L5" s="220"/>
      <c r="M5" s="220"/>
      <c r="N5" s="562"/>
    </row>
    <row r="6" spans="1:16" ht="24">
      <c r="A6" s="222" t="s">
        <v>258</v>
      </c>
      <c r="B6" s="532" t="s">
        <v>41</v>
      </c>
      <c r="C6" s="532" t="s">
        <v>42</v>
      </c>
      <c r="D6" s="532" t="s">
        <v>43</v>
      </c>
      <c r="E6" s="532" t="s">
        <v>44</v>
      </c>
      <c r="F6" s="532" t="s">
        <v>31</v>
      </c>
      <c r="G6" s="532" t="s">
        <v>45</v>
      </c>
      <c r="H6" s="532" t="s">
        <v>60</v>
      </c>
      <c r="I6" s="532" t="s">
        <v>75</v>
      </c>
      <c r="J6" s="533" t="s">
        <v>76</v>
      </c>
      <c r="K6" s="532" t="s">
        <v>62</v>
      </c>
      <c r="L6" s="532" t="s">
        <v>77</v>
      </c>
      <c r="M6" s="532" t="s">
        <v>63</v>
      </c>
      <c r="N6" s="563" t="s">
        <v>259</v>
      </c>
    </row>
    <row r="7" spans="1:16">
      <c r="A7" s="223"/>
      <c r="B7" s="224"/>
      <c r="C7" s="224"/>
      <c r="D7" s="224"/>
      <c r="E7" s="224"/>
      <c r="F7" s="224"/>
      <c r="G7" s="224"/>
      <c r="H7" s="525"/>
      <c r="I7" s="224"/>
      <c r="J7" s="225"/>
      <c r="K7" s="224"/>
      <c r="L7" s="224"/>
      <c r="M7" s="502"/>
      <c r="N7" s="564"/>
    </row>
    <row r="8" spans="1:16">
      <c r="A8" s="226" t="s">
        <v>260</v>
      </c>
      <c r="B8" s="224"/>
      <c r="C8" s="224"/>
      <c r="D8" s="224"/>
      <c r="E8" s="224"/>
      <c r="F8" s="224"/>
      <c r="G8" s="224"/>
      <c r="H8" s="525"/>
      <c r="I8" s="224"/>
      <c r="J8" s="225"/>
      <c r="K8" s="224"/>
      <c r="L8" s="224"/>
      <c r="M8" s="502"/>
      <c r="N8" s="565"/>
    </row>
    <row r="9" spans="1:16">
      <c r="A9" s="333" t="s">
        <v>261</v>
      </c>
      <c r="B9" s="399">
        <v>2.42</v>
      </c>
      <c r="C9" s="400">
        <v>4.0709999999999997</v>
      </c>
      <c r="D9" s="400">
        <v>10.975</v>
      </c>
      <c r="E9" s="400">
        <v>10.145</v>
      </c>
      <c r="F9" s="400">
        <v>10.202999999999999</v>
      </c>
      <c r="G9" s="400">
        <v>10.260999999999999</v>
      </c>
      <c r="H9" s="526">
        <v>13.167999999999999</v>
      </c>
      <c r="I9" s="400">
        <v>4.9809999999999999</v>
      </c>
      <c r="J9" s="400">
        <v>0</v>
      </c>
      <c r="K9" s="400">
        <v>0</v>
      </c>
      <c r="L9" s="400">
        <v>0</v>
      </c>
      <c r="M9" s="400">
        <v>0</v>
      </c>
      <c r="N9" s="566">
        <f t="shared" ref="N9:N33" si="0">SUM(B9:M9)</f>
        <v>66.224000000000004</v>
      </c>
      <c r="O9" s="400">
        <v>0</v>
      </c>
      <c r="P9" s="400">
        <v>0</v>
      </c>
    </row>
    <row r="10" spans="1:16" ht="13.5">
      <c r="A10" s="333" t="s">
        <v>262</v>
      </c>
      <c r="B10" s="331">
        <v>40.151000000000003</v>
      </c>
      <c r="C10" s="397">
        <v>45.033000000000001</v>
      </c>
      <c r="D10" s="397">
        <v>46.11</v>
      </c>
      <c r="E10" s="397">
        <v>47.1</v>
      </c>
      <c r="F10" s="397">
        <v>13.055</v>
      </c>
      <c r="G10" s="397">
        <v>78.293999999999997</v>
      </c>
      <c r="H10" s="527">
        <v>48.43</v>
      </c>
      <c r="I10" s="397">
        <v>37.692</v>
      </c>
      <c r="J10" s="397">
        <v>0</v>
      </c>
      <c r="K10" s="397">
        <v>0</v>
      </c>
      <c r="L10" s="397">
        <v>0</v>
      </c>
      <c r="M10" s="397">
        <v>0</v>
      </c>
      <c r="N10" s="566">
        <f t="shared" si="0"/>
        <v>355.86500000000001</v>
      </c>
    </row>
    <row r="11" spans="1:16" ht="14.1" customHeight="1">
      <c r="A11" s="333" t="s">
        <v>263</v>
      </c>
      <c r="B11" s="331">
        <v>1.5580000000000001</v>
      </c>
      <c r="C11" s="397">
        <v>7.5540000000000003</v>
      </c>
      <c r="D11" s="397">
        <v>12.093</v>
      </c>
      <c r="E11" s="397">
        <v>10.016</v>
      </c>
      <c r="F11" s="397">
        <v>5.6139999999999999</v>
      </c>
      <c r="G11" s="397">
        <v>7.6859999999999999</v>
      </c>
      <c r="H11" s="527">
        <v>11.066000000000001</v>
      </c>
      <c r="I11" s="397">
        <v>7.3049999999999997</v>
      </c>
      <c r="J11" s="397">
        <v>0</v>
      </c>
      <c r="K11" s="397">
        <v>0</v>
      </c>
      <c r="L11" s="397">
        <v>0</v>
      </c>
      <c r="M11" s="397">
        <v>0</v>
      </c>
      <c r="N11" s="566">
        <f t="shared" si="0"/>
        <v>62.891999999999996</v>
      </c>
    </row>
    <row r="12" spans="1:16">
      <c r="A12" s="333" t="s">
        <v>264</v>
      </c>
      <c r="B12" s="331">
        <v>0</v>
      </c>
      <c r="C12" s="397">
        <v>0</v>
      </c>
      <c r="D12" s="397">
        <v>0</v>
      </c>
      <c r="E12" s="397">
        <v>0</v>
      </c>
      <c r="F12" s="397">
        <v>0</v>
      </c>
      <c r="G12" s="397">
        <v>0</v>
      </c>
      <c r="H12" s="527">
        <v>0</v>
      </c>
      <c r="I12" s="397">
        <v>0</v>
      </c>
      <c r="J12" s="397">
        <v>0</v>
      </c>
      <c r="K12" s="397">
        <v>0</v>
      </c>
      <c r="L12" s="397">
        <v>0</v>
      </c>
      <c r="M12" s="397">
        <v>0</v>
      </c>
      <c r="N12" s="566">
        <f t="shared" si="0"/>
        <v>0</v>
      </c>
    </row>
    <row r="13" spans="1:16">
      <c r="A13" s="333" t="s">
        <v>265</v>
      </c>
      <c r="B13" s="331">
        <v>12.635999999999999</v>
      </c>
      <c r="C13" s="397">
        <v>12.25</v>
      </c>
      <c r="D13" s="397">
        <v>11.862</v>
      </c>
      <c r="E13" s="397">
        <v>12.1</v>
      </c>
      <c r="F13" s="397">
        <v>11.029</v>
      </c>
      <c r="G13" s="397">
        <v>10.164</v>
      </c>
      <c r="H13" s="527">
        <v>13.281000000000001</v>
      </c>
      <c r="I13" s="397">
        <v>7.5270000000000001</v>
      </c>
      <c r="J13" s="397">
        <v>0</v>
      </c>
      <c r="K13" s="397">
        <v>0</v>
      </c>
      <c r="L13" s="397">
        <v>0</v>
      </c>
      <c r="M13" s="397">
        <v>0</v>
      </c>
      <c r="N13" s="566">
        <f t="shared" si="0"/>
        <v>90.849000000000004</v>
      </c>
    </row>
    <row r="14" spans="1:16">
      <c r="A14" s="333" t="s">
        <v>266</v>
      </c>
      <c r="B14" s="331">
        <v>4.7030000000000003</v>
      </c>
      <c r="C14" s="397">
        <v>2.9460000000000002</v>
      </c>
      <c r="D14" s="397">
        <v>3.258</v>
      </c>
      <c r="E14" s="397">
        <v>11.784000000000001</v>
      </c>
      <c r="F14" s="397">
        <v>3.01</v>
      </c>
      <c r="G14" s="397">
        <v>3.01</v>
      </c>
      <c r="H14" s="527">
        <v>8.8260000000000005</v>
      </c>
      <c r="I14" s="397">
        <v>5.6470000000000002</v>
      </c>
      <c r="J14" s="397">
        <v>0</v>
      </c>
      <c r="K14" s="397">
        <v>0</v>
      </c>
      <c r="L14" s="397">
        <v>0</v>
      </c>
      <c r="M14" s="397">
        <v>0</v>
      </c>
      <c r="N14" s="566">
        <f t="shared" si="0"/>
        <v>43.183999999999997</v>
      </c>
    </row>
    <row r="15" spans="1:16">
      <c r="A15" s="333" t="s">
        <v>267</v>
      </c>
      <c r="B15" s="331">
        <v>40.1</v>
      </c>
      <c r="C15" s="397">
        <v>64.043999999999997</v>
      </c>
      <c r="D15" s="397">
        <v>6.5949999999999998</v>
      </c>
      <c r="E15" s="397">
        <v>6.9660000000000002</v>
      </c>
      <c r="F15" s="397">
        <v>11.64</v>
      </c>
      <c r="G15" s="397">
        <v>67.468000000000004</v>
      </c>
      <c r="H15" s="527">
        <v>29.908999999999999</v>
      </c>
      <c r="I15" s="397">
        <v>16.457000000000001</v>
      </c>
      <c r="J15" s="397">
        <v>0</v>
      </c>
      <c r="K15" s="397">
        <v>0</v>
      </c>
      <c r="L15" s="397">
        <v>0</v>
      </c>
      <c r="M15" s="397">
        <v>0</v>
      </c>
      <c r="N15" s="566">
        <f t="shared" si="0"/>
        <v>243.17899999999997</v>
      </c>
    </row>
    <row r="16" spans="1:16">
      <c r="A16" s="333" t="s">
        <v>200</v>
      </c>
      <c r="B16" s="331">
        <v>12.237</v>
      </c>
      <c r="C16" s="397">
        <v>14.420999999999999</v>
      </c>
      <c r="D16" s="397">
        <v>18.376999999999999</v>
      </c>
      <c r="E16" s="397">
        <v>17.422999999999998</v>
      </c>
      <c r="F16" s="397">
        <v>15.94</v>
      </c>
      <c r="G16" s="397">
        <v>15.221</v>
      </c>
      <c r="H16" s="527">
        <v>19.05</v>
      </c>
      <c r="I16" s="397">
        <v>8.5389999999999997</v>
      </c>
      <c r="J16" s="397">
        <v>0</v>
      </c>
      <c r="K16" s="397">
        <v>0</v>
      </c>
      <c r="L16" s="397">
        <v>0</v>
      </c>
      <c r="M16" s="397">
        <v>0</v>
      </c>
      <c r="N16" s="566">
        <f t="shared" si="0"/>
        <v>121.208</v>
      </c>
    </row>
    <row r="17" spans="1:15">
      <c r="A17" s="333" t="s">
        <v>201</v>
      </c>
      <c r="B17" s="331">
        <v>19.221</v>
      </c>
      <c r="C17" s="397">
        <v>19.606000000000002</v>
      </c>
      <c r="D17" s="397">
        <v>19.474</v>
      </c>
      <c r="E17" s="397">
        <v>98.066999999999993</v>
      </c>
      <c r="F17" s="397">
        <v>65.554000000000002</v>
      </c>
      <c r="G17" s="397">
        <v>16.420999999999999</v>
      </c>
      <c r="H17" s="527">
        <v>25.366</v>
      </c>
      <c r="I17" s="397">
        <v>43.206000000000003</v>
      </c>
      <c r="J17" s="397">
        <v>0</v>
      </c>
      <c r="K17" s="397">
        <v>0</v>
      </c>
      <c r="L17" s="397">
        <v>0</v>
      </c>
      <c r="M17" s="397">
        <v>0</v>
      </c>
      <c r="N17" s="566">
        <f t="shared" si="0"/>
        <v>306.91500000000002</v>
      </c>
    </row>
    <row r="18" spans="1:15">
      <c r="A18" s="333" t="s">
        <v>268</v>
      </c>
      <c r="B18" s="331">
        <v>0</v>
      </c>
      <c r="C18" s="397">
        <v>0</v>
      </c>
      <c r="D18" s="397">
        <v>0</v>
      </c>
      <c r="E18" s="397">
        <v>0</v>
      </c>
      <c r="F18" s="397">
        <v>0</v>
      </c>
      <c r="G18" s="397">
        <v>0</v>
      </c>
      <c r="H18" s="527">
        <v>0</v>
      </c>
      <c r="I18" s="397">
        <v>0</v>
      </c>
      <c r="J18" s="397">
        <v>0</v>
      </c>
      <c r="K18" s="397">
        <v>0</v>
      </c>
      <c r="L18" s="397">
        <v>0</v>
      </c>
      <c r="M18" s="397">
        <v>0</v>
      </c>
      <c r="N18" s="566">
        <f t="shared" si="0"/>
        <v>0</v>
      </c>
    </row>
    <row r="19" spans="1:15" ht="13.5">
      <c r="A19" s="333" t="s">
        <v>269</v>
      </c>
      <c r="B19" s="331">
        <v>1.411</v>
      </c>
      <c r="C19" s="397">
        <v>1.6040000000000001</v>
      </c>
      <c r="D19" s="397">
        <v>74.418999999999997</v>
      </c>
      <c r="E19" s="397">
        <v>3.1349999999999998</v>
      </c>
      <c r="F19" s="397">
        <v>3.7890000000000001</v>
      </c>
      <c r="G19" s="397">
        <v>3.9350000000000001</v>
      </c>
      <c r="H19" s="527">
        <v>5.34</v>
      </c>
      <c r="I19" s="397">
        <v>3.0459999999999998</v>
      </c>
      <c r="J19" s="397">
        <v>0</v>
      </c>
      <c r="K19" s="397">
        <v>0</v>
      </c>
      <c r="L19" s="397">
        <v>0</v>
      </c>
      <c r="M19" s="397">
        <v>0</v>
      </c>
      <c r="N19" s="566">
        <f t="shared" si="0"/>
        <v>96.679000000000016</v>
      </c>
    </row>
    <row r="20" spans="1:15" s="217" customFormat="1">
      <c r="A20" s="461" t="s">
        <v>161</v>
      </c>
      <c r="B20" s="331">
        <v>0</v>
      </c>
      <c r="C20" s="397">
        <v>0</v>
      </c>
      <c r="D20" s="397">
        <v>0</v>
      </c>
      <c r="E20" s="397">
        <v>0</v>
      </c>
      <c r="F20" s="397">
        <v>0</v>
      </c>
      <c r="G20" s="397">
        <v>0</v>
      </c>
      <c r="H20" s="527">
        <v>0</v>
      </c>
      <c r="I20" s="397">
        <v>0</v>
      </c>
      <c r="J20" s="397">
        <v>0</v>
      </c>
      <c r="K20" s="397">
        <v>0</v>
      </c>
      <c r="L20" s="397">
        <v>0</v>
      </c>
      <c r="M20" s="397">
        <v>0</v>
      </c>
      <c r="N20" s="567">
        <f t="shared" si="0"/>
        <v>0</v>
      </c>
    </row>
    <row r="21" spans="1:15">
      <c r="A21" s="461" t="s">
        <v>270</v>
      </c>
      <c r="B21" s="331">
        <v>0</v>
      </c>
      <c r="C21" s="397">
        <v>0.25700000000000001</v>
      </c>
      <c r="D21" s="397">
        <v>2.1309999999999998</v>
      </c>
      <c r="E21" s="397">
        <v>1.9430000000000001</v>
      </c>
      <c r="F21" s="397">
        <v>1.67</v>
      </c>
      <c r="G21" s="397">
        <v>1.8460000000000001</v>
      </c>
      <c r="H21" s="527">
        <v>2.226</v>
      </c>
      <c r="I21" s="397">
        <v>1.284</v>
      </c>
      <c r="J21" s="397">
        <v>0</v>
      </c>
      <c r="K21" s="397">
        <v>0</v>
      </c>
      <c r="L21" s="397">
        <v>0</v>
      </c>
      <c r="M21" s="397">
        <v>0</v>
      </c>
      <c r="N21" s="566">
        <f t="shared" si="0"/>
        <v>11.357000000000001</v>
      </c>
    </row>
    <row r="22" spans="1:15" ht="14.25">
      <c r="A22" s="333" t="s">
        <v>271</v>
      </c>
      <c r="B22" s="331">
        <v>5.6070000000000002</v>
      </c>
      <c r="C22" s="397">
        <v>5.0679999999999996</v>
      </c>
      <c r="D22" s="397">
        <v>-1.2949999999999999</v>
      </c>
      <c r="E22" s="397">
        <v>12.69</v>
      </c>
      <c r="F22" s="397">
        <v>31.27</v>
      </c>
      <c r="G22" s="397">
        <v>131.03100000000001</v>
      </c>
      <c r="H22" s="527">
        <v>-12.682</v>
      </c>
      <c r="I22" s="397">
        <v>246.24600000000001</v>
      </c>
      <c r="J22" s="397">
        <v>0</v>
      </c>
      <c r="K22" s="397">
        <v>0</v>
      </c>
      <c r="L22" s="397">
        <v>0</v>
      </c>
      <c r="M22" s="397">
        <v>0</v>
      </c>
      <c r="N22" s="566">
        <f t="shared" si="0"/>
        <v>417.93500000000006</v>
      </c>
    </row>
    <row r="23" spans="1:15">
      <c r="A23" s="333" t="s">
        <v>272</v>
      </c>
      <c r="B23" s="331">
        <v>28.658000000000001</v>
      </c>
      <c r="C23" s="397">
        <v>29.536999999999999</v>
      </c>
      <c r="D23" s="397">
        <v>49.59</v>
      </c>
      <c r="E23" s="397">
        <v>50.043999999999997</v>
      </c>
      <c r="F23" s="397">
        <v>46.54</v>
      </c>
      <c r="G23" s="397">
        <v>48.784999999999997</v>
      </c>
      <c r="H23" s="527">
        <v>53.305999999999997</v>
      </c>
      <c r="I23" s="397">
        <v>23.317</v>
      </c>
      <c r="J23" s="397">
        <v>0</v>
      </c>
      <c r="K23" s="397">
        <v>0</v>
      </c>
      <c r="L23" s="397">
        <v>0</v>
      </c>
      <c r="M23" s="397">
        <v>0</v>
      </c>
      <c r="N23" s="566">
        <f t="shared" si="0"/>
        <v>329.77699999999999</v>
      </c>
    </row>
    <row r="24" spans="1:15" ht="13.5">
      <c r="A24" s="333" t="s">
        <v>273</v>
      </c>
      <c r="B24" s="331">
        <v>40.093000000000004</v>
      </c>
      <c r="C24" s="397">
        <v>309.64999999999998</v>
      </c>
      <c r="D24" s="397">
        <v>241.07599999999999</v>
      </c>
      <c r="E24" s="397">
        <v>-126.678</v>
      </c>
      <c r="F24" s="397">
        <v>120.194</v>
      </c>
      <c r="G24" s="397">
        <v>321.84899999999999</v>
      </c>
      <c r="H24" s="527">
        <v>107.306</v>
      </c>
      <c r="I24" s="397">
        <v>137.304</v>
      </c>
      <c r="J24" s="397">
        <v>0</v>
      </c>
      <c r="K24" s="397">
        <v>0</v>
      </c>
      <c r="L24" s="397">
        <v>0</v>
      </c>
      <c r="M24" s="397">
        <v>0</v>
      </c>
      <c r="N24" s="566">
        <f t="shared" si="0"/>
        <v>1150.7940000000001</v>
      </c>
    </row>
    <row r="25" spans="1:15" ht="13.5">
      <c r="A25" s="333" t="s">
        <v>274</v>
      </c>
      <c r="B25" s="331">
        <v>76.793999999999997</v>
      </c>
      <c r="C25" s="397">
        <v>100.941</v>
      </c>
      <c r="D25" s="397">
        <v>74.772999999999996</v>
      </c>
      <c r="E25" s="397">
        <v>-10.866</v>
      </c>
      <c r="F25" s="397">
        <v>87.84</v>
      </c>
      <c r="G25" s="397">
        <v>32.978000000000002</v>
      </c>
      <c r="H25" s="527">
        <v>38.279000000000003</v>
      </c>
      <c r="I25" s="397">
        <v>21.382999999999999</v>
      </c>
      <c r="J25" s="397">
        <v>0</v>
      </c>
      <c r="K25" s="397">
        <v>0</v>
      </c>
      <c r="L25" s="397">
        <v>0</v>
      </c>
      <c r="M25" s="397">
        <v>0</v>
      </c>
      <c r="N25" s="566">
        <f t="shared" si="0"/>
        <v>422.12199999999996</v>
      </c>
    </row>
    <row r="26" spans="1:15" s="228" customFormat="1">
      <c r="A26" s="333" t="s">
        <v>214</v>
      </c>
      <c r="B26" s="331">
        <v>0</v>
      </c>
      <c r="C26" s="397">
        <v>0</v>
      </c>
      <c r="D26" s="397">
        <v>0</v>
      </c>
      <c r="E26" s="397">
        <v>22.346</v>
      </c>
      <c r="F26" s="397">
        <v>0</v>
      </c>
      <c r="G26" s="397">
        <v>0</v>
      </c>
      <c r="H26" s="527">
        <v>0</v>
      </c>
      <c r="I26" s="397">
        <v>0</v>
      </c>
      <c r="J26" s="397">
        <v>0</v>
      </c>
      <c r="K26" s="397">
        <v>0</v>
      </c>
      <c r="L26" s="397">
        <v>0</v>
      </c>
      <c r="M26" s="397">
        <v>0</v>
      </c>
      <c r="N26" s="566">
        <f t="shared" si="0"/>
        <v>22.346</v>
      </c>
      <c r="O26" s="215"/>
    </row>
    <row r="27" spans="1:15" s="228" customFormat="1">
      <c r="A27" s="464" t="s">
        <v>275</v>
      </c>
      <c r="B27" s="331">
        <v>0</v>
      </c>
      <c r="C27" s="397">
        <v>7.3730000000000002</v>
      </c>
      <c r="D27" s="397">
        <v>19.39</v>
      </c>
      <c r="E27" s="397">
        <v>7.3730000000000002</v>
      </c>
      <c r="F27" s="397">
        <v>9.2159999999999993</v>
      </c>
      <c r="G27" s="397">
        <v>12.901999999999999</v>
      </c>
      <c r="H27" s="527">
        <v>0</v>
      </c>
      <c r="I27" s="397">
        <v>81.831999999999994</v>
      </c>
      <c r="J27" s="397">
        <v>0</v>
      </c>
      <c r="K27" s="397">
        <v>0</v>
      </c>
      <c r="L27" s="397">
        <v>0</v>
      </c>
      <c r="M27" s="397">
        <v>0</v>
      </c>
      <c r="N27" s="566">
        <f t="shared" si="0"/>
        <v>138.08600000000001</v>
      </c>
      <c r="O27" s="215"/>
    </row>
    <row r="28" spans="1:15" s="228" customFormat="1" ht="14.45" customHeight="1">
      <c r="A28" s="333" t="s">
        <v>276</v>
      </c>
      <c r="B28" s="331">
        <v>-64.463999999999999</v>
      </c>
      <c r="C28" s="397">
        <v>16.844999999999999</v>
      </c>
      <c r="D28" s="397">
        <v>38.131</v>
      </c>
      <c r="E28" s="397">
        <v>1.5489999999999999</v>
      </c>
      <c r="F28" s="397">
        <v>3.161</v>
      </c>
      <c r="G28" s="397">
        <v>8.1129999999999995</v>
      </c>
      <c r="H28" s="527">
        <v>1.6279999999999999</v>
      </c>
      <c r="I28" s="397">
        <v>5.8789999999999996</v>
      </c>
      <c r="J28" s="397">
        <v>0</v>
      </c>
      <c r="K28" s="397">
        <v>0</v>
      </c>
      <c r="L28" s="397">
        <v>0</v>
      </c>
      <c r="M28" s="397">
        <v>0</v>
      </c>
      <c r="N28" s="566">
        <f t="shared" si="0"/>
        <v>10.841999999999999</v>
      </c>
    </row>
    <row r="29" spans="1:15" s="228" customFormat="1" ht="13.5">
      <c r="A29" s="333" t="s">
        <v>277</v>
      </c>
      <c r="B29" s="331">
        <v>-40.746000000000002</v>
      </c>
      <c r="C29" s="397">
        <v>0</v>
      </c>
      <c r="D29" s="397">
        <v>0</v>
      </c>
      <c r="E29" s="397">
        <v>38.137999999999998</v>
      </c>
      <c r="F29" s="397">
        <v>0</v>
      </c>
      <c r="G29" s="397">
        <v>3.577</v>
      </c>
      <c r="H29" s="527">
        <v>0</v>
      </c>
      <c r="I29" s="397">
        <v>0</v>
      </c>
      <c r="J29" s="397">
        <v>0</v>
      </c>
      <c r="K29" s="397">
        <v>0</v>
      </c>
      <c r="L29" s="397">
        <v>0</v>
      </c>
      <c r="M29" s="397">
        <v>0</v>
      </c>
      <c r="N29" s="566">
        <f t="shared" si="0"/>
        <v>0.96899999999999586</v>
      </c>
    </row>
    <row r="30" spans="1:15" s="228" customFormat="1" ht="13.5">
      <c r="A30" s="333" t="s">
        <v>278</v>
      </c>
      <c r="B30" s="331">
        <v>0</v>
      </c>
      <c r="C30" s="397">
        <v>0</v>
      </c>
      <c r="D30" s="397">
        <v>0</v>
      </c>
      <c r="E30" s="397">
        <v>0</v>
      </c>
      <c r="F30" s="397">
        <v>0</v>
      </c>
      <c r="G30" s="397">
        <v>0</v>
      </c>
      <c r="H30" s="527">
        <v>0</v>
      </c>
      <c r="I30" s="397">
        <v>0</v>
      </c>
      <c r="J30" s="397">
        <v>0</v>
      </c>
      <c r="K30" s="397">
        <v>0</v>
      </c>
      <c r="L30" s="397">
        <v>0</v>
      </c>
      <c r="M30" s="397">
        <v>0</v>
      </c>
      <c r="N30" s="566">
        <f t="shared" si="0"/>
        <v>0</v>
      </c>
    </row>
    <row r="31" spans="1:15" s="228" customFormat="1">
      <c r="A31" s="333" t="s">
        <v>279</v>
      </c>
      <c r="B31" s="331">
        <v>14.26</v>
      </c>
      <c r="C31" s="397">
        <v>38.618000000000002</v>
      </c>
      <c r="D31" s="397">
        <v>65.924999999999997</v>
      </c>
      <c r="E31" s="397">
        <v>60.545999999999999</v>
      </c>
      <c r="F31" s="397">
        <v>28.181999999999999</v>
      </c>
      <c r="G31" s="397">
        <v>27.408999999999999</v>
      </c>
      <c r="H31" s="527">
        <v>29.41</v>
      </c>
      <c r="I31" s="397">
        <v>24.716999999999999</v>
      </c>
      <c r="J31" s="397">
        <v>0</v>
      </c>
      <c r="K31" s="397">
        <v>0</v>
      </c>
      <c r="L31" s="397">
        <v>0</v>
      </c>
      <c r="M31" s="397">
        <v>0</v>
      </c>
      <c r="N31" s="566">
        <f t="shared" si="0"/>
        <v>289.06699999999995</v>
      </c>
    </row>
    <row r="32" spans="1:15" s="228" customFormat="1" ht="13.5">
      <c r="A32" s="333" t="s">
        <v>280</v>
      </c>
      <c r="B32" s="331">
        <v>0</v>
      </c>
      <c r="C32" s="397">
        <v>0</v>
      </c>
      <c r="D32" s="397">
        <v>0</v>
      </c>
      <c r="E32" s="397">
        <v>29.76</v>
      </c>
      <c r="F32" s="397">
        <v>-0.66800000000000004</v>
      </c>
      <c r="G32" s="397">
        <v>80.459000000000003</v>
      </c>
      <c r="H32" s="527">
        <v>0</v>
      </c>
      <c r="I32" s="397">
        <v>0</v>
      </c>
      <c r="J32" s="397">
        <v>0</v>
      </c>
      <c r="K32" s="397">
        <v>0</v>
      </c>
      <c r="L32" s="397">
        <v>0</v>
      </c>
      <c r="M32" s="397">
        <v>0</v>
      </c>
      <c r="N32" s="566">
        <f t="shared" si="0"/>
        <v>109.551</v>
      </c>
    </row>
    <row r="33" spans="1:15" s="228" customFormat="1" ht="13.5">
      <c r="A33" s="333" t="s">
        <v>281</v>
      </c>
      <c r="B33" s="401">
        <v>8.4019999999999992</v>
      </c>
      <c r="C33" s="402">
        <v>108.336</v>
      </c>
      <c r="D33" s="402">
        <v>349.84399999999999</v>
      </c>
      <c r="E33" s="402">
        <v>-87.331000000000003</v>
      </c>
      <c r="F33" s="402">
        <v>62.57</v>
      </c>
      <c r="G33" s="402">
        <v>74.480999999999995</v>
      </c>
      <c r="H33" s="528">
        <v>62.57</v>
      </c>
      <c r="I33" s="402">
        <v>62.57</v>
      </c>
      <c r="J33" s="402">
        <v>0</v>
      </c>
      <c r="K33" s="402">
        <v>0</v>
      </c>
      <c r="L33" s="402">
        <v>0</v>
      </c>
      <c r="M33" s="402">
        <v>0</v>
      </c>
      <c r="N33" s="566">
        <f t="shared" si="0"/>
        <v>641.44200000000001</v>
      </c>
    </row>
    <row r="34" spans="1:15" ht="12.75" thickBot="1">
      <c r="A34" s="341" t="s">
        <v>282</v>
      </c>
      <c r="B34" s="465">
        <f t="shared" ref="B34:M34" si="1">SUM(B9:B33)</f>
        <v>203.04099999999997</v>
      </c>
      <c r="C34" s="466">
        <f t="shared" si="1"/>
        <v>788.15400000000011</v>
      </c>
      <c r="D34" s="466">
        <f t="shared" si="1"/>
        <v>1042.7279999999998</v>
      </c>
      <c r="E34" s="466">
        <f t="shared" si="1"/>
        <v>216.25</v>
      </c>
      <c r="F34" s="466">
        <f t="shared" si="1"/>
        <v>529.80899999999997</v>
      </c>
      <c r="G34" s="466">
        <f t="shared" si="1"/>
        <v>955.88999999999987</v>
      </c>
      <c r="H34" s="529">
        <f t="shared" si="1"/>
        <v>456.47899999999998</v>
      </c>
      <c r="I34" s="466">
        <f t="shared" si="1"/>
        <v>738.93200000000013</v>
      </c>
      <c r="J34" s="466">
        <f t="shared" si="1"/>
        <v>0</v>
      </c>
      <c r="K34" s="466">
        <f t="shared" si="1"/>
        <v>0</v>
      </c>
      <c r="L34" s="466">
        <f t="shared" si="1"/>
        <v>0</v>
      </c>
      <c r="M34" s="466">
        <f t="shared" si="1"/>
        <v>0</v>
      </c>
      <c r="N34" s="568">
        <f>SUM(N9:N33)</f>
        <v>4931.2830000000004</v>
      </c>
    </row>
    <row r="35" spans="1:15">
      <c r="A35" s="333"/>
      <c r="B35" s="331"/>
      <c r="C35" s="227"/>
      <c r="D35" s="227"/>
      <c r="E35" s="227"/>
      <c r="F35" s="227"/>
      <c r="G35" s="227"/>
      <c r="H35" s="530"/>
      <c r="I35" s="227"/>
      <c r="J35" s="227"/>
      <c r="K35" s="227"/>
      <c r="L35" s="227"/>
      <c r="M35" s="227"/>
      <c r="N35" s="566"/>
    </row>
    <row r="36" spans="1:15" s="228" customFormat="1">
      <c r="A36" s="332" t="s">
        <v>283</v>
      </c>
      <c r="B36" s="331"/>
      <c r="C36" s="227"/>
      <c r="D36" s="227"/>
      <c r="E36" s="227"/>
      <c r="F36" s="227"/>
      <c r="G36" s="227"/>
      <c r="H36" s="530"/>
      <c r="I36" s="227"/>
      <c r="J36" s="227"/>
      <c r="K36" s="227"/>
      <c r="L36" s="227"/>
      <c r="M36" s="227"/>
      <c r="N36" s="569"/>
      <c r="O36" s="215"/>
    </row>
    <row r="37" spans="1:15">
      <c r="A37" s="333" t="s">
        <v>261</v>
      </c>
      <c r="B37" s="399">
        <v>0</v>
      </c>
      <c r="C37" s="400">
        <v>0</v>
      </c>
      <c r="D37" s="400">
        <v>0</v>
      </c>
      <c r="E37" s="400">
        <v>0</v>
      </c>
      <c r="F37" s="400">
        <v>0</v>
      </c>
      <c r="G37" s="545">
        <v>0.02</v>
      </c>
      <c r="H37" s="526">
        <v>0</v>
      </c>
      <c r="I37" s="400">
        <v>0</v>
      </c>
      <c r="J37" s="400">
        <v>0</v>
      </c>
      <c r="K37" s="400">
        <v>0</v>
      </c>
      <c r="L37" s="400">
        <v>0</v>
      </c>
      <c r="M37" s="400">
        <v>0</v>
      </c>
      <c r="N37" s="566">
        <f t="shared" ref="N37:N46" si="2">SUM(B37:M37)</f>
        <v>0.02</v>
      </c>
    </row>
    <row r="38" spans="1:15" s="217" customFormat="1" ht="14.25">
      <c r="A38" s="334" t="s">
        <v>284</v>
      </c>
      <c r="B38" s="469">
        <v>4.1000000000000002E-2</v>
      </c>
      <c r="C38" s="397">
        <v>0.68400000000000005</v>
      </c>
      <c r="D38" s="397">
        <v>0</v>
      </c>
      <c r="E38" s="397">
        <v>0</v>
      </c>
      <c r="F38" s="397">
        <v>0</v>
      </c>
      <c r="G38" s="397">
        <v>0</v>
      </c>
      <c r="H38" s="527">
        <v>0.127</v>
      </c>
      <c r="I38" s="397">
        <v>0</v>
      </c>
      <c r="J38" s="397">
        <v>0</v>
      </c>
      <c r="K38" s="397">
        <v>0</v>
      </c>
      <c r="L38" s="397">
        <v>0</v>
      </c>
      <c r="M38" s="397">
        <v>0</v>
      </c>
      <c r="N38" s="566">
        <f t="shared" si="2"/>
        <v>0.85200000000000009</v>
      </c>
    </row>
    <row r="39" spans="1:15">
      <c r="A39" s="333" t="s">
        <v>189</v>
      </c>
      <c r="B39" s="331">
        <v>7.4930000000000003</v>
      </c>
      <c r="C39" s="397">
        <v>9.1129999999999995</v>
      </c>
      <c r="D39" s="397">
        <v>8.7270000000000003</v>
      </c>
      <c r="E39" s="397">
        <v>5.1609999999999996</v>
      </c>
      <c r="F39" s="397">
        <v>5.5590000000000002</v>
      </c>
      <c r="G39" s="397">
        <v>5.8609999999999998</v>
      </c>
      <c r="H39" s="527">
        <v>8.8420000000000005</v>
      </c>
      <c r="I39" s="397">
        <v>0</v>
      </c>
      <c r="J39" s="397">
        <v>0</v>
      </c>
      <c r="K39" s="397">
        <v>0</v>
      </c>
      <c r="L39" s="397">
        <v>0</v>
      </c>
      <c r="M39" s="397">
        <v>0</v>
      </c>
      <c r="N39" s="566">
        <f t="shared" si="2"/>
        <v>50.755999999999993</v>
      </c>
    </row>
    <row r="40" spans="1:15">
      <c r="A40" s="333" t="s">
        <v>285</v>
      </c>
      <c r="B40" s="331">
        <v>0</v>
      </c>
      <c r="C40" s="397">
        <v>0</v>
      </c>
      <c r="D40" s="397">
        <v>0</v>
      </c>
      <c r="E40" s="397">
        <v>0</v>
      </c>
      <c r="F40" s="397">
        <v>0</v>
      </c>
      <c r="G40" s="397">
        <v>0</v>
      </c>
      <c r="H40" s="527">
        <v>29.338999999999999</v>
      </c>
      <c r="I40" s="397">
        <v>0</v>
      </c>
      <c r="J40" s="397">
        <v>0</v>
      </c>
      <c r="K40" s="397">
        <v>0</v>
      </c>
      <c r="L40" s="397">
        <v>0</v>
      </c>
      <c r="M40" s="397">
        <v>0</v>
      </c>
      <c r="N40" s="566">
        <f t="shared" si="2"/>
        <v>29.338999999999999</v>
      </c>
    </row>
    <row r="41" spans="1:15" ht="13.5">
      <c r="A41" s="333" t="s">
        <v>286</v>
      </c>
      <c r="B41" s="331">
        <v>20.731999999999999</v>
      </c>
      <c r="C41" s="397">
        <v>137.51900000000001</v>
      </c>
      <c r="D41" s="397">
        <v>154.41499999999999</v>
      </c>
      <c r="E41" s="397">
        <v>135.97900000000001</v>
      </c>
      <c r="F41" s="397">
        <v>12.586</v>
      </c>
      <c r="G41" s="397">
        <v>37.682000000000002</v>
      </c>
      <c r="H41" s="527">
        <v>-37.682000000000002</v>
      </c>
      <c r="I41" s="397">
        <v>198.59399999999999</v>
      </c>
      <c r="J41" s="397">
        <v>0</v>
      </c>
      <c r="K41" s="397">
        <v>0</v>
      </c>
      <c r="L41" s="397">
        <v>0</v>
      </c>
      <c r="M41" s="397">
        <v>0</v>
      </c>
      <c r="N41" s="566">
        <f t="shared" si="2"/>
        <v>659.82500000000005</v>
      </c>
    </row>
    <row r="42" spans="1:15">
      <c r="A42" s="334" t="s">
        <v>287</v>
      </c>
      <c r="B42" s="331">
        <v>20</v>
      </c>
      <c r="C42" s="397">
        <v>20.3</v>
      </c>
      <c r="D42" s="397">
        <v>5.65</v>
      </c>
      <c r="E42" s="397">
        <v>12.8</v>
      </c>
      <c r="F42" s="397">
        <v>26.1</v>
      </c>
      <c r="G42" s="397">
        <v>30.75</v>
      </c>
      <c r="H42" s="527">
        <v>27.3</v>
      </c>
      <c r="I42" s="397">
        <v>29.6</v>
      </c>
      <c r="J42" s="397">
        <v>0</v>
      </c>
      <c r="K42" s="397">
        <v>0</v>
      </c>
      <c r="L42" s="397">
        <v>0</v>
      </c>
      <c r="M42" s="397">
        <v>0</v>
      </c>
      <c r="N42" s="566">
        <f t="shared" si="2"/>
        <v>172.5</v>
      </c>
    </row>
    <row r="43" spans="1:15">
      <c r="A43" s="333" t="s">
        <v>201</v>
      </c>
      <c r="B43" s="331">
        <v>0</v>
      </c>
      <c r="C43" s="397">
        <v>0.27600000000000002</v>
      </c>
      <c r="D43" s="397">
        <v>0</v>
      </c>
      <c r="E43" s="397">
        <v>0</v>
      </c>
      <c r="F43" s="397">
        <v>0</v>
      </c>
      <c r="G43" s="397">
        <v>0</v>
      </c>
      <c r="H43" s="527">
        <v>0</v>
      </c>
      <c r="I43" s="397">
        <v>0</v>
      </c>
      <c r="J43" s="397">
        <v>0</v>
      </c>
      <c r="K43" s="397">
        <v>0</v>
      </c>
      <c r="L43" s="397">
        <v>0</v>
      </c>
      <c r="M43" s="397">
        <v>0</v>
      </c>
      <c r="N43" s="566">
        <f t="shared" si="2"/>
        <v>0.27600000000000002</v>
      </c>
    </row>
    <row r="44" spans="1:15">
      <c r="A44" s="333" t="s">
        <v>268</v>
      </c>
      <c r="B44" s="331">
        <v>0</v>
      </c>
      <c r="C44" s="397">
        <v>0</v>
      </c>
      <c r="D44" s="397">
        <v>0</v>
      </c>
      <c r="E44" s="397">
        <v>0</v>
      </c>
      <c r="F44" s="397">
        <v>0</v>
      </c>
      <c r="G44" s="397">
        <v>0</v>
      </c>
      <c r="H44" s="527">
        <v>0</v>
      </c>
      <c r="I44" s="397">
        <v>0</v>
      </c>
      <c r="J44" s="397">
        <v>0</v>
      </c>
      <c r="K44" s="397">
        <v>0</v>
      </c>
      <c r="L44" s="397">
        <v>0</v>
      </c>
      <c r="M44" s="397">
        <v>0</v>
      </c>
      <c r="N44" s="566">
        <f t="shared" si="2"/>
        <v>0</v>
      </c>
    </row>
    <row r="45" spans="1:15">
      <c r="A45" s="461" t="s">
        <v>288</v>
      </c>
      <c r="B45" s="331">
        <v>0</v>
      </c>
      <c r="C45" s="397">
        <v>0</v>
      </c>
      <c r="D45" s="397">
        <v>0</v>
      </c>
      <c r="E45" s="397">
        <v>0</v>
      </c>
      <c r="F45" s="397">
        <v>0</v>
      </c>
      <c r="G45" s="397">
        <v>0</v>
      </c>
      <c r="H45" s="527">
        <v>0</v>
      </c>
      <c r="I45" s="397">
        <v>0</v>
      </c>
      <c r="J45" s="397">
        <v>0</v>
      </c>
      <c r="K45" s="397">
        <v>0</v>
      </c>
      <c r="L45" s="397">
        <v>0</v>
      </c>
      <c r="M45" s="397">
        <v>0</v>
      </c>
      <c r="N45" s="566">
        <f t="shared" si="2"/>
        <v>0</v>
      </c>
    </row>
    <row r="46" spans="1:15">
      <c r="A46" s="333" t="s">
        <v>289</v>
      </c>
      <c r="B46" s="331">
        <v>0</v>
      </c>
      <c r="C46" s="397">
        <v>0</v>
      </c>
      <c r="D46" s="397">
        <v>0</v>
      </c>
      <c r="E46" s="397">
        <v>0</v>
      </c>
      <c r="F46" s="397">
        <v>0</v>
      </c>
      <c r="G46" s="397">
        <v>0</v>
      </c>
      <c r="H46" s="527">
        <v>0</v>
      </c>
      <c r="I46" s="397">
        <v>0</v>
      </c>
      <c r="J46" s="397">
        <v>0</v>
      </c>
      <c r="K46" s="397">
        <v>0</v>
      </c>
      <c r="L46" s="397">
        <v>0</v>
      </c>
      <c r="M46" s="397">
        <v>0</v>
      </c>
      <c r="N46" s="566">
        <f t="shared" si="2"/>
        <v>0</v>
      </c>
    </row>
    <row r="47" spans="1:15">
      <c r="A47" s="467" t="s">
        <v>290</v>
      </c>
      <c r="B47" s="573">
        <f t="shared" ref="B47:M47" si="3">SUM(B37:B46)</f>
        <v>48.265999999999998</v>
      </c>
      <c r="C47" s="574">
        <f t="shared" si="3"/>
        <v>167.89200000000002</v>
      </c>
      <c r="D47" s="574">
        <f t="shared" si="3"/>
        <v>168.792</v>
      </c>
      <c r="E47" s="574">
        <f t="shared" si="3"/>
        <v>153.94000000000003</v>
      </c>
      <c r="F47" s="574">
        <f t="shared" si="3"/>
        <v>44.245000000000005</v>
      </c>
      <c r="G47" s="574">
        <f t="shared" si="3"/>
        <v>74.313000000000002</v>
      </c>
      <c r="H47" s="575">
        <f t="shared" si="3"/>
        <v>27.925999999999998</v>
      </c>
      <c r="I47" s="574">
        <f t="shared" si="3"/>
        <v>228.19399999999999</v>
      </c>
      <c r="J47" s="574">
        <f t="shared" si="3"/>
        <v>0</v>
      </c>
      <c r="K47" s="574">
        <f t="shared" si="3"/>
        <v>0</v>
      </c>
      <c r="L47" s="574">
        <f t="shared" si="3"/>
        <v>0</v>
      </c>
      <c r="M47" s="574">
        <f t="shared" si="3"/>
        <v>0</v>
      </c>
      <c r="N47" s="576">
        <f>SUM(N37:N46)</f>
        <v>913.56799999999998</v>
      </c>
    </row>
    <row r="48" spans="1:15" ht="20.25" customHeight="1" thickBot="1">
      <c r="A48" s="229" t="s">
        <v>291</v>
      </c>
      <c r="B48" s="577">
        <f t="shared" ref="B48:M48" si="4">B47+B34</f>
        <v>251.30699999999996</v>
      </c>
      <c r="C48" s="578">
        <f t="shared" si="4"/>
        <v>956.04600000000016</v>
      </c>
      <c r="D48" s="578">
        <f t="shared" si="4"/>
        <v>1211.5199999999998</v>
      </c>
      <c r="E48" s="578">
        <f t="shared" si="4"/>
        <v>370.19000000000005</v>
      </c>
      <c r="F48" s="578">
        <f t="shared" si="4"/>
        <v>574.05399999999997</v>
      </c>
      <c r="G48" s="578">
        <f t="shared" si="4"/>
        <v>1030.203</v>
      </c>
      <c r="H48" s="579">
        <f t="shared" si="4"/>
        <v>484.40499999999997</v>
      </c>
      <c r="I48" s="578">
        <f t="shared" si="4"/>
        <v>967.12600000000009</v>
      </c>
      <c r="J48" s="578">
        <f t="shared" si="4"/>
        <v>0</v>
      </c>
      <c r="K48" s="578">
        <f t="shared" si="4"/>
        <v>0</v>
      </c>
      <c r="L48" s="578">
        <f t="shared" si="4"/>
        <v>0</v>
      </c>
      <c r="M48" s="578">
        <f t="shared" si="4"/>
        <v>0</v>
      </c>
      <c r="N48" s="580">
        <f>N47+N34</f>
        <v>5844.8510000000006</v>
      </c>
    </row>
    <row r="49" spans="1:14" ht="16.5" customHeight="1">
      <c r="A49" s="230"/>
      <c r="B49" s="335"/>
      <c r="C49" s="335"/>
      <c r="D49" s="335"/>
      <c r="E49" s="335"/>
      <c r="F49" s="335"/>
      <c r="G49" s="335"/>
      <c r="H49" s="529"/>
      <c r="I49" s="335"/>
      <c r="J49" s="572"/>
      <c r="K49" s="335"/>
      <c r="L49" s="335"/>
      <c r="M49" s="335"/>
      <c r="N49" s="570"/>
    </row>
    <row r="50" spans="1:14" ht="30.75" customHeight="1" thickBot="1">
      <c r="A50" s="231" t="s">
        <v>292</v>
      </c>
      <c r="B50" s="232">
        <f>B48+0.2</f>
        <v>251.50699999999995</v>
      </c>
      <c r="C50" s="233">
        <f>C48+0.961</f>
        <v>957.00700000000018</v>
      </c>
      <c r="D50" s="233">
        <f>D48+2.359</f>
        <v>1213.8789999999997</v>
      </c>
      <c r="E50" s="367">
        <f>E48+3.129</f>
        <v>373.31900000000007</v>
      </c>
      <c r="F50" s="233">
        <f>F48+2.518</f>
        <v>576.572</v>
      </c>
      <c r="G50" s="233">
        <f>G48+0.907</f>
        <v>1031.1099999999999</v>
      </c>
      <c r="H50" s="531">
        <f>H48+0.697</f>
        <v>485.10199999999998</v>
      </c>
      <c r="I50" s="233">
        <f>I48+0.627</f>
        <v>967.75300000000004</v>
      </c>
      <c r="J50" s="233">
        <v>0</v>
      </c>
      <c r="K50" s="233">
        <v>0</v>
      </c>
      <c r="L50" s="233">
        <v>0</v>
      </c>
      <c r="M50" s="233">
        <v>0</v>
      </c>
      <c r="N50" s="571">
        <f>SUM(B50:M50)</f>
        <v>5856.2489999999998</v>
      </c>
    </row>
    <row r="51" spans="1:14" ht="12.75" customHeight="1">
      <c r="A51" s="265"/>
      <c r="B51" s="266"/>
      <c r="C51" s="266"/>
      <c r="D51" s="266"/>
      <c r="E51" s="266"/>
      <c r="F51" s="266"/>
      <c r="G51" s="266"/>
      <c r="H51" s="266"/>
      <c r="I51" s="266"/>
      <c r="J51" s="266"/>
      <c r="K51" s="266"/>
      <c r="L51" s="266"/>
      <c r="M51" s="266"/>
      <c r="N51" s="267"/>
    </row>
    <row r="52" spans="1:14" ht="12.75" customHeight="1">
      <c r="A52" s="478" t="s">
        <v>98</v>
      </c>
      <c r="B52" s="266"/>
      <c r="C52" s="266"/>
      <c r="D52" s="266"/>
      <c r="E52" s="266"/>
      <c r="F52" s="266"/>
      <c r="G52" s="266"/>
      <c r="H52" s="266"/>
      <c r="I52" s="266"/>
      <c r="J52" s="266"/>
      <c r="K52" s="266"/>
      <c r="L52" s="266"/>
      <c r="M52" s="266"/>
      <c r="N52" s="267"/>
    </row>
    <row r="53" spans="1:14" s="228" customFormat="1" ht="16.5">
      <c r="A53" s="453" t="s">
        <v>293</v>
      </c>
      <c r="G53" s="227"/>
      <c r="H53" s="227"/>
      <c r="J53" s="291"/>
    </row>
    <row r="54" spans="1:14" s="228" customFormat="1" ht="16.5" customHeight="1">
      <c r="A54" s="338" t="s">
        <v>177</v>
      </c>
      <c r="G54" s="227"/>
      <c r="H54" s="227"/>
      <c r="J54" s="291"/>
    </row>
    <row r="55" spans="1:14" s="228" customFormat="1" ht="16.5" customHeight="1">
      <c r="A55" s="338" t="s">
        <v>294</v>
      </c>
      <c r="G55" s="227"/>
      <c r="H55" s="227"/>
      <c r="J55" s="291"/>
    </row>
    <row r="56" spans="1:14" s="538" customFormat="1" ht="16.5">
      <c r="A56" s="338" t="s">
        <v>295</v>
      </c>
      <c r="J56" s="539"/>
    </row>
    <row r="57" spans="1:14" ht="16.5">
      <c r="A57" s="338" t="s">
        <v>296</v>
      </c>
      <c r="B57" s="130"/>
      <c r="C57" s="130"/>
      <c r="D57" s="130"/>
      <c r="E57" s="130"/>
      <c r="F57" s="130"/>
    </row>
    <row r="58" spans="1:14" s="217" customFormat="1" ht="16.5">
      <c r="A58" s="542" t="s">
        <v>297</v>
      </c>
      <c r="B58" s="201"/>
      <c r="C58" s="201"/>
      <c r="D58" s="201"/>
      <c r="E58" s="201"/>
      <c r="F58" s="201"/>
      <c r="J58" s="543"/>
    </row>
    <row r="59" spans="1:14" ht="16.5">
      <c r="A59" s="338" t="s">
        <v>223</v>
      </c>
    </row>
    <row r="60" spans="1:14" ht="16.5">
      <c r="A60" s="338" t="s">
        <v>298</v>
      </c>
    </row>
    <row r="61" spans="1:14" ht="15">
      <c r="A61" s="243" t="s">
        <v>73</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I17" sqref="I17"/>
    </sheetView>
  </sheetViews>
  <sheetFormatPr defaultColWidth="9.28515625" defaultRowHeight="12.75"/>
  <cols>
    <col min="1" max="1" width="39.42578125" style="16" customWidth="1"/>
    <col min="2" max="2" width="11" style="16" customWidth="1"/>
    <col min="3" max="3" width="9.7109375" style="16" customWidth="1"/>
    <col min="4" max="4" width="15.5703125" style="16" customWidth="1"/>
    <col min="5" max="5" width="11.7109375" style="16" customWidth="1"/>
    <col min="6" max="8" width="11" style="16" customWidth="1"/>
    <col min="9" max="9" width="10.28515625" style="16" bestFit="1" customWidth="1"/>
    <col min="10" max="13" width="11" style="16" customWidth="1"/>
    <col min="14" max="14" width="15.7109375" style="16" bestFit="1" customWidth="1"/>
    <col min="15" max="15" width="9.7109375" style="16" bestFit="1" customWidth="1"/>
    <col min="16" max="16" width="9.28515625" style="16"/>
    <col min="17" max="17" width="22.28515625" style="16" customWidth="1"/>
    <col min="18" max="16384" width="9.28515625" style="16"/>
  </cols>
  <sheetData>
    <row r="2" spans="1:14">
      <c r="E2" s="149" t="s">
        <v>39</v>
      </c>
    </row>
    <row r="3" spans="1:14">
      <c r="C3" s="161"/>
      <c r="D3" s="161"/>
      <c r="E3" s="162" t="s">
        <v>299</v>
      </c>
      <c r="F3" s="161"/>
      <c r="G3" s="161"/>
    </row>
    <row r="4" spans="1:14">
      <c r="A4" s="22"/>
      <c r="D4" s="161"/>
      <c r="E4" s="152" t="str">
        <f>'Program MW '!H3</f>
        <v>August 2020</v>
      </c>
      <c r="F4" s="161"/>
    </row>
    <row r="5" spans="1:14">
      <c r="A5" s="470"/>
      <c r="E5" s="152"/>
    </row>
    <row r="6" spans="1:14" ht="13.5" thickBot="1">
      <c r="A6" s="22"/>
      <c r="E6" s="152"/>
    </row>
    <row r="7" spans="1:14" ht="32.25" customHeight="1">
      <c r="A7" s="23" t="s">
        <v>258</v>
      </c>
      <c r="B7" s="24" t="s">
        <v>41</v>
      </c>
      <c r="C7" s="24" t="s">
        <v>42</v>
      </c>
      <c r="D7" s="24" t="s">
        <v>43</v>
      </c>
      <c r="E7" s="24" t="s">
        <v>44</v>
      </c>
      <c r="F7" s="24" t="s">
        <v>31</v>
      </c>
      <c r="G7" s="24" t="s">
        <v>45</v>
      </c>
      <c r="H7" s="24" t="s">
        <v>60</v>
      </c>
      <c r="I7" s="24" t="s">
        <v>75</v>
      </c>
      <c r="J7" s="24" t="s">
        <v>76</v>
      </c>
      <c r="K7" s="24" t="s">
        <v>62</v>
      </c>
      <c r="L7" s="24" t="s">
        <v>77</v>
      </c>
      <c r="M7" s="24" t="s">
        <v>63</v>
      </c>
      <c r="N7" s="555" t="s">
        <v>300</v>
      </c>
    </row>
    <row r="8" spans="1:14" ht="16.5">
      <c r="A8" s="25" t="s">
        <v>301</v>
      </c>
      <c r="N8" s="345"/>
    </row>
    <row r="9" spans="1:14" ht="6" customHeight="1">
      <c r="A9" s="26"/>
      <c r="N9" s="345"/>
    </row>
    <row r="10" spans="1:14">
      <c r="A10" s="26" t="s">
        <v>260</v>
      </c>
      <c r="N10" s="345"/>
    </row>
    <row r="11" spans="1:14" ht="14.25" customHeight="1">
      <c r="A11" s="27" t="s">
        <v>302</v>
      </c>
      <c r="B11" s="244">
        <v>2.2410000000000001</v>
      </c>
      <c r="C11" s="244">
        <v>2.25</v>
      </c>
      <c r="D11" s="244">
        <v>2.7269999999999999</v>
      </c>
      <c r="E11" s="244">
        <v>2.7210000000000001</v>
      </c>
      <c r="F11" s="244">
        <v>2.5259999999999998</v>
      </c>
      <c r="G11" s="244">
        <v>2.597</v>
      </c>
      <c r="H11" s="244">
        <v>2.6890000000000001</v>
      </c>
      <c r="I11" s="244">
        <v>2.2069999999999999</v>
      </c>
      <c r="J11" s="244">
        <v>0</v>
      </c>
      <c r="K11" s="244">
        <v>0</v>
      </c>
      <c r="L11" s="244">
        <v>0</v>
      </c>
      <c r="M11" s="244">
        <v>0</v>
      </c>
      <c r="N11" s="557">
        <f>SUM(B11:M11)</f>
        <v>19.957999999999998</v>
      </c>
    </row>
    <row r="12" spans="1:14">
      <c r="A12" s="27" t="s">
        <v>111</v>
      </c>
      <c r="B12" s="244">
        <v>0</v>
      </c>
      <c r="C12" s="244">
        <v>0</v>
      </c>
      <c r="D12" s="244">
        <v>0</v>
      </c>
      <c r="E12" s="244">
        <v>0</v>
      </c>
      <c r="F12" s="244">
        <v>0</v>
      </c>
      <c r="G12" s="244">
        <v>0</v>
      </c>
      <c r="H12" s="244">
        <v>0</v>
      </c>
      <c r="I12" s="244">
        <v>0</v>
      </c>
      <c r="J12" s="244">
        <v>0</v>
      </c>
      <c r="K12" s="244">
        <v>0</v>
      </c>
      <c r="L12" s="244">
        <v>0</v>
      </c>
      <c r="M12" s="244">
        <v>0</v>
      </c>
      <c r="N12" s="557">
        <f>SUM(B12:M12)</f>
        <v>0</v>
      </c>
    </row>
    <row r="13" spans="1:14">
      <c r="A13" s="27" t="s">
        <v>303</v>
      </c>
      <c r="B13" s="244">
        <v>0</v>
      </c>
      <c r="C13" s="244">
        <v>0</v>
      </c>
      <c r="D13" s="244">
        <v>0</v>
      </c>
      <c r="E13" s="244">
        <v>0</v>
      </c>
      <c r="F13" s="244">
        <v>0</v>
      </c>
      <c r="G13" s="244">
        <v>0</v>
      </c>
      <c r="H13" s="244">
        <v>0</v>
      </c>
      <c r="I13" s="244">
        <v>0</v>
      </c>
      <c r="J13" s="244">
        <v>0</v>
      </c>
      <c r="K13" s="244">
        <v>0</v>
      </c>
      <c r="L13" s="244">
        <v>0</v>
      </c>
      <c r="M13" s="244">
        <v>0</v>
      </c>
      <c r="N13" s="557">
        <f>SUM(B13:M13)</f>
        <v>0</v>
      </c>
    </row>
    <row r="14" spans="1:14">
      <c r="A14" s="20" t="s">
        <v>304</v>
      </c>
      <c r="B14" s="245">
        <f t="shared" ref="B14:M14" si="0">SUM(B11:B13)</f>
        <v>2.2410000000000001</v>
      </c>
      <c r="C14" s="245">
        <f t="shared" si="0"/>
        <v>2.25</v>
      </c>
      <c r="D14" s="245">
        <f t="shared" si="0"/>
        <v>2.7269999999999999</v>
      </c>
      <c r="E14" s="245">
        <f t="shared" si="0"/>
        <v>2.7210000000000001</v>
      </c>
      <c r="F14" s="245">
        <f t="shared" si="0"/>
        <v>2.5259999999999998</v>
      </c>
      <c r="G14" s="245">
        <f t="shared" si="0"/>
        <v>2.597</v>
      </c>
      <c r="H14" s="245">
        <f t="shared" si="0"/>
        <v>2.6890000000000001</v>
      </c>
      <c r="I14" s="245">
        <f t="shared" si="0"/>
        <v>2.2069999999999999</v>
      </c>
      <c r="J14" s="245">
        <f t="shared" si="0"/>
        <v>0</v>
      </c>
      <c r="K14" s="245">
        <f t="shared" si="0"/>
        <v>0</v>
      </c>
      <c r="L14" s="245">
        <f t="shared" si="0"/>
        <v>0</v>
      </c>
      <c r="M14" s="245">
        <f t="shared" si="0"/>
        <v>0</v>
      </c>
      <c r="N14" s="558">
        <f>SUM(B14:M14)</f>
        <v>19.957999999999998</v>
      </c>
    </row>
    <row r="15" spans="1:14">
      <c r="A15" s="27"/>
      <c r="B15" s="244"/>
      <c r="C15" s="244"/>
      <c r="D15" s="244"/>
      <c r="E15" s="244"/>
      <c r="F15" s="244"/>
      <c r="G15" s="244"/>
      <c r="H15" s="244"/>
      <c r="I15" s="244"/>
      <c r="J15" s="244"/>
      <c r="K15" s="244"/>
      <c r="L15" s="244"/>
      <c r="M15" s="244"/>
      <c r="N15" s="557"/>
    </row>
    <row r="16" spans="1:14">
      <c r="A16" s="26" t="s">
        <v>305</v>
      </c>
      <c r="B16" s="244"/>
      <c r="C16" s="244"/>
      <c r="D16" s="244"/>
      <c r="E16" s="244"/>
      <c r="F16" s="244"/>
      <c r="G16" s="244"/>
      <c r="H16" s="244"/>
      <c r="I16" s="244"/>
      <c r="J16" s="244"/>
      <c r="K16" s="244"/>
      <c r="L16" s="244"/>
      <c r="M16" s="244"/>
      <c r="N16" s="557"/>
    </row>
    <row r="17" spans="1:19" ht="14.25">
      <c r="A17" s="27" t="s">
        <v>306</v>
      </c>
      <c r="B17" s="244">
        <v>0</v>
      </c>
      <c r="C17" s="244">
        <v>0</v>
      </c>
      <c r="D17" s="244">
        <v>0</v>
      </c>
      <c r="E17" s="244">
        <v>0</v>
      </c>
      <c r="F17" s="244">
        <v>0</v>
      </c>
      <c r="G17" s="244">
        <v>0</v>
      </c>
      <c r="H17" s="250">
        <v>0</v>
      </c>
      <c r="I17" s="250">
        <v>0</v>
      </c>
      <c r="J17" s="250">
        <v>0</v>
      </c>
      <c r="K17" s="250">
        <v>0</v>
      </c>
      <c r="L17" s="250">
        <v>0</v>
      </c>
      <c r="M17" s="250">
        <v>0</v>
      </c>
      <c r="N17" s="557">
        <f>SUM(B17:M17)</f>
        <v>0</v>
      </c>
    </row>
    <row r="18" spans="1:19">
      <c r="A18" s="20" t="s">
        <v>307</v>
      </c>
      <c r="B18" s="245">
        <f t="shared" ref="B18:M18" si="1">SUM(B17:B17)</f>
        <v>0</v>
      </c>
      <c r="C18" s="245">
        <f t="shared" si="1"/>
        <v>0</v>
      </c>
      <c r="D18" s="245">
        <f t="shared" si="1"/>
        <v>0</v>
      </c>
      <c r="E18" s="245">
        <f t="shared" si="1"/>
        <v>0</v>
      </c>
      <c r="F18" s="245">
        <f t="shared" si="1"/>
        <v>0</v>
      </c>
      <c r="G18" s="245">
        <f t="shared" si="1"/>
        <v>0</v>
      </c>
      <c r="H18" s="245">
        <f t="shared" si="1"/>
        <v>0</v>
      </c>
      <c r="I18" s="245">
        <f t="shared" si="1"/>
        <v>0</v>
      </c>
      <c r="J18" s="245">
        <f t="shared" si="1"/>
        <v>0</v>
      </c>
      <c r="K18" s="245">
        <f t="shared" si="1"/>
        <v>0</v>
      </c>
      <c r="L18" s="245">
        <f t="shared" si="1"/>
        <v>0</v>
      </c>
      <c r="M18" s="245">
        <f t="shared" si="1"/>
        <v>0</v>
      </c>
      <c r="N18" s="558">
        <f>SUM(B18:M18)</f>
        <v>0</v>
      </c>
    </row>
    <row r="19" spans="1:19">
      <c r="A19" s="29"/>
      <c r="B19" s="244"/>
      <c r="C19" s="244"/>
      <c r="D19" s="244"/>
      <c r="E19" s="244"/>
      <c r="F19" s="244"/>
      <c r="G19" s="244"/>
      <c r="H19" s="244"/>
      <c r="I19" s="244"/>
      <c r="J19" s="244"/>
      <c r="K19" s="244"/>
      <c r="L19" s="244"/>
      <c r="M19" s="244"/>
      <c r="N19" s="557"/>
    </row>
    <row r="20" spans="1:19">
      <c r="A20" s="26" t="s">
        <v>308</v>
      </c>
      <c r="B20" s="244" t="s">
        <v>57</v>
      </c>
      <c r="C20" s="244" t="s">
        <v>57</v>
      </c>
      <c r="D20" s="244" t="s">
        <v>57</v>
      </c>
      <c r="E20" s="244"/>
      <c r="F20" s="244" t="s">
        <v>57</v>
      </c>
      <c r="G20" s="251"/>
      <c r="H20" s="244" t="s">
        <v>57</v>
      </c>
      <c r="I20" s="244" t="s">
        <v>57</v>
      </c>
      <c r="J20" s="244" t="s">
        <v>57</v>
      </c>
      <c r="K20" s="244" t="s">
        <v>57</v>
      </c>
      <c r="L20" s="244" t="s">
        <v>57</v>
      </c>
      <c r="M20" s="244" t="s">
        <v>57</v>
      </c>
      <c r="N20" s="557" t="s">
        <v>57</v>
      </c>
    </row>
    <row r="21" spans="1:19">
      <c r="A21" s="27" t="s">
        <v>309</v>
      </c>
      <c r="B21" s="244">
        <v>0</v>
      </c>
      <c r="C21" s="244">
        <v>0</v>
      </c>
      <c r="D21" s="244">
        <v>0</v>
      </c>
      <c r="E21" s="244">
        <v>0</v>
      </c>
      <c r="F21" s="244">
        <v>0</v>
      </c>
      <c r="G21" s="244">
        <v>0</v>
      </c>
      <c r="H21" s="250">
        <v>0</v>
      </c>
      <c r="I21" s="250">
        <v>0</v>
      </c>
      <c r="J21" s="250">
        <v>0</v>
      </c>
      <c r="K21" s="250">
        <v>0</v>
      </c>
      <c r="L21" s="250">
        <v>0</v>
      </c>
      <c r="M21" s="250">
        <v>0</v>
      </c>
      <c r="N21" s="557">
        <f>SUM(B21:M21)</f>
        <v>0</v>
      </c>
    </row>
    <row r="22" spans="1:19">
      <c r="A22" s="211" t="s">
        <v>310</v>
      </c>
      <c r="B22" s="245">
        <f t="shared" ref="B22:M22" si="2">SUM(B21:B21)</f>
        <v>0</v>
      </c>
      <c r="C22" s="245">
        <f t="shared" si="2"/>
        <v>0</v>
      </c>
      <c r="D22" s="245">
        <f t="shared" si="2"/>
        <v>0</v>
      </c>
      <c r="E22" s="245">
        <f t="shared" si="2"/>
        <v>0</v>
      </c>
      <c r="F22" s="245">
        <f t="shared" si="2"/>
        <v>0</v>
      </c>
      <c r="G22" s="245">
        <f t="shared" si="2"/>
        <v>0</v>
      </c>
      <c r="H22" s="245">
        <f t="shared" si="2"/>
        <v>0</v>
      </c>
      <c r="I22" s="245">
        <f t="shared" si="2"/>
        <v>0</v>
      </c>
      <c r="J22" s="245">
        <f t="shared" si="2"/>
        <v>0</v>
      </c>
      <c r="K22" s="245">
        <f t="shared" si="2"/>
        <v>0</v>
      </c>
      <c r="L22" s="245">
        <f t="shared" si="2"/>
        <v>0</v>
      </c>
      <c r="M22" s="245">
        <f t="shared" si="2"/>
        <v>0</v>
      </c>
      <c r="N22" s="558">
        <f>SUM(B22:M22)</f>
        <v>0</v>
      </c>
    </row>
    <row r="23" spans="1:19">
      <c r="A23" s="31"/>
      <c r="B23" s="244"/>
      <c r="C23" s="244"/>
      <c r="D23" s="244"/>
      <c r="E23" s="244"/>
      <c r="F23" s="244"/>
      <c r="G23" s="246"/>
      <c r="H23" s="244"/>
      <c r="I23" s="246"/>
      <c r="J23" s="244"/>
      <c r="K23" s="244"/>
      <c r="L23" s="246"/>
      <c r="M23" s="244"/>
      <c r="N23" s="557"/>
    </row>
    <row r="24" spans="1:19">
      <c r="A24" s="32" t="s">
        <v>283</v>
      </c>
      <c r="B24" s="244"/>
      <c r="C24" s="244"/>
      <c r="D24" s="244"/>
      <c r="E24" s="244"/>
      <c r="F24" s="244"/>
      <c r="G24" s="244"/>
      <c r="H24" s="244"/>
      <c r="I24" s="244"/>
      <c r="J24" s="244"/>
      <c r="K24" s="244"/>
      <c r="L24" s="244"/>
      <c r="M24" s="244"/>
      <c r="N24" s="557"/>
    </row>
    <row r="25" spans="1:19">
      <c r="A25" s="27" t="s">
        <v>110</v>
      </c>
      <c r="B25" s="244">
        <v>0</v>
      </c>
      <c r="C25" s="244">
        <v>0</v>
      </c>
      <c r="D25" s="244">
        <v>0</v>
      </c>
      <c r="E25" s="244">
        <v>0</v>
      </c>
      <c r="F25" s="244">
        <v>0</v>
      </c>
      <c r="G25" s="244">
        <v>0</v>
      </c>
      <c r="H25" s="250">
        <v>0</v>
      </c>
      <c r="I25" s="250">
        <v>0</v>
      </c>
      <c r="J25" s="250">
        <v>0</v>
      </c>
      <c r="K25" s="250">
        <v>0</v>
      </c>
      <c r="L25" s="250">
        <v>0</v>
      </c>
      <c r="M25" s="250">
        <v>0</v>
      </c>
      <c r="N25" s="557">
        <f>SUM(B25:M25)</f>
        <v>0</v>
      </c>
    </row>
    <row r="26" spans="1:19">
      <c r="A26" s="27" t="s">
        <v>111</v>
      </c>
      <c r="B26" s="244">
        <v>0</v>
      </c>
      <c r="C26" s="244">
        <v>0</v>
      </c>
      <c r="D26" s="244">
        <v>0</v>
      </c>
      <c r="E26" s="244">
        <v>0</v>
      </c>
      <c r="F26" s="244">
        <v>0</v>
      </c>
      <c r="G26" s="244">
        <v>0</v>
      </c>
      <c r="H26" s="250">
        <v>0</v>
      </c>
      <c r="I26" s="250">
        <v>0</v>
      </c>
      <c r="J26" s="250">
        <v>0</v>
      </c>
      <c r="K26" s="250">
        <v>0</v>
      </c>
      <c r="L26" s="250">
        <v>0</v>
      </c>
      <c r="M26" s="250">
        <v>0</v>
      </c>
      <c r="N26" s="557">
        <f>SUM(B26:M26)</f>
        <v>0</v>
      </c>
    </row>
    <row r="27" spans="1:19">
      <c r="A27" s="27" t="s">
        <v>303</v>
      </c>
      <c r="B27" s="244">
        <v>0</v>
      </c>
      <c r="C27" s="244">
        <v>0</v>
      </c>
      <c r="D27" s="244">
        <v>0</v>
      </c>
      <c r="E27" s="244">
        <v>0</v>
      </c>
      <c r="F27" s="244">
        <v>0</v>
      </c>
      <c r="G27" s="244">
        <v>0</v>
      </c>
      <c r="H27" s="250">
        <v>0</v>
      </c>
      <c r="I27" s="250">
        <v>0</v>
      </c>
      <c r="J27" s="250">
        <v>0</v>
      </c>
      <c r="K27" s="250">
        <v>0</v>
      </c>
      <c r="L27" s="250">
        <v>0</v>
      </c>
      <c r="M27" s="252">
        <v>0</v>
      </c>
      <c r="N27" s="557">
        <f>SUM(B27:M27)</f>
        <v>0</v>
      </c>
    </row>
    <row r="28" spans="1:19">
      <c r="A28" s="33" t="s">
        <v>290</v>
      </c>
      <c r="B28" s="245">
        <f t="shared" ref="B28:H28" si="3">SUM(B25:B27)</f>
        <v>0</v>
      </c>
      <c r="C28" s="245">
        <f t="shared" si="3"/>
        <v>0</v>
      </c>
      <c r="D28" s="245">
        <f t="shared" si="3"/>
        <v>0</v>
      </c>
      <c r="E28" s="245">
        <f t="shared" si="3"/>
        <v>0</v>
      </c>
      <c r="F28" s="245">
        <f t="shared" si="3"/>
        <v>0</v>
      </c>
      <c r="G28" s="245">
        <f t="shared" si="3"/>
        <v>0</v>
      </c>
      <c r="H28" s="245">
        <f t="shared" si="3"/>
        <v>0</v>
      </c>
      <c r="I28" s="245">
        <f>SUM(I24:I27)</f>
        <v>0</v>
      </c>
      <c r="J28" s="245">
        <f>SUM(J25:J27)</f>
        <v>0</v>
      </c>
      <c r="K28" s="245">
        <f>SUM(K25:K27)</f>
        <v>0</v>
      </c>
      <c r="L28" s="245">
        <f>SUM(L25:L27)</f>
        <v>0</v>
      </c>
      <c r="M28" s="245">
        <f>SUM(M25:M27)</f>
        <v>0</v>
      </c>
      <c r="N28" s="558">
        <f>SUM(B28:M28)</f>
        <v>0</v>
      </c>
      <c r="O28" s="28"/>
    </row>
    <row r="29" spans="1:19" ht="10.5" customHeight="1">
      <c r="A29" s="34"/>
      <c r="B29" s="246"/>
      <c r="C29" s="246"/>
      <c r="D29" s="246"/>
      <c r="E29" s="246"/>
      <c r="F29" s="246"/>
      <c r="G29" s="246"/>
      <c r="H29" s="246"/>
      <c r="I29" s="246"/>
      <c r="J29" s="246"/>
      <c r="K29" s="246"/>
      <c r="L29" s="246"/>
      <c r="M29" s="246"/>
      <c r="N29" s="559"/>
    </row>
    <row r="30" spans="1:19" ht="15" customHeight="1">
      <c r="A30" s="20" t="s">
        <v>311</v>
      </c>
      <c r="B30" s="247">
        <v>0</v>
      </c>
      <c r="C30" s="247">
        <v>0</v>
      </c>
      <c r="D30" s="247">
        <v>0</v>
      </c>
      <c r="E30" s="247">
        <v>0</v>
      </c>
      <c r="F30" s="247">
        <v>0</v>
      </c>
      <c r="G30" s="247">
        <v>0</v>
      </c>
      <c r="H30" s="247">
        <v>0</v>
      </c>
      <c r="I30" s="247">
        <v>0</v>
      </c>
      <c r="J30" s="245">
        <v>0</v>
      </c>
      <c r="K30" s="245">
        <v>0</v>
      </c>
      <c r="L30" s="247">
        <v>0</v>
      </c>
      <c r="M30" s="247">
        <v>0</v>
      </c>
      <c r="N30" s="560">
        <f>SUM(B30:M30)</f>
        <v>0</v>
      </c>
      <c r="O30" s="30"/>
      <c r="P30" s="30"/>
      <c r="Q30" s="30"/>
      <c r="R30" s="30"/>
      <c r="S30" s="35"/>
    </row>
    <row r="31" spans="1:19" ht="28.5" customHeight="1" thickBot="1">
      <c r="A31" s="21" t="s">
        <v>312</v>
      </c>
      <c r="B31" s="248">
        <f t="shared" ref="B31:M31" si="4">B14+B18+B22+B28+B30</f>
        <v>2.2410000000000001</v>
      </c>
      <c r="C31" s="248">
        <f t="shared" si="4"/>
        <v>2.25</v>
      </c>
      <c r="D31" s="248">
        <f t="shared" si="4"/>
        <v>2.7269999999999999</v>
      </c>
      <c r="E31" s="248">
        <f t="shared" si="4"/>
        <v>2.7210000000000001</v>
      </c>
      <c r="F31" s="248">
        <f t="shared" si="4"/>
        <v>2.5259999999999998</v>
      </c>
      <c r="G31" s="248">
        <f t="shared" si="4"/>
        <v>2.597</v>
      </c>
      <c r="H31" s="248">
        <f t="shared" si="4"/>
        <v>2.6890000000000001</v>
      </c>
      <c r="I31" s="248">
        <f t="shared" si="4"/>
        <v>2.2069999999999999</v>
      </c>
      <c r="J31" s="248">
        <f t="shared" si="4"/>
        <v>0</v>
      </c>
      <c r="K31" s="248">
        <f t="shared" si="4"/>
        <v>0</v>
      </c>
      <c r="L31" s="248">
        <f t="shared" si="4"/>
        <v>0</v>
      </c>
      <c r="M31" s="248">
        <f t="shared" si="4"/>
        <v>0</v>
      </c>
      <c r="N31" s="561">
        <f>SUM(B31:M31)</f>
        <v>19.957999999999998</v>
      </c>
      <c r="O31" s="28"/>
    </row>
    <row r="32" spans="1:19" ht="12" customHeight="1">
      <c r="A32" s="36"/>
      <c r="B32" s="37"/>
      <c r="C32" s="37"/>
      <c r="D32" s="249"/>
      <c r="E32" s="37"/>
      <c r="F32" s="37"/>
      <c r="G32" s="37"/>
      <c r="H32" s="37"/>
      <c r="I32" s="249"/>
      <c r="J32" s="249"/>
      <c r="K32" s="249"/>
      <c r="L32" s="249"/>
      <c r="M32" s="249"/>
      <c r="N32" s="37"/>
    </row>
    <row r="33" spans="1:14" ht="14.25">
      <c r="A33" s="510"/>
    </row>
    <row r="34" spans="1:14" ht="12" customHeight="1">
      <c r="A34" s="243" t="s">
        <v>73</v>
      </c>
      <c r="B34" s="28"/>
      <c r="C34" s="28"/>
      <c r="D34" s="28"/>
      <c r="E34" s="28"/>
      <c r="F34" s="28"/>
      <c r="G34" s="28"/>
      <c r="H34" s="28"/>
      <c r="I34" s="28"/>
      <c r="J34" s="28"/>
      <c r="K34" s="28"/>
      <c r="L34" s="28"/>
      <c r="M34" s="28"/>
      <c r="N34" s="28"/>
    </row>
    <row r="35" spans="1:14" ht="14.25" customHeight="1">
      <c r="A35" s="696"/>
      <c r="B35" s="696"/>
      <c r="C35" s="696"/>
      <c r="D35" s="696"/>
      <c r="E35" s="696"/>
      <c r="F35" s="696"/>
      <c r="G35" s="696"/>
      <c r="H35" s="696"/>
      <c r="I35" s="696"/>
      <c r="J35" s="696"/>
      <c r="K35" s="696"/>
      <c r="L35" s="696"/>
      <c r="M35" s="696"/>
      <c r="N35" s="696"/>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zoomScaleNormal="100" zoomScaleSheetLayoutView="75" workbookViewId="0">
      <selection activeCell="I14" sqref="I14"/>
    </sheetView>
  </sheetViews>
  <sheetFormatPr defaultColWidth="9.28515625" defaultRowHeight="12.75"/>
  <cols>
    <col min="1" max="1" width="53.42578125" style="16" customWidth="1"/>
    <col min="2" max="2" width="11" style="16" customWidth="1"/>
    <col min="3" max="3" width="9.7109375" style="16" customWidth="1"/>
    <col min="4" max="4" width="15.5703125" style="16" customWidth="1"/>
    <col min="5" max="5" width="11.7109375" style="16" customWidth="1"/>
    <col min="6" max="8" width="11" style="16" customWidth="1"/>
    <col min="9" max="9" width="10.28515625" style="16" bestFit="1" customWidth="1"/>
    <col min="10" max="10" width="11" style="16" customWidth="1"/>
    <col min="11" max="11" width="11.5703125" style="16" customWidth="1"/>
    <col min="12" max="12" width="11" style="16" customWidth="1"/>
    <col min="13" max="13" width="12.28515625" style="16" bestFit="1" customWidth="1"/>
    <col min="14" max="14" width="15.7109375" style="16" bestFit="1" customWidth="1"/>
    <col min="15" max="15" width="9.7109375" style="16" bestFit="1" customWidth="1"/>
    <col min="16" max="16" width="22.7109375" style="16" bestFit="1" customWidth="1"/>
    <col min="17" max="17" width="22.28515625" style="16" customWidth="1"/>
    <col min="18" max="16384" width="9.28515625" style="16"/>
  </cols>
  <sheetData>
    <row r="3" spans="1:16">
      <c r="E3" s="149" t="s">
        <v>39</v>
      </c>
    </row>
    <row r="4" spans="1:16">
      <c r="C4" s="161"/>
      <c r="D4" s="161"/>
      <c r="E4" s="162" t="s">
        <v>313</v>
      </c>
      <c r="F4" s="161"/>
      <c r="G4" s="161"/>
    </row>
    <row r="5" spans="1:16">
      <c r="D5" s="161"/>
      <c r="E5" s="152" t="str">
        <f>'Program MW '!H3</f>
        <v>August 2020</v>
      </c>
      <c r="F5" s="161"/>
    </row>
    <row r="6" spans="1:16">
      <c r="E6" s="152"/>
    </row>
    <row r="7" spans="1:16" ht="13.5" thickBot="1">
      <c r="A7" s="22"/>
    </row>
    <row r="8" spans="1:16" ht="32.25" customHeight="1" thickBot="1">
      <c r="A8" s="391" t="s">
        <v>258</v>
      </c>
      <c r="B8" s="353" t="s">
        <v>41</v>
      </c>
      <c r="C8" s="24" t="s">
        <v>42</v>
      </c>
      <c r="D8" s="24" t="s">
        <v>43</v>
      </c>
      <c r="E8" s="24" t="s">
        <v>44</v>
      </c>
      <c r="F8" s="24" t="s">
        <v>31</v>
      </c>
      <c r="G8" s="24" t="s">
        <v>45</v>
      </c>
      <c r="H8" s="24" t="s">
        <v>60</v>
      </c>
      <c r="I8" s="24" t="s">
        <v>75</v>
      </c>
      <c r="J8" s="24" t="s">
        <v>76</v>
      </c>
      <c r="K8" s="24" t="s">
        <v>62</v>
      </c>
      <c r="L8" s="24" t="s">
        <v>77</v>
      </c>
      <c r="M8" s="24" t="s">
        <v>63</v>
      </c>
      <c r="N8" s="555" t="s">
        <v>300</v>
      </c>
    </row>
    <row r="9" spans="1:16" ht="25.5">
      <c r="A9" s="392" t="s">
        <v>314</v>
      </c>
      <c r="B9" s="513"/>
      <c r="C9" s="251"/>
      <c r="M9" s="390"/>
      <c r="N9" s="556"/>
      <c r="P9" s="390"/>
    </row>
    <row r="10" spans="1:16" ht="6" customHeight="1">
      <c r="A10" s="342"/>
      <c r="B10" s="513"/>
      <c r="C10" s="251"/>
      <c r="M10" s="390"/>
      <c r="N10" s="345"/>
    </row>
    <row r="11" spans="1:16">
      <c r="A11" s="342" t="s">
        <v>260</v>
      </c>
      <c r="B11" s="513"/>
      <c r="C11" s="251"/>
      <c r="M11" s="390"/>
      <c r="N11" s="345"/>
    </row>
    <row r="12" spans="1:16" ht="14.25">
      <c r="A12" s="343" t="s">
        <v>315</v>
      </c>
      <c r="B12" s="514">
        <v>0.624</v>
      </c>
      <c r="C12" s="514">
        <v>0</v>
      </c>
      <c r="D12" s="474">
        <v>9.1020000000000003</v>
      </c>
      <c r="E12" s="474">
        <v>-15.545</v>
      </c>
      <c r="F12" s="474">
        <v>6.4119999999999999</v>
      </c>
      <c r="G12" s="474">
        <v>0</v>
      </c>
      <c r="H12" s="474">
        <v>0</v>
      </c>
      <c r="I12" s="474">
        <v>0</v>
      </c>
      <c r="J12" s="474">
        <v>0</v>
      </c>
      <c r="K12" s="474">
        <v>0</v>
      </c>
      <c r="L12" s="474">
        <v>0</v>
      </c>
      <c r="M12" s="474">
        <v>0</v>
      </c>
      <c r="N12" s="557">
        <f t="shared" ref="N12:N17" si="0">SUM(B12:M12)</f>
        <v>0.59300000000000086</v>
      </c>
    </row>
    <row r="13" spans="1:16" ht="14.25">
      <c r="A13" s="343" t="s">
        <v>316</v>
      </c>
      <c r="B13" s="514">
        <v>41.542999999999999</v>
      </c>
      <c r="C13" s="514">
        <v>81.834000000000003</v>
      </c>
      <c r="D13" s="474">
        <v>59.106999999999999</v>
      </c>
      <c r="E13" s="474">
        <v>70.947999999999993</v>
      </c>
      <c r="F13" s="474">
        <v>83.474000000000004</v>
      </c>
      <c r="G13" s="474">
        <v>54.384</v>
      </c>
      <c r="H13" s="474">
        <v>26.027999999999999</v>
      </c>
      <c r="I13" s="474">
        <v>50.325000000000003</v>
      </c>
      <c r="J13" s="474">
        <v>0</v>
      </c>
      <c r="K13" s="474">
        <v>0</v>
      </c>
      <c r="L13" s="474">
        <v>0</v>
      </c>
      <c r="M13" s="474">
        <v>0</v>
      </c>
      <c r="N13" s="557">
        <f t="shared" si="0"/>
        <v>467.64300000000003</v>
      </c>
    </row>
    <row r="14" spans="1:16" ht="14.25">
      <c r="A14" s="343" t="s">
        <v>317</v>
      </c>
      <c r="B14" s="514">
        <v>0</v>
      </c>
      <c r="C14" s="514">
        <v>0</v>
      </c>
      <c r="D14" s="474">
        <v>0</v>
      </c>
      <c r="E14" s="474">
        <v>0</v>
      </c>
      <c r="F14" s="474">
        <v>0</v>
      </c>
      <c r="G14" s="474">
        <v>10.582000000000001</v>
      </c>
      <c r="H14" s="474">
        <v>-3.8650000000000002</v>
      </c>
      <c r="I14" s="474">
        <v>22.896000000000001</v>
      </c>
      <c r="J14" s="474">
        <v>0</v>
      </c>
      <c r="K14" s="474">
        <v>0</v>
      </c>
      <c r="L14" s="474">
        <v>0</v>
      </c>
      <c r="M14" s="474">
        <v>0</v>
      </c>
      <c r="N14" s="557">
        <f t="shared" si="0"/>
        <v>29.613</v>
      </c>
    </row>
    <row r="15" spans="1:16" ht="14.25">
      <c r="A15" s="343" t="s">
        <v>318</v>
      </c>
      <c r="B15" s="514">
        <v>0</v>
      </c>
      <c r="C15" s="514">
        <v>0</v>
      </c>
      <c r="D15" s="474">
        <v>0</v>
      </c>
      <c r="E15" s="474">
        <v>21.759</v>
      </c>
      <c r="F15" s="474">
        <v>0</v>
      </c>
      <c r="G15" s="474">
        <v>0</v>
      </c>
      <c r="H15" s="474">
        <v>0</v>
      </c>
      <c r="I15" s="474">
        <v>0</v>
      </c>
      <c r="J15" s="474">
        <v>0</v>
      </c>
      <c r="K15" s="474">
        <v>0</v>
      </c>
      <c r="L15" s="474">
        <v>0</v>
      </c>
      <c r="M15" s="474">
        <v>0</v>
      </c>
      <c r="N15" s="557">
        <f t="shared" si="0"/>
        <v>21.759</v>
      </c>
    </row>
    <row r="16" spans="1:16" ht="14.25">
      <c r="A16" s="393" t="s">
        <v>319</v>
      </c>
      <c r="B16" s="514">
        <v>0</v>
      </c>
      <c r="C16" s="514">
        <v>0</v>
      </c>
      <c r="D16" s="474">
        <v>0</v>
      </c>
      <c r="E16" s="474">
        <v>0</v>
      </c>
      <c r="F16" s="474">
        <v>7.0780000000000003</v>
      </c>
      <c r="G16" s="474">
        <v>33.576999999999998</v>
      </c>
      <c r="H16" s="474">
        <v>11.531000000000001</v>
      </c>
      <c r="I16" s="474">
        <v>0</v>
      </c>
      <c r="J16" s="474">
        <v>0</v>
      </c>
      <c r="K16" s="474">
        <v>0</v>
      </c>
      <c r="L16" s="474">
        <v>0</v>
      </c>
      <c r="M16" s="474">
        <v>0</v>
      </c>
      <c r="N16" s="557">
        <f t="shared" si="0"/>
        <v>52.186</v>
      </c>
      <c r="O16" s="28"/>
    </row>
    <row r="17" spans="1:16">
      <c r="A17" s="468" t="s">
        <v>304</v>
      </c>
      <c r="B17" s="515">
        <f t="shared" ref="B17:M17" si="1">SUM(B12:B16)</f>
        <v>42.167000000000002</v>
      </c>
      <c r="C17" s="516">
        <f t="shared" si="1"/>
        <v>81.834000000000003</v>
      </c>
      <c r="D17" s="245">
        <f t="shared" si="1"/>
        <v>68.209000000000003</v>
      </c>
      <c r="E17" s="245">
        <f t="shared" si="1"/>
        <v>77.161999999999992</v>
      </c>
      <c r="F17" s="245">
        <f t="shared" si="1"/>
        <v>96.964000000000013</v>
      </c>
      <c r="G17" s="245">
        <f t="shared" si="1"/>
        <v>98.543000000000006</v>
      </c>
      <c r="H17" s="245">
        <f t="shared" si="1"/>
        <v>33.693999999999996</v>
      </c>
      <c r="I17" s="245">
        <f t="shared" si="1"/>
        <v>73.221000000000004</v>
      </c>
      <c r="J17" s="245">
        <f t="shared" si="1"/>
        <v>0</v>
      </c>
      <c r="K17" s="245">
        <f t="shared" si="1"/>
        <v>0</v>
      </c>
      <c r="L17" s="245">
        <f t="shared" si="1"/>
        <v>0</v>
      </c>
      <c r="M17" s="245">
        <f t="shared" si="1"/>
        <v>0</v>
      </c>
      <c r="N17" s="558">
        <f t="shared" si="0"/>
        <v>571.7940000000001</v>
      </c>
    </row>
    <row r="18" spans="1:16">
      <c r="A18" s="345"/>
      <c r="B18" s="517"/>
      <c r="C18" s="30"/>
      <c r="D18" s="244"/>
      <c r="E18" s="244"/>
      <c r="F18" s="244"/>
      <c r="G18" s="244"/>
      <c r="H18" s="244"/>
      <c r="I18" s="244"/>
      <c r="J18" s="244" t="s">
        <v>57</v>
      </c>
      <c r="K18" s="244"/>
      <c r="L18" s="244"/>
      <c r="M18" s="474"/>
      <c r="N18" s="557"/>
      <c r="P18" s="386"/>
    </row>
    <row r="19" spans="1:16">
      <c r="A19" s="342" t="s">
        <v>320</v>
      </c>
      <c r="B19" s="517"/>
      <c r="C19" s="30"/>
      <c r="D19" s="244"/>
      <c r="E19" s="244"/>
      <c r="F19" s="244"/>
      <c r="G19" s="244"/>
      <c r="H19" s="244"/>
      <c r="I19" s="244"/>
      <c r="J19" s="244"/>
      <c r="K19" s="244"/>
      <c r="L19" s="244"/>
      <c r="M19" s="474"/>
      <c r="N19" s="557"/>
      <c r="P19" s="386"/>
    </row>
    <row r="20" spans="1:16">
      <c r="A20" s="343" t="s">
        <v>321</v>
      </c>
      <c r="B20" s="517">
        <v>43.341999999999999</v>
      </c>
      <c r="C20" s="30">
        <v>43.341999999999999</v>
      </c>
      <c r="D20" s="244">
        <v>43.341999999999999</v>
      </c>
      <c r="E20" s="244">
        <v>43.359000000000002</v>
      </c>
      <c r="F20" s="244">
        <v>43.359000000000002</v>
      </c>
      <c r="G20" s="244">
        <v>43.359000000000002</v>
      </c>
      <c r="H20" s="244">
        <v>43.359000000000002</v>
      </c>
      <c r="I20" s="244">
        <v>43.359000000000002</v>
      </c>
      <c r="J20" s="244">
        <v>0</v>
      </c>
      <c r="K20" s="244">
        <v>0</v>
      </c>
      <c r="L20" s="244">
        <v>0</v>
      </c>
      <c r="M20" s="474">
        <v>0</v>
      </c>
      <c r="N20" s="557">
        <f>SUM(B20:M20)</f>
        <v>346.82099999999997</v>
      </c>
      <c r="P20" s="386"/>
    </row>
    <row r="21" spans="1:16">
      <c r="A21" s="343" t="s">
        <v>322</v>
      </c>
      <c r="B21" s="517">
        <v>19.079000000000001</v>
      </c>
      <c r="C21" s="30">
        <v>19.116</v>
      </c>
      <c r="D21" s="244">
        <v>19.033999999999999</v>
      </c>
      <c r="E21" s="244">
        <v>18.96</v>
      </c>
      <c r="F21" s="244">
        <v>18.879000000000001</v>
      </c>
      <c r="G21" s="244">
        <v>18.797000000000001</v>
      </c>
      <c r="H21" s="244">
        <v>18.716999999999999</v>
      </c>
      <c r="I21" s="244">
        <v>18.635000000000002</v>
      </c>
      <c r="J21" s="244">
        <v>0</v>
      </c>
      <c r="K21" s="244">
        <v>0</v>
      </c>
      <c r="L21" s="244">
        <v>0</v>
      </c>
      <c r="M21" s="474">
        <v>0</v>
      </c>
      <c r="N21" s="557">
        <f t="shared" ref="N21:N22" si="2">SUM(B21:M21)</f>
        <v>151.21699999999998</v>
      </c>
      <c r="P21" s="386"/>
    </row>
    <row r="22" spans="1:16">
      <c r="A22" s="343" t="s">
        <v>323</v>
      </c>
      <c r="B22" s="517">
        <v>2.4089999999999998</v>
      </c>
      <c r="C22" s="30">
        <v>2.4089999999999998</v>
      </c>
      <c r="D22" s="244">
        <v>2.4089999999999998</v>
      </c>
      <c r="E22" s="244">
        <v>2.4089999999999998</v>
      </c>
      <c r="F22" s="244">
        <v>2.4089999999999998</v>
      </c>
      <c r="G22" s="244">
        <v>2.4089999999999998</v>
      </c>
      <c r="H22" s="244">
        <v>1.772</v>
      </c>
      <c r="I22" s="244">
        <v>1.772</v>
      </c>
      <c r="J22" s="244">
        <v>0</v>
      </c>
      <c r="K22" s="244">
        <v>0</v>
      </c>
      <c r="L22" s="244">
        <v>0</v>
      </c>
      <c r="M22" s="474">
        <v>0</v>
      </c>
      <c r="N22" s="557">
        <f t="shared" si="2"/>
        <v>17.997999999999994</v>
      </c>
      <c r="P22" s="386"/>
    </row>
    <row r="23" spans="1:16">
      <c r="A23" s="346" t="s">
        <v>324</v>
      </c>
      <c r="B23" s="517">
        <v>8.3109999999999999</v>
      </c>
      <c r="C23" s="30">
        <v>8.0380000000000003</v>
      </c>
      <c r="D23" s="244">
        <v>7.7649999999999997</v>
      </c>
      <c r="E23" s="244">
        <v>7.4930000000000003</v>
      </c>
      <c r="F23" s="244">
        <v>7.22</v>
      </c>
      <c r="G23" s="244">
        <v>6.9470000000000001</v>
      </c>
      <c r="H23" s="244">
        <v>6.6740000000000004</v>
      </c>
      <c r="I23" s="244">
        <v>6.4009999999999998</v>
      </c>
      <c r="J23" s="244">
        <v>0</v>
      </c>
      <c r="K23" s="244">
        <v>0</v>
      </c>
      <c r="L23" s="244">
        <v>0</v>
      </c>
      <c r="M23" s="474">
        <v>0</v>
      </c>
      <c r="N23" s="557">
        <f>SUM(B23:M23)</f>
        <v>58.849000000000004</v>
      </c>
      <c r="P23" s="386"/>
    </row>
    <row r="24" spans="1:16">
      <c r="A24" s="344" t="s">
        <v>307</v>
      </c>
      <c r="B24" s="518">
        <f>SUM(B20:B23)</f>
        <v>73.140999999999991</v>
      </c>
      <c r="C24" s="516">
        <f t="shared" ref="C24:M24" si="3">SUM(C20:C23)</f>
        <v>72.905000000000001</v>
      </c>
      <c r="D24" s="245">
        <f t="shared" si="3"/>
        <v>72.55</v>
      </c>
      <c r="E24" s="245">
        <f t="shared" si="3"/>
        <v>72.221000000000004</v>
      </c>
      <c r="F24" s="245">
        <f t="shared" si="3"/>
        <v>71.867000000000004</v>
      </c>
      <c r="G24" s="245">
        <f t="shared" si="3"/>
        <v>71.512000000000015</v>
      </c>
      <c r="H24" s="245">
        <f t="shared" si="3"/>
        <v>70.522000000000006</v>
      </c>
      <c r="I24" s="245">
        <f t="shared" si="3"/>
        <v>70.167000000000002</v>
      </c>
      <c r="J24" s="245">
        <f t="shared" si="3"/>
        <v>0</v>
      </c>
      <c r="K24" s="245">
        <f t="shared" si="3"/>
        <v>0</v>
      </c>
      <c r="L24" s="245">
        <f t="shared" si="3"/>
        <v>0</v>
      </c>
      <c r="M24" s="245">
        <f t="shared" si="3"/>
        <v>0</v>
      </c>
      <c r="N24" s="558">
        <f>SUM(B24:M24)</f>
        <v>574.88499999999999</v>
      </c>
      <c r="P24" s="386"/>
    </row>
    <row r="25" spans="1:16">
      <c r="A25" s="346"/>
      <c r="B25" s="517"/>
      <c r="C25" s="30"/>
      <c r="D25" s="244"/>
      <c r="E25" s="244"/>
      <c r="F25" s="244"/>
      <c r="G25" s="244"/>
      <c r="H25" s="244"/>
      <c r="I25" s="244"/>
      <c r="J25" s="244"/>
      <c r="K25" s="244"/>
      <c r="L25" s="244"/>
      <c r="M25" s="474"/>
      <c r="N25" s="557"/>
      <c r="P25" s="386"/>
    </row>
    <row r="26" spans="1:16">
      <c r="A26" s="342"/>
      <c r="B26" s="517" t="s">
        <v>57</v>
      </c>
      <c r="C26" s="30" t="s">
        <v>57</v>
      </c>
      <c r="D26" s="244" t="s">
        <v>57</v>
      </c>
      <c r="E26" s="244"/>
      <c r="F26" s="244" t="s">
        <v>57</v>
      </c>
      <c r="G26" s="251"/>
      <c r="H26" s="250" t="s">
        <v>57</v>
      </c>
      <c r="I26" s="250" t="s">
        <v>57</v>
      </c>
      <c r="J26" s="250" t="s">
        <v>57</v>
      </c>
      <c r="K26" s="250" t="s">
        <v>57</v>
      </c>
      <c r="L26" s="250" t="s">
        <v>57</v>
      </c>
      <c r="M26" s="554" t="s">
        <v>57</v>
      </c>
      <c r="N26" s="557" t="s">
        <v>57</v>
      </c>
      <c r="P26" s="386"/>
    </row>
    <row r="27" spans="1:16">
      <c r="A27" s="342" t="s">
        <v>308</v>
      </c>
      <c r="B27" s="517">
        <v>0</v>
      </c>
      <c r="C27" s="30">
        <v>0</v>
      </c>
      <c r="D27" s="244">
        <v>0</v>
      </c>
      <c r="E27" s="244">
        <v>0</v>
      </c>
      <c r="F27" s="244">
        <v>0</v>
      </c>
      <c r="G27" s="244">
        <v>0</v>
      </c>
      <c r="H27" s="250">
        <v>0</v>
      </c>
      <c r="I27" s="250">
        <v>0</v>
      </c>
      <c r="J27" s="250">
        <v>0</v>
      </c>
      <c r="K27" s="250">
        <v>0</v>
      </c>
      <c r="L27" s="250">
        <v>0</v>
      </c>
      <c r="M27" s="554">
        <v>0</v>
      </c>
      <c r="N27" s="557">
        <f>SUM(B27:M27)</f>
        <v>0</v>
      </c>
      <c r="P27" s="386"/>
    </row>
    <row r="28" spans="1:16">
      <c r="A28" s="347" t="s">
        <v>310</v>
      </c>
      <c r="B28" s="518">
        <f t="shared" ref="B28:H28" si="4">SUM(B27:B27)</f>
        <v>0</v>
      </c>
      <c r="C28" s="516">
        <f t="shared" si="4"/>
        <v>0</v>
      </c>
      <c r="D28" s="245">
        <f t="shared" si="4"/>
        <v>0</v>
      </c>
      <c r="E28" s="245">
        <f>SUM(E27:E27)</f>
        <v>0</v>
      </c>
      <c r="F28" s="245">
        <f t="shared" si="4"/>
        <v>0</v>
      </c>
      <c r="G28" s="245">
        <f t="shared" si="4"/>
        <v>0</v>
      </c>
      <c r="H28" s="245">
        <f t="shared" si="4"/>
        <v>0</v>
      </c>
      <c r="I28" s="245">
        <f>SUM(I27:I27)</f>
        <v>0</v>
      </c>
      <c r="J28" s="245">
        <f>SUM(J27:J27)</f>
        <v>0</v>
      </c>
      <c r="K28" s="245">
        <f>SUM(K27:K27)</f>
        <v>0</v>
      </c>
      <c r="L28" s="245">
        <f>SUM(L27:L27)</f>
        <v>0</v>
      </c>
      <c r="M28" s="245">
        <f>SUM(M27:M27)</f>
        <v>0</v>
      </c>
      <c r="N28" s="558">
        <f>SUM(B28:M28)</f>
        <v>0</v>
      </c>
      <c r="P28" s="386"/>
    </row>
    <row r="29" spans="1:16">
      <c r="A29" s="348"/>
      <c r="B29" s="517"/>
      <c r="C29" s="30"/>
      <c r="D29" s="244"/>
      <c r="E29" s="244"/>
      <c r="F29" s="244"/>
      <c r="G29" s="246"/>
      <c r="H29" s="244"/>
      <c r="I29" s="246"/>
      <c r="J29" s="244"/>
      <c r="K29" s="244"/>
      <c r="L29" s="246"/>
      <c r="M29" s="474"/>
      <c r="N29" s="557"/>
    </row>
    <row r="30" spans="1:16">
      <c r="A30" s="349"/>
      <c r="B30" s="517"/>
      <c r="C30" s="30"/>
      <c r="D30" s="244"/>
      <c r="E30" s="244"/>
      <c r="F30" s="244"/>
      <c r="G30" s="244"/>
      <c r="H30" s="244"/>
      <c r="I30" s="244"/>
      <c r="J30" s="244"/>
      <c r="K30" s="244"/>
      <c r="L30" s="244"/>
      <c r="M30" s="474"/>
      <c r="N30" s="557"/>
    </row>
    <row r="31" spans="1:16">
      <c r="A31" s="349" t="s">
        <v>283</v>
      </c>
      <c r="B31" s="517">
        <v>0</v>
      </c>
      <c r="C31" s="30">
        <v>0</v>
      </c>
      <c r="D31" s="244">
        <v>0</v>
      </c>
      <c r="E31" s="244">
        <v>0</v>
      </c>
      <c r="F31" s="244">
        <v>0</v>
      </c>
      <c r="G31" s="244">
        <v>0</v>
      </c>
      <c r="H31" s="250">
        <v>0</v>
      </c>
      <c r="I31" s="250">
        <v>0</v>
      </c>
      <c r="J31" s="250">
        <v>0</v>
      </c>
      <c r="K31" s="250">
        <v>0</v>
      </c>
      <c r="L31" s="250">
        <v>0</v>
      </c>
      <c r="M31" s="554">
        <v>0</v>
      </c>
      <c r="N31" s="557">
        <f>SUM(B31:M31)</f>
        <v>0</v>
      </c>
    </row>
    <row r="32" spans="1:16">
      <c r="A32" s="345"/>
      <c r="B32" s="517"/>
      <c r="C32" s="30"/>
      <c r="D32" s="244"/>
      <c r="E32" s="244"/>
      <c r="F32" s="244"/>
      <c r="G32" s="244"/>
      <c r="H32" s="250"/>
      <c r="I32" s="250"/>
      <c r="J32" s="250"/>
      <c r="K32" s="250"/>
      <c r="L32" s="250"/>
      <c r="M32" s="252"/>
      <c r="N32" s="557" t="s">
        <v>57</v>
      </c>
    </row>
    <row r="33" spans="1:19">
      <c r="A33" s="350" t="s">
        <v>290</v>
      </c>
      <c r="B33" s="518">
        <f t="shared" ref="B33:H33" si="5">SUM(B31:B32)</f>
        <v>0</v>
      </c>
      <c r="C33" s="516">
        <f t="shared" si="5"/>
        <v>0</v>
      </c>
      <c r="D33" s="245">
        <f t="shared" si="5"/>
        <v>0</v>
      </c>
      <c r="E33" s="245">
        <f t="shared" si="5"/>
        <v>0</v>
      </c>
      <c r="F33" s="245">
        <f t="shared" si="5"/>
        <v>0</v>
      </c>
      <c r="G33" s="245">
        <f t="shared" si="5"/>
        <v>0</v>
      </c>
      <c r="H33" s="245">
        <f t="shared" si="5"/>
        <v>0</v>
      </c>
      <c r="I33" s="245">
        <f>SUM(I30:I32)</f>
        <v>0</v>
      </c>
      <c r="J33" s="245">
        <f>SUM(J31:J32)</f>
        <v>0</v>
      </c>
      <c r="K33" s="245">
        <f>SUM(K31:K32)</f>
        <v>0</v>
      </c>
      <c r="L33" s="245">
        <f>SUM(L31:L32)</f>
        <v>0</v>
      </c>
      <c r="M33" s="245">
        <f>SUM(M31:M32)</f>
        <v>0</v>
      </c>
      <c r="N33" s="558">
        <f>SUM(B33:M33)</f>
        <v>0</v>
      </c>
      <c r="O33" s="28"/>
    </row>
    <row r="34" spans="1:19" ht="10.5" customHeight="1">
      <c r="A34" s="351"/>
      <c r="B34" s="519"/>
      <c r="C34" s="520"/>
      <c r="D34" s="246"/>
      <c r="E34" s="246"/>
      <c r="F34" s="246"/>
      <c r="G34" s="246"/>
      <c r="H34" s="246"/>
      <c r="I34" s="246"/>
      <c r="J34" s="246"/>
      <c r="K34" s="246"/>
      <c r="L34" s="246"/>
      <c r="M34" s="246"/>
      <c r="N34" s="559"/>
    </row>
    <row r="35" spans="1:19" ht="15" customHeight="1">
      <c r="A35" s="344" t="s">
        <v>311</v>
      </c>
      <c r="B35" s="521">
        <v>0</v>
      </c>
      <c r="C35" s="522">
        <v>0</v>
      </c>
      <c r="D35" s="247">
        <v>0</v>
      </c>
      <c r="E35" s="247">
        <v>0</v>
      </c>
      <c r="F35" s="247">
        <v>0</v>
      </c>
      <c r="G35" s="247">
        <v>0</v>
      </c>
      <c r="H35" s="247">
        <v>0</v>
      </c>
      <c r="I35" s="247">
        <v>0</v>
      </c>
      <c r="J35" s="245">
        <v>0</v>
      </c>
      <c r="K35" s="245">
        <v>0</v>
      </c>
      <c r="L35" s="247">
        <v>0</v>
      </c>
      <c r="M35" s="247">
        <v>0</v>
      </c>
      <c r="N35" s="560">
        <f>SUM(B35:M35)</f>
        <v>0</v>
      </c>
      <c r="O35" s="30"/>
      <c r="P35" s="30"/>
      <c r="Q35" s="30"/>
      <c r="R35" s="30"/>
      <c r="S35" s="35"/>
    </row>
    <row r="36" spans="1:19" ht="15" customHeight="1" thickBot="1">
      <c r="A36" s="352" t="s">
        <v>325</v>
      </c>
      <c r="B36" s="523">
        <f t="shared" ref="B36:L36" si="6">B17+B24+B28+B33+B35</f>
        <v>115.30799999999999</v>
      </c>
      <c r="C36" s="524">
        <f t="shared" si="6"/>
        <v>154.739</v>
      </c>
      <c r="D36" s="248">
        <f t="shared" si="6"/>
        <v>140.75900000000001</v>
      </c>
      <c r="E36" s="248">
        <f t="shared" si="6"/>
        <v>149.38299999999998</v>
      </c>
      <c r="F36" s="248">
        <f t="shared" si="6"/>
        <v>168.83100000000002</v>
      </c>
      <c r="G36" s="248">
        <f t="shared" si="6"/>
        <v>170.05500000000001</v>
      </c>
      <c r="H36" s="248">
        <f>H17+H24+H28+H33+H35</f>
        <v>104.21600000000001</v>
      </c>
      <c r="I36" s="248">
        <f t="shared" si="6"/>
        <v>143.38800000000001</v>
      </c>
      <c r="J36" s="248">
        <f t="shared" si="6"/>
        <v>0</v>
      </c>
      <c r="K36" s="248">
        <f t="shared" si="6"/>
        <v>0</v>
      </c>
      <c r="L36" s="248">
        <f t="shared" si="6"/>
        <v>0</v>
      </c>
      <c r="M36" s="248">
        <f>M17+M24+M28+M33+M35</f>
        <v>0</v>
      </c>
      <c r="N36" s="561">
        <f>SUM(B36:M36)</f>
        <v>1146.6790000000001</v>
      </c>
      <c r="O36" s="30"/>
      <c r="P36" s="30"/>
      <c r="Q36" s="30"/>
      <c r="R36" s="30"/>
      <c r="S36" s="35"/>
    </row>
    <row r="37" spans="1:19" ht="26.25" customHeight="1" thickBot="1">
      <c r="A37" s="352" t="s">
        <v>326</v>
      </c>
      <c r="B37" s="523">
        <f>B36+0.082</f>
        <v>115.38999999999999</v>
      </c>
      <c r="C37" s="524">
        <f>C36+0.254</f>
        <v>154.99299999999999</v>
      </c>
      <c r="D37" s="248">
        <f>D36+0.443</f>
        <v>141.20200000000003</v>
      </c>
      <c r="E37" s="248">
        <f>E36+0.584</f>
        <v>149.96699999999998</v>
      </c>
      <c r="F37" s="248">
        <f>F36+0.528</f>
        <v>169.35900000000001</v>
      </c>
      <c r="G37" s="248">
        <f>G36+0.19</f>
        <v>170.245</v>
      </c>
      <c r="H37" s="248">
        <f>H36+0.143</f>
        <v>104.35900000000001</v>
      </c>
      <c r="I37" s="248">
        <f>I36+0.126</f>
        <v>143.51400000000001</v>
      </c>
      <c r="J37" s="248">
        <v>0</v>
      </c>
      <c r="K37" s="248">
        <v>0</v>
      </c>
      <c r="L37" s="248">
        <v>0</v>
      </c>
      <c r="M37" s="248">
        <v>0</v>
      </c>
      <c r="N37" s="561">
        <f>SUM(B37:M37)</f>
        <v>1149.029</v>
      </c>
      <c r="O37" s="28"/>
    </row>
    <row r="38" spans="1:19">
      <c r="A38" s="36"/>
      <c r="B38" s="37"/>
      <c r="C38" s="37"/>
      <c r="D38" s="37"/>
      <c r="E38" s="37"/>
      <c r="F38" s="37"/>
      <c r="G38" s="37"/>
      <c r="H38" s="37"/>
      <c r="I38" s="37"/>
      <c r="J38" s="37"/>
      <c r="K38" s="37"/>
      <c r="L38" s="37"/>
      <c r="M38" s="37"/>
      <c r="N38" s="37"/>
    </row>
    <row r="39" spans="1:19" ht="15">
      <c r="A39" s="480" t="s">
        <v>66</v>
      </c>
      <c r="B39" s="479"/>
      <c r="C39" s="479"/>
      <c r="D39" s="479"/>
      <c r="E39" s="479"/>
      <c r="F39" s="479"/>
      <c r="G39" s="479"/>
      <c r="H39" s="479"/>
      <c r="I39" s="479"/>
      <c r="J39" s="479"/>
      <c r="K39" s="479"/>
      <c r="L39" s="479"/>
      <c r="M39" s="479"/>
      <c r="N39" s="479"/>
    </row>
    <row r="40" spans="1:19" ht="17.25">
      <c r="A40" s="455" t="s">
        <v>327</v>
      </c>
      <c r="B40" s="456"/>
      <c r="C40" s="456"/>
      <c r="D40" s="456"/>
      <c r="E40" s="456"/>
      <c r="F40" s="456"/>
      <c r="G40" s="456"/>
      <c r="H40" s="456"/>
      <c r="I40" s="456"/>
      <c r="J40" s="456"/>
      <c r="K40" s="456"/>
      <c r="L40" s="456"/>
      <c r="M40" s="456"/>
      <c r="N40" s="456"/>
    </row>
    <row r="41" spans="1:19" ht="15" customHeight="1">
      <c r="A41" s="697" t="s">
        <v>328</v>
      </c>
      <c r="B41" s="697"/>
      <c r="C41" s="697"/>
      <c r="D41" s="697"/>
      <c r="E41" s="697"/>
      <c r="F41" s="697"/>
      <c r="G41" s="697"/>
      <c r="H41" s="697"/>
      <c r="I41" s="697"/>
      <c r="J41" s="697"/>
      <c r="K41" s="697"/>
      <c r="L41" s="697"/>
      <c r="M41" s="697"/>
      <c r="N41" s="697"/>
    </row>
    <row r="42" spans="1:19" ht="15" customHeight="1">
      <c r="A42" s="457" t="s">
        <v>329</v>
      </c>
      <c r="B42" s="591"/>
      <c r="C42" s="591"/>
      <c r="D42" s="591"/>
      <c r="E42" s="591"/>
      <c r="F42" s="591"/>
      <c r="G42" s="591"/>
      <c r="H42" s="591"/>
      <c r="I42" s="591"/>
      <c r="J42" s="591"/>
      <c r="K42" s="591"/>
      <c r="L42" s="591"/>
      <c r="M42" s="591"/>
      <c r="N42" s="591"/>
    </row>
    <row r="43" spans="1:19" ht="15" customHeight="1">
      <c r="A43" s="540" t="s">
        <v>330</v>
      </c>
      <c r="B43" s="591"/>
      <c r="C43" s="591"/>
      <c r="D43" s="591"/>
      <c r="E43" s="591"/>
      <c r="F43" s="591"/>
      <c r="G43" s="591"/>
      <c r="H43" s="591"/>
      <c r="I43" s="591"/>
      <c r="J43" s="591"/>
      <c r="K43" s="591"/>
      <c r="L43" s="591"/>
      <c r="M43" s="591"/>
      <c r="N43" s="591"/>
    </row>
    <row r="44" spans="1:19" ht="15" customHeight="1">
      <c r="A44" s="540" t="s">
        <v>331</v>
      </c>
      <c r="B44" s="591"/>
      <c r="C44" s="591"/>
      <c r="D44" s="591"/>
      <c r="E44" s="591"/>
      <c r="F44" s="591"/>
      <c r="G44" s="591"/>
      <c r="H44" s="591"/>
      <c r="I44" s="591"/>
      <c r="J44" s="591"/>
      <c r="K44" s="591"/>
      <c r="L44" s="591"/>
      <c r="M44" s="591"/>
      <c r="N44" s="591"/>
    </row>
    <row r="45" spans="1:19" ht="15">
      <c r="A45" s="243" t="s">
        <v>73</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7"/>
  <sheetViews>
    <sheetView showGridLines="0" tabSelected="1" showRuler="0" zoomScaleNormal="100" zoomScaleSheetLayoutView="80" workbookViewId="0">
      <selection activeCell="G58" sqref="G58"/>
    </sheetView>
  </sheetViews>
  <sheetFormatPr defaultColWidth="9.28515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28515625" style="10" customWidth="1"/>
    <col min="7" max="7" width="9.71093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28515625" style="10" hidden="1" customWidth="1"/>
    <col min="21" max="21" width="9.7109375" style="10" customWidth="1"/>
    <col min="22" max="22" width="11.42578125" style="10" customWidth="1"/>
    <col min="23" max="23" width="11" style="10" customWidth="1"/>
    <col min="24" max="25" width="9.7109375" style="10" customWidth="1"/>
    <col min="26" max="26" width="12.7109375" style="10" customWidth="1"/>
    <col min="27" max="27" width="8.7109375" style="10" bestFit="1" customWidth="1"/>
    <col min="28" max="28" width="10.5703125" style="10" customWidth="1"/>
    <col min="29" max="29" width="9.7109375" style="10" bestFit="1" customWidth="1"/>
    <col min="30" max="30" width="11.28515625" style="10" customWidth="1"/>
    <col min="31" max="31" width="9.7109375" style="10" bestFit="1" customWidth="1"/>
    <col min="32" max="32" width="10.7109375" style="10" customWidth="1"/>
    <col min="33" max="33" width="12.28515625" style="10" bestFit="1" customWidth="1"/>
    <col min="34" max="34" width="12.28515625" style="10" customWidth="1"/>
    <col min="35" max="35" width="9.5703125" style="10" bestFit="1" customWidth="1"/>
    <col min="36" max="36" width="11.28515625" style="10" customWidth="1"/>
    <col min="37" max="37" width="11.7109375" style="10" bestFit="1" customWidth="1"/>
    <col min="38" max="38" width="11.7109375" style="10" customWidth="1"/>
    <col min="39" max="16384" width="9.28515625" style="10"/>
  </cols>
  <sheetData>
    <row r="1" spans="1:31">
      <c r="H1" s="149" t="s">
        <v>39</v>
      </c>
    </row>
    <row r="2" spans="1:31">
      <c r="H2" s="149" t="s">
        <v>40</v>
      </c>
      <c r="Q2" s="12"/>
      <c r="R2" s="86"/>
    </row>
    <row r="3" spans="1:31">
      <c r="C3" s="153"/>
      <c r="E3" s="153"/>
      <c r="G3" s="153"/>
      <c r="H3" s="152" t="s">
        <v>339</v>
      </c>
      <c r="I3" s="153"/>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87"/>
    </row>
    <row r="6" spans="1:31">
      <c r="A6" s="88"/>
      <c r="B6" s="89"/>
      <c r="C6" s="484" t="s">
        <v>41</v>
      </c>
      <c r="D6" s="89"/>
      <c r="E6" s="89"/>
      <c r="F6" s="89" t="s">
        <v>42</v>
      </c>
      <c r="G6" s="89"/>
      <c r="H6" s="89"/>
      <c r="I6" s="89" t="s">
        <v>43</v>
      </c>
      <c r="J6" s="89"/>
      <c r="K6" s="89"/>
      <c r="L6" s="89" t="s">
        <v>44</v>
      </c>
      <c r="M6" s="89"/>
      <c r="N6" s="89"/>
      <c r="O6" s="89" t="s">
        <v>31</v>
      </c>
      <c r="P6" s="89"/>
      <c r="Q6" s="89"/>
      <c r="R6" s="89" t="s">
        <v>45</v>
      </c>
      <c r="S6" s="89"/>
      <c r="T6" s="177"/>
    </row>
    <row r="7" spans="1:31" ht="42">
      <c r="A7" s="178" t="s">
        <v>46</v>
      </c>
      <c r="B7" s="199" t="s">
        <v>47</v>
      </c>
      <c r="C7" s="180" t="s">
        <v>48</v>
      </c>
      <c r="D7" s="170" t="s">
        <v>49</v>
      </c>
      <c r="E7" s="179" t="s">
        <v>47</v>
      </c>
      <c r="F7" s="180" t="s">
        <v>48</v>
      </c>
      <c r="G7" s="170" t="s">
        <v>49</v>
      </c>
      <c r="H7" s="181" t="s">
        <v>47</v>
      </c>
      <c r="I7" s="180" t="s">
        <v>48</v>
      </c>
      <c r="J7" s="170" t="s">
        <v>49</v>
      </c>
      <c r="K7" s="182" t="s">
        <v>6</v>
      </c>
      <c r="L7" s="180" t="s">
        <v>48</v>
      </c>
      <c r="M7" s="170" t="s">
        <v>49</v>
      </c>
      <c r="N7" s="182" t="s">
        <v>47</v>
      </c>
      <c r="O7" s="180" t="s">
        <v>48</v>
      </c>
      <c r="P7" s="170" t="s">
        <v>49</v>
      </c>
      <c r="Q7" s="181" t="s">
        <v>6</v>
      </c>
      <c r="R7" s="180" t="s">
        <v>48</v>
      </c>
      <c r="S7" s="170" t="s">
        <v>49</v>
      </c>
      <c r="T7" s="170" t="s">
        <v>50</v>
      </c>
    </row>
    <row r="8" spans="1:31">
      <c r="A8" s="163" t="s">
        <v>51</v>
      </c>
      <c r="B8" s="183"/>
      <c r="C8" s="183"/>
      <c r="D8" s="184"/>
      <c r="E8" s="185"/>
      <c r="F8" s="183"/>
      <c r="G8" s="184"/>
      <c r="H8" s="185"/>
      <c r="I8" s="183"/>
      <c r="J8" s="183"/>
      <c r="K8" s="185"/>
      <c r="L8" s="183"/>
      <c r="M8" s="186"/>
      <c r="N8" s="185"/>
      <c r="O8" s="183"/>
      <c r="P8" s="186"/>
      <c r="Q8" s="185"/>
      <c r="R8" s="183"/>
      <c r="S8" s="186"/>
      <c r="T8" s="187"/>
    </row>
    <row r="9" spans="1:31">
      <c r="A9" s="85" t="s">
        <v>8</v>
      </c>
      <c r="B9" s="102">
        <v>4</v>
      </c>
      <c r="C9" s="361">
        <f>B9*(INDEX('Ex ante LI &amp; Eligibility Stats'!$A:$M,MATCH('Program MW '!$A9,'Ex ante LI &amp; Eligibility Stats'!$A:$A,0),MATCH('Program MW '!C$6,'Ex ante LI &amp; Eligibility Stats'!$A$8:$M$8,0))/1000)</f>
        <v>0.64924000000000004</v>
      </c>
      <c r="D9" s="357">
        <f>B9*(INDEX('Ex post LI &amp; Eligibility Stats'!$A:$N,MATCH($A9,'Ex post LI &amp; Eligibility Stats'!$A:$A,0),MATCH('Program MW '!C$6,'Ex post LI &amp; Eligibility Stats'!$A$8:$N$8,0))/1000)</f>
        <v>1.51572</v>
      </c>
      <c r="E9" s="14">
        <v>4</v>
      </c>
      <c r="F9" s="357">
        <f>E9*(INDEX('Ex ante LI &amp; Eligibility Stats'!$A:$M,MATCH('Program MW '!$A9,'Ex ante LI &amp; Eligibility Stats'!$A:$A,0),MATCH('Program MW '!F$6,'Ex ante LI &amp; Eligibility Stats'!$A$8:$M$8,0))/1000)</f>
        <v>0.43383999999999995</v>
      </c>
      <c r="G9" s="357">
        <f>E9*(INDEX('Ex post LI &amp; Eligibility Stats'!$A:$N,MATCH($A9,'Ex post LI &amp; Eligibility Stats'!$A:$A,0),MATCH('Program MW '!F$6,'Ex post LI &amp; Eligibility Stats'!$A$8:$N$8,0))/1000)</f>
        <v>1.51572</v>
      </c>
      <c r="H9" s="14">
        <v>4</v>
      </c>
      <c r="I9" s="357">
        <f>H9*(INDEX('Ex ante LI &amp; Eligibility Stats'!$A:$M,MATCH('Program MW '!$A9,'Ex ante LI &amp; Eligibility Stats'!$A:$A,0),MATCH('Program MW '!I$6,'Ex ante LI &amp; Eligibility Stats'!$A$8:$M$8,0))/1000)</f>
        <v>0.72393133544921873</v>
      </c>
      <c r="J9" s="357">
        <f>H9*(INDEX('Ex post LI &amp; Eligibility Stats'!$A:$N,MATCH($A9,'Ex post LI &amp; Eligibility Stats'!$A:$A,0),MATCH('Program MW '!I$6,'Ex post LI &amp; Eligibility Stats'!$A$8:$N$8,0))/1000)</f>
        <v>2.2938640136718749</v>
      </c>
      <c r="K9" s="14">
        <v>4</v>
      </c>
      <c r="L9" s="357">
        <f>K9*(INDEX('Ex ante LI &amp; Eligibility Stats'!$A:$M,MATCH('Program MW '!$A9,'Ex ante LI &amp; Eligibility Stats'!$A:$A,0),MATCH('Program MW '!L$6,'Ex ante LI &amp; Eligibility Stats'!$A$8:$M$8,0))/1000)</f>
        <v>0.64798333740234371</v>
      </c>
      <c r="M9" s="357">
        <f>K9*(INDEX('Ex post LI &amp; Eligibility Stats'!$A:$N,MATCH($A9,'Ex post LI &amp; Eligibility Stats'!$A:$A,0),MATCH('Program MW '!L$6,'Ex post LI &amp; Eligibility Stats'!$A$8:$N$8,0))/1000)</f>
        <v>2.2938640136718749</v>
      </c>
      <c r="N9" s="14">
        <v>4</v>
      </c>
      <c r="O9" s="357">
        <f>N9*(INDEX('Ex ante LI &amp; Eligibility Stats'!$A:$M,MATCH('Program MW '!$A9,'Ex ante LI &amp; Eligibility Stats'!$A:$A,0),MATCH('Program MW '!O$6,'Ex ante LI &amp; Eligibility Stats'!$A$8:$M$8,0))/1000)</f>
        <v>0.62296343994140624</v>
      </c>
      <c r="P9" s="357">
        <f>N9*(INDEX('Ex post LI &amp; Eligibility Stats'!$A:$N,MATCH($A9,'Ex post LI &amp; Eligibility Stats'!$A:$A,0),MATCH('Program MW '!O$6,'Ex post LI &amp; Eligibility Stats'!$A$8:$N$8,0))/1000)</f>
        <v>2.2938640136718749</v>
      </c>
      <c r="Q9" s="124">
        <v>4</v>
      </c>
      <c r="R9" s="357">
        <f>Q9*(INDEX('Ex ante LI &amp; Eligibility Stats'!$A:$M,MATCH('Program MW '!$A9,'Ex ante LI &amp; Eligibility Stats'!$A:$A,0),MATCH('Program MW '!R$6,'Ex ante LI &amp; Eligibility Stats'!$A$8:$M$8,0))/1000)</f>
        <v>0.76944903564453127</v>
      </c>
      <c r="S9" s="357">
        <f>Q9*(INDEX('Ex post LI &amp; Eligibility Stats'!$A:$N,MATCH($A9,'Ex post LI &amp; Eligibility Stats'!$A:$A,0),MATCH('Program MW '!R$6,'Ex post LI &amp; Eligibility Stats'!$A$8:$N$8,0))/1000)</f>
        <v>2.2938640136718749</v>
      </c>
      <c r="T9" s="4">
        <v>5276</v>
      </c>
    </row>
    <row r="10" spans="1:31" ht="13.5" thickBot="1">
      <c r="A10" s="188" t="s">
        <v>52</v>
      </c>
      <c r="B10" s="155">
        <f t="shared" ref="B10:Q10" si="0">SUM(B9:B9)</f>
        <v>4</v>
      </c>
      <c r="C10" s="172">
        <f t="shared" si="0"/>
        <v>0.64924000000000004</v>
      </c>
      <c r="D10" s="172">
        <f t="shared" si="0"/>
        <v>1.51572</v>
      </c>
      <c r="E10" s="1">
        <f t="shared" si="0"/>
        <v>4</v>
      </c>
      <c r="F10" s="234">
        <f t="shared" si="0"/>
        <v>0.43383999999999995</v>
      </c>
      <c r="G10" s="234">
        <f t="shared" si="0"/>
        <v>1.51572</v>
      </c>
      <c r="H10" s="1">
        <f t="shared" si="0"/>
        <v>4</v>
      </c>
      <c r="I10" s="234">
        <f t="shared" si="0"/>
        <v>0.72393133544921873</v>
      </c>
      <c r="J10" s="234">
        <f t="shared" si="0"/>
        <v>2.2938640136718749</v>
      </c>
      <c r="K10" s="1">
        <f>SUM(K9)</f>
        <v>4</v>
      </c>
      <c r="L10" s="234">
        <f t="shared" ref="L10:M10" si="1">SUM(L9:L9)</f>
        <v>0.64798333740234371</v>
      </c>
      <c r="M10" s="234">
        <f t="shared" si="1"/>
        <v>2.2938640136718749</v>
      </c>
      <c r="N10" s="1">
        <f t="shared" si="0"/>
        <v>4</v>
      </c>
      <c r="O10" s="234">
        <f t="shared" si="0"/>
        <v>0.62296343994140624</v>
      </c>
      <c r="P10" s="234">
        <f t="shared" si="0"/>
        <v>2.2938640136718749</v>
      </c>
      <c r="Q10" s="125">
        <f t="shared" si="0"/>
        <v>4</v>
      </c>
      <c r="R10" s="234">
        <f t="shared" ref="R10:S10" si="2">SUM(R9:R9)</f>
        <v>0.76944903564453127</v>
      </c>
      <c r="S10" s="234">
        <f t="shared" si="2"/>
        <v>2.2938640136718749</v>
      </c>
      <c r="T10" s="5"/>
    </row>
    <row r="11" spans="1:31" ht="13.5" thickTop="1">
      <c r="A11" s="163" t="s">
        <v>53</v>
      </c>
      <c r="B11" s="173"/>
      <c r="C11" s="171"/>
      <c r="D11" s="174"/>
      <c r="E11" s="189"/>
      <c r="F11" s="190"/>
      <c r="G11" s="191"/>
      <c r="H11" s="189"/>
      <c r="I11" s="192"/>
      <c r="J11" s="191"/>
      <c r="K11" s="189"/>
      <c r="L11" s="192"/>
      <c r="M11" s="191"/>
      <c r="N11" s="189"/>
      <c r="O11" s="362"/>
      <c r="P11" s="363"/>
      <c r="Q11" s="193"/>
      <c r="R11" s="192"/>
      <c r="S11" s="194"/>
      <c r="T11" s="187"/>
      <c r="Y11" s="6"/>
      <c r="Z11" s="6"/>
      <c r="AA11" s="6"/>
      <c r="AB11" s="6"/>
      <c r="AC11" s="6"/>
      <c r="AD11" s="6"/>
      <c r="AE11" s="6"/>
    </row>
    <row r="12" spans="1:31">
      <c r="A12" s="42" t="s">
        <v>11</v>
      </c>
      <c r="B12" s="159">
        <v>14325</v>
      </c>
      <c r="C12" s="357">
        <f>B12*(INDEX('Ex ante LI &amp; Eligibility Stats'!$A:$M,MATCH($A12,'Ex ante LI &amp; Eligibility Stats'!$A:$A,0),MATCH('Program MW '!C$6,'Ex ante LI &amp; Eligibility Stats'!$A$8:$M$8,0))/1000)</f>
        <v>0</v>
      </c>
      <c r="D12" s="356">
        <f>B12*(INDEX('Ex post LI &amp; Eligibility Stats'!$A:$N,MATCH($A12,'Ex post LI &amp; Eligibility Stats'!$A:$A,0),MATCH('Program MW '!C$6,'Ex post LI &amp; Eligibility Stats'!$A$8:$N$8,0))/1000)</f>
        <v>10.45725</v>
      </c>
      <c r="E12" s="159">
        <v>14319</v>
      </c>
      <c r="F12" s="355">
        <f>E12*(INDEX('Ex ante LI &amp; Eligibility Stats'!$A:$M,MATCH($A12,'Ex ante LI &amp; Eligibility Stats'!$A:$A,0),MATCH('Program MW '!F$6,'Ex ante LI &amp; Eligibility Stats'!$A$8:$M$8,0))/1000)</f>
        <v>0</v>
      </c>
      <c r="G12" s="356">
        <f>E12*(INDEX('Ex post LI &amp; Eligibility Stats'!$A:$N,MATCH($A12,'Ex post LI &amp; Eligibility Stats'!$A:$A,0),MATCH('Program MW '!F$6,'Ex post LI &amp; Eligibility Stats'!$A$8:$N$8,0))/1000)</f>
        <v>10.452869999999999</v>
      </c>
      <c r="H12" s="159">
        <v>14282</v>
      </c>
      <c r="I12" s="357">
        <f>H12*(INDEX('Ex ante LI &amp; Eligibility Stats'!$A:$M,MATCH('Program MW '!$A12,'Ex ante LI &amp; Eligibility Stats'!$A:$A,0),MATCH('Program MW '!I$6,'Ex ante LI &amp; Eligibility Stats'!$A$8:$M$8,0))/1000)</f>
        <v>2.0273027641999999</v>
      </c>
      <c r="J12" s="356">
        <f>H12*(INDEX('Ex post LI &amp; Eligibility Stats'!$A:$N,MATCH($A12,'Ex post LI &amp; Eligibility Stats'!$A:$A,0),MATCH('Program MW '!I$6,'Ex post LI &amp; Eligibility Stats'!$A$8:$N$8,0))/1000)</f>
        <v>10.42586</v>
      </c>
      <c r="K12" s="159">
        <v>14248</v>
      </c>
      <c r="L12" s="357">
        <f>K12*(INDEX('Ex ante LI &amp; Eligibility Stats'!$A:$M,MATCH('Program MW '!$A12,'Ex ante LI &amp; Eligibility Stats'!$A:$A,0),MATCH('Program MW '!L$6,'Ex ante LI &amp; Eligibility Stats'!$A$8:$M$8,0))/1000)</f>
        <v>1.9754780759999999</v>
      </c>
      <c r="M12" s="356">
        <f>K12*(INDEX('Ex post LI &amp; Eligibility Stats'!$A:$N,MATCH($A12,'Ex post LI &amp; Eligibility Stats'!$A:$A,0),MATCH('Program MW '!L$6,'Ex post LI &amp; Eligibility Stats'!$A$8:$N$8,0))/1000)</f>
        <v>10.40104</v>
      </c>
      <c r="N12" s="159">
        <v>14178</v>
      </c>
      <c r="O12" s="357">
        <f>N12*(INDEX('Ex ante LI &amp; Eligibility Stats'!$A:$M,MATCH('Program MW '!$A12,'Ex ante LI &amp; Eligibility Stats'!$A:$A,0),MATCH('Program MW '!O$6,'Ex ante LI &amp; Eligibility Stats'!$A$8:$M$8,0))/1000)</f>
        <v>1.9550086733999998</v>
      </c>
      <c r="P12" s="356">
        <f>N12*(INDEX('Ex post LI &amp; Eligibility Stats'!$A:$N,MATCH($A12,'Ex post LI &amp; Eligibility Stats'!$A:$A,0),MATCH('Program MW '!O$6,'Ex post LI &amp; Eligibility Stats'!$A$8:$N$8,0))/1000)</f>
        <v>10.34994</v>
      </c>
      <c r="Q12" s="159">
        <v>14095</v>
      </c>
      <c r="R12" s="357">
        <f>Q12*(INDEX('Ex ante LI &amp; Eligibility Stats'!$A:$M,MATCH('Program MW '!$A12,'Ex ante LI &amp; Eligibility Stats'!$A:$A,0),MATCH('Program MW '!R$6,'Ex ante LI &amp; Eligibility Stats'!$A$8:$M$8,0))/1000)</f>
        <v>1.9500192885000003</v>
      </c>
      <c r="S12" s="356">
        <f>Q12*(INDEX('Ex post LI &amp; Eligibility Stats'!$A:$N,MATCH($A12,'Ex post LI &amp; Eligibility Stats'!$A:$A,0),MATCH('Program MW '!R$6,'Ex post LI &amp; Eligibility Stats'!$A$8:$N$8,0))/1000)</f>
        <v>10.289349999999999</v>
      </c>
      <c r="T12" s="7">
        <v>138123</v>
      </c>
      <c r="U12" s="6"/>
      <c r="V12" s="6"/>
      <c r="W12" s="6"/>
      <c r="X12" s="6"/>
      <c r="Y12" s="6"/>
      <c r="Z12" s="6"/>
      <c r="AA12" s="6"/>
      <c r="AB12" s="6"/>
      <c r="AC12" s="6"/>
      <c r="AD12" s="6"/>
      <c r="AE12" s="6"/>
    </row>
    <row r="13" spans="1:31" ht="13.5">
      <c r="A13" s="209" t="s">
        <v>54</v>
      </c>
      <c r="B13" s="210">
        <v>0</v>
      </c>
      <c r="C13" s="357">
        <v>0</v>
      </c>
      <c r="D13" s="358">
        <v>0</v>
      </c>
      <c r="E13" s="210">
        <v>0</v>
      </c>
      <c r="F13" s="357">
        <v>0</v>
      </c>
      <c r="G13" s="358">
        <v>0</v>
      </c>
      <c r="H13" s="210">
        <v>0</v>
      </c>
      <c r="I13" s="357">
        <v>0</v>
      </c>
      <c r="J13" s="358">
        <v>0</v>
      </c>
      <c r="K13" s="210">
        <v>0</v>
      </c>
      <c r="L13" s="357">
        <v>0</v>
      </c>
      <c r="M13" s="358">
        <v>0</v>
      </c>
      <c r="N13" s="210">
        <v>0</v>
      </c>
      <c r="O13" s="357">
        <v>0</v>
      </c>
      <c r="P13" s="358">
        <v>0</v>
      </c>
      <c r="Q13" s="210">
        <v>0</v>
      </c>
      <c r="R13" s="357">
        <v>0</v>
      </c>
      <c r="S13" s="358">
        <v>0</v>
      </c>
      <c r="T13" s="4"/>
      <c r="U13" s="6"/>
      <c r="V13" s="6"/>
      <c r="W13" s="6"/>
      <c r="X13" s="6"/>
      <c r="Y13" s="6"/>
      <c r="Z13" s="6"/>
      <c r="AA13" s="6"/>
      <c r="AB13" s="6"/>
      <c r="AC13" s="6"/>
      <c r="AD13" s="6"/>
      <c r="AE13" s="6"/>
    </row>
    <row r="14" spans="1:31" ht="14.25">
      <c r="A14" s="164" t="s">
        <v>55</v>
      </c>
      <c r="B14" s="160">
        <v>1</v>
      </c>
      <c r="C14" s="357">
        <v>0</v>
      </c>
      <c r="D14" s="358">
        <v>0</v>
      </c>
      <c r="E14" s="160">
        <v>1</v>
      </c>
      <c r="F14" s="357">
        <v>0</v>
      </c>
      <c r="G14" s="358">
        <v>0</v>
      </c>
      <c r="H14" s="160">
        <v>2</v>
      </c>
      <c r="I14" s="357">
        <f>H14*(INDEX('Ex ante LI &amp; Eligibility Stats'!$A:$M,MATCH('Program MW '!$A14,'Ex ante LI &amp; Eligibility Stats'!$A:$A,0),MATCH('Program MW '!I$6,'Ex ante LI &amp; Eligibility Stats'!$A$8:$M$8,0))/1000)</f>
        <v>0</v>
      </c>
      <c r="J14" s="358">
        <f>H14*(INDEX('Ex post LI &amp; Eligibility Stats'!$A:$N,MATCH($A14,'Ex post LI &amp; Eligibility Stats'!$A:$A,0),MATCH('Program MW '!I$6,'Ex post LI &amp; Eligibility Stats'!$A$8:$N$8,0))/1000)</f>
        <v>2.632E-2</v>
      </c>
      <c r="K14" s="160">
        <v>2</v>
      </c>
      <c r="L14" s="357">
        <f>K14*(INDEX('Ex ante LI &amp; Eligibility Stats'!$A:$M,MATCH('Program MW '!$A14,'Ex ante LI &amp; Eligibility Stats'!$A:$A,0),MATCH('Program MW '!L$6,'Ex ante LI &amp; Eligibility Stats'!$A$8:$M$8,0))/1000)</f>
        <v>0</v>
      </c>
      <c r="M14" s="358">
        <f>K14*(INDEX('Ex post LI &amp; Eligibility Stats'!$A:$N,MATCH($A14,'Ex post LI &amp; Eligibility Stats'!$A:$A,0),MATCH('Program MW '!L$6,'Ex post LI &amp; Eligibility Stats'!$A$8:$N$8,0))/1000)</f>
        <v>2.632E-2</v>
      </c>
      <c r="N14" s="160">
        <v>2</v>
      </c>
      <c r="O14" s="357">
        <f>N14*(INDEX('Ex ante LI &amp; Eligibility Stats'!$A:$M,MATCH('Program MW '!$A14,'Ex ante LI &amp; Eligibility Stats'!$A:$A,0),MATCH('Program MW '!O$6,'Ex ante LI &amp; Eligibility Stats'!$A$8:$M$8,0))/1000)</f>
        <v>2.632E-2</v>
      </c>
      <c r="P14" s="358">
        <f>N14*(INDEX('Ex post LI &amp; Eligibility Stats'!$A:$N,MATCH($A14,'Ex post LI &amp; Eligibility Stats'!$A:$A,0),MATCH('Program MW '!O$6,'Ex post LI &amp; Eligibility Stats'!$A$8:$N$8,0))/1000)</f>
        <v>2.632E-2</v>
      </c>
      <c r="Q14" s="160">
        <v>2</v>
      </c>
      <c r="R14" s="357">
        <f>Q14*(INDEX('Ex ante LI &amp; Eligibility Stats'!$A:$M,MATCH('Program MW '!$A14,'Ex ante LI &amp; Eligibility Stats'!$A:$A,0),MATCH('Program MW '!R$6,'Ex ante LI &amp; Eligibility Stats'!$A$8:$M$8,0))/1000)</f>
        <v>2.632E-2</v>
      </c>
      <c r="S14" s="358">
        <f>Q14*(INDEX('Ex post LI &amp; Eligibility Stats'!$A:$N,MATCH($A14,'Ex post LI &amp; Eligibility Stats'!$A:$A,0),MATCH('Program MW '!R$6,'Ex post LI &amp; Eligibility Stats'!$A$8:$N$8,0))/1000)</f>
        <v>2.632E-2</v>
      </c>
      <c r="T14" s="4"/>
      <c r="U14" s="6"/>
      <c r="V14" s="6"/>
      <c r="W14" s="6"/>
      <c r="X14" s="6"/>
      <c r="Y14" s="6"/>
      <c r="Z14" s="6"/>
      <c r="AA14" s="6"/>
      <c r="AB14" s="6"/>
      <c r="AC14" s="6"/>
      <c r="AD14" s="6"/>
      <c r="AE14" s="6"/>
    </row>
    <row r="15" spans="1:31">
      <c r="A15" s="285" t="s">
        <v>17</v>
      </c>
      <c r="B15" s="160">
        <v>19267</v>
      </c>
      <c r="C15" s="357">
        <f>B15*(INDEX('Ex ante LI &amp; Eligibility Stats'!$A:$M,MATCH($A15,'Ex ante LI &amp; Eligibility Stats'!$A:$A,0),MATCH('Program MW '!C$6,'Ex ante LI &amp; Eligibility Stats'!$A$8:$M$8,0))/1000)</f>
        <v>0</v>
      </c>
      <c r="D15" s="358">
        <f>B15*(INDEX('Ex post LI &amp; Eligibility Stats'!$A:$N,MATCH($A15,'Ex post LI &amp; Eligibility Stats'!$A:$A,0),MATCH('Program MW '!C$6,'Ex post LI &amp; Eligibility Stats'!$A$8:$N$8,0))/1000)</f>
        <v>3.0827200000000001</v>
      </c>
      <c r="E15" s="160">
        <v>19389</v>
      </c>
      <c r="F15" s="357">
        <f>E15*(INDEX('Ex ante LI &amp; Eligibility Stats'!$A:$M,MATCH($A15,'Ex ante LI &amp; Eligibility Stats'!$A:$A,0),MATCH('Program MW '!F$6,'Ex ante LI &amp; Eligibility Stats'!$A$8:$M$8,0))/1000)</f>
        <v>0</v>
      </c>
      <c r="G15" s="358">
        <f>E15*(INDEX('Ex post LI &amp; Eligibility Stats'!$A:$N,MATCH($A15,'Ex post LI &amp; Eligibility Stats'!$A:$A,0),MATCH('Program MW '!F$6,'Ex post LI &amp; Eligibility Stats'!$A$8:$N$8,0))/1000)</f>
        <v>3.1022400000000001</v>
      </c>
      <c r="H15" s="160">
        <v>19514</v>
      </c>
      <c r="I15" s="357">
        <f>H15*(INDEX('Ex ante LI &amp; Eligibility Stats'!$A:$M,MATCH('Program MW '!$A15,'Ex ante LI &amp; Eligibility Stats'!$A:$A,0),MATCH('Program MW '!I$6,'Ex ante LI &amp; Eligibility Stats'!$A$8:$M$8,0))/1000)</f>
        <v>8.363872844347498E-4</v>
      </c>
      <c r="J15" s="358">
        <f>H15*(INDEX('Ex post LI &amp; Eligibility Stats'!$A:$N,MATCH($A15,'Ex post LI &amp; Eligibility Stats'!$A:$A,0),MATCH('Program MW '!I$6,'Ex post LI &amp; Eligibility Stats'!$A$8:$N$8,0))/1000)</f>
        <v>4.2930799999999998</v>
      </c>
      <c r="K15" s="160">
        <v>15350</v>
      </c>
      <c r="L15" s="357">
        <f>K15*(INDEX('Ex ante LI &amp; Eligibility Stats'!$A:$M,MATCH('Program MW '!$A15,'Ex ante LI &amp; Eligibility Stats'!$A:$A,0),MATCH('Program MW '!L$6,'Ex ante LI &amp; Eligibility Stats'!$A$8:$M$8,0))/1000)</f>
        <v>1.2928511034697294</v>
      </c>
      <c r="M15" s="358">
        <f>K15*(INDEX('Ex post LI &amp; Eligibility Stats'!$A:$N,MATCH($A15,'Ex post LI &amp; Eligibility Stats'!$A:$A,0),MATCH('Program MW '!L$6,'Ex post LI &amp; Eligibility Stats'!$A$8:$N$8,0))/1000)</f>
        <v>3.3770000000000002</v>
      </c>
      <c r="N15" s="210">
        <v>15648</v>
      </c>
      <c r="O15" s="357">
        <f>N15*(INDEX('Ex ante LI &amp; Eligibility Stats'!$A:$M,MATCH('Program MW '!$A15,'Ex ante LI &amp; Eligibility Stats'!$A:$A,0),MATCH('Program MW '!O$6,'Ex ante LI &amp; Eligibility Stats'!$A$8:$M$8,0))/1000)</f>
        <v>2.1029281368255615</v>
      </c>
      <c r="P15" s="358">
        <f>N15*(INDEX('Ex post LI &amp; Eligibility Stats'!$A:$N,MATCH($A15,'Ex post LI &amp; Eligibility Stats'!$A:$A,0),MATCH('Program MW '!O$6,'Ex post LI &amp; Eligibility Stats'!$A$8:$N$8,0))/1000)</f>
        <v>3.4425600000000003</v>
      </c>
      <c r="Q15" s="160">
        <v>14944</v>
      </c>
      <c r="R15" s="357">
        <f>Q15*(INDEX('Ex ante LI &amp; Eligibility Stats'!$A:$M,MATCH('Program MW '!$A15,'Ex ante LI &amp; Eligibility Stats'!$A:$A,0),MATCH('Program MW '!R$6,'Ex ante LI &amp; Eligibility Stats'!$A$8:$M$8,0))/1000)</f>
        <v>1.7535013246536255</v>
      </c>
      <c r="S15" s="358">
        <f>Q15*(INDEX('Ex post LI &amp; Eligibility Stats'!$A:$N,MATCH($A15,'Ex post LI &amp; Eligibility Stats'!$A:$A,0),MATCH('Program MW '!R$6,'Ex post LI &amp; Eligibility Stats'!$A$8:$N$8,0))/1000)</f>
        <v>3.2876799999999999</v>
      </c>
      <c r="T15" s="4">
        <v>663393.5</v>
      </c>
      <c r="U15" s="6"/>
      <c r="V15" s="6"/>
      <c r="W15" s="6"/>
      <c r="X15" s="6"/>
      <c r="Y15" s="6"/>
      <c r="Z15" s="6"/>
      <c r="AA15" s="6"/>
      <c r="AB15" s="6"/>
      <c r="AC15" s="6"/>
      <c r="AD15" s="6"/>
      <c r="AE15" s="6"/>
    </row>
    <row r="16" spans="1:31">
      <c r="A16" s="157" t="s">
        <v>20</v>
      </c>
      <c r="B16" s="160">
        <v>1621</v>
      </c>
      <c r="C16" s="357">
        <f>B16*(INDEX('Ex ante LI &amp; Eligibility Stats'!$A:$M,MATCH($A16,'Ex ante LI &amp; Eligibility Stats'!$A:$A,0),MATCH('Program MW '!C$6,'Ex ante LI &amp; Eligibility Stats'!$A$8:$M$8,0))/1000)</f>
        <v>0</v>
      </c>
      <c r="D16" s="358">
        <f>B16*(INDEX('Ex post LI &amp; Eligibility Stats'!$A:$N,MATCH($A16,'Ex post LI &amp; Eligibility Stats'!$A:$A,0),MATCH('Program MW '!C$6,'Ex post LI &amp; Eligibility Stats'!$A$8:$N$8,0))/1000)</f>
        <v>0.76186999999999994</v>
      </c>
      <c r="E16" s="160">
        <v>1632</v>
      </c>
      <c r="F16" s="357">
        <f>E16*(INDEX('Ex ante LI &amp; Eligibility Stats'!$A:$M,MATCH($A16,'Ex ante LI &amp; Eligibility Stats'!$A:$A,0),MATCH('Program MW '!F$6,'Ex ante LI &amp; Eligibility Stats'!$A$8:$M$8,0))/1000)</f>
        <v>0</v>
      </c>
      <c r="G16" s="358">
        <f>E16*(INDEX('Ex post LI &amp; Eligibility Stats'!$A:$N,MATCH($A16,'Ex post LI &amp; Eligibility Stats'!$A:$A,0),MATCH('Program MW '!F$6,'Ex post LI &amp; Eligibility Stats'!$A$8:$N$8,0))/1000)</f>
        <v>0.76703999999999994</v>
      </c>
      <c r="H16" s="160">
        <v>1633</v>
      </c>
      <c r="I16" s="357">
        <f>H16*(INDEX('Ex ante LI &amp; Eligibility Stats'!$A:$M,MATCH('Program MW '!$A16,'Ex ante LI &amp; Eligibility Stats'!$A:$A,0),MATCH('Program MW '!I$6,'Ex ante LI &amp; Eligibility Stats'!$A$8:$M$8,0))/1000)</f>
        <v>2.9353506870102137E-3</v>
      </c>
      <c r="J16" s="358">
        <f>H16*(INDEX('Ex post LI &amp; Eligibility Stats'!$A:$N,MATCH($A16,'Ex post LI &amp; Eligibility Stats'!$A:$A,0),MATCH('Program MW '!I$6,'Ex post LI &amp; Eligibility Stats'!$A$8:$N$8,0))/1000)</f>
        <v>0.58787999999999996</v>
      </c>
      <c r="K16" s="160">
        <v>960</v>
      </c>
      <c r="L16" s="357">
        <f>K16*(INDEX('Ex ante LI &amp; Eligibility Stats'!$A:$M,MATCH('Program MW '!$A16,'Ex ante LI &amp; Eligibility Stats'!$A:$A,0),MATCH('Program MW '!L$6,'Ex ante LI &amp; Eligibility Stats'!$A$8:$M$8,0))/1000)</f>
        <v>0.18351822853088379</v>
      </c>
      <c r="M16" s="358">
        <f>K16*(INDEX('Ex post LI &amp; Eligibility Stats'!$A:$N,MATCH($A16,'Ex post LI &amp; Eligibility Stats'!$A:$A,0),MATCH('Program MW '!L$6,'Ex post LI &amp; Eligibility Stats'!$A$8:$N$8,0))/1000)</f>
        <v>0.34559999999999996</v>
      </c>
      <c r="N16" s="210">
        <v>972</v>
      </c>
      <c r="O16" s="357">
        <f>N16*(INDEX('Ex ante LI &amp; Eligibility Stats'!$A:$M,MATCH('Program MW '!$A16,'Ex ante LI &amp; Eligibility Stats'!$A:$A,0),MATCH('Program MW '!O$6,'Ex ante LI &amp; Eligibility Stats'!$A$8:$M$8,0))/1000)</f>
        <v>0.26925267112255097</v>
      </c>
      <c r="P16" s="358">
        <f>N16*(INDEX('Ex post LI &amp; Eligibility Stats'!$A:$N,MATCH($A16,'Ex post LI &amp; Eligibility Stats'!$A:$A,0),MATCH('Program MW '!O$6,'Ex post LI &amp; Eligibility Stats'!$A$8:$N$8,0))/1000)</f>
        <v>0.34991999999999995</v>
      </c>
      <c r="Q16" s="160">
        <v>980</v>
      </c>
      <c r="R16" s="357">
        <f>Q16*(INDEX('Ex ante LI &amp; Eligibility Stats'!$A:$M,MATCH('Program MW '!$A16,'Ex ante LI &amp; Eligibility Stats'!$A:$A,0),MATCH('Program MW '!R$6,'Ex ante LI &amp; Eligibility Stats'!$A$8:$M$8,0))/1000)</f>
        <v>0.25252178430557248</v>
      </c>
      <c r="S16" s="358">
        <f>Q16*(INDEX('Ex post LI &amp; Eligibility Stats'!$A:$N,MATCH($A16,'Ex post LI &amp; Eligibility Stats'!$A:$A,0),MATCH('Program MW '!R$6,'Ex post LI &amp; Eligibility Stats'!$A$8:$N$8,0))/1000)</f>
        <v>0.35279999999999995</v>
      </c>
      <c r="T16" s="4"/>
      <c r="U16" s="6"/>
      <c r="V16" s="6"/>
      <c r="W16" s="6"/>
      <c r="X16" s="6"/>
      <c r="Y16" s="6"/>
      <c r="Z16" s="6"/>
      <c r="AA16" s="6"/>
      <c r="AB16" s="6"/>
      <c r="AC16" s="6"/>
      <c r="AD16" s="6"/>
      <c r="AE16" s="6"/>
    </row>
    <row r="17" spans="1:31">
      <c r="A17" s="285" t="s">
        <v>21</v>
      </c>
      <c r="B17" s="421">
        <v>8709</v>
      </c>
      <c r="C17" s="357">
        <f>B17*(INDEX('Ex ante LI &amp; Eligibility Stats'!$A:$M,MATCH($A17,'Ex ante LI &amp; Eligibility Stats'!$A:$A,0),MATCH('Program MW '!C$6,'Ex ante LI &amp; Eligibility Stats'!$A$8:$M$8,0))/1000)</f>
        <v>0</v>
      </c>
      <c r="D17" s="358">
        <f>B17*(INDEX('Ex post LI &amp; Eligibility Stats'!$A:$N,MATCH($A17,'Ex post LI &amp; Eligibility Stats'!$A:$A,0),MATCH('Program MW '!C$6,'Ex post LI &amp; Eligibility Stats'!$A$8:$N$8,0))/1000)</f>
        <v>2.1772499999999999</v>
      </c>
      <c r="E17" s="421">
        <v>8522</v>
      </c>
      <c r="F17" s="357">
        <f>E17*(INDEX('Ex ante LI &amp; Eligibility Stats'!$A:$M,MATCH($A17,'Ex ante LI &amp; Eligibility Stats'!$A:$A,0),MATCH('Program MW '!F$6,'Ex ante LI &amp; Eligibility Stats'!$A$8:$M$8,0))/1000)</f>
        <v>0</v>
      </c>
      <c r="G17" s="358">
        <f>E17*(INDEX('Ex post LI &amp; Eligibility Stats'!$A:$N,MATCH($A17,'Ex post LI &amp; Eligibility Stats'!$A:$A,0),MATCH('Program MW '!F$6,'Ex post LI &amp; Eligibility Stats'!$A$8:$N$8,0))/1000)</f>
        <v>2.1305000000000001</v>
      </c>
      <c r="H17" s="421">
        <v>8522</v>
      </c>
      <c r="I17" s="357">
        <f>H17*(INDEX('Ex ante LI &amp; Eligibility Stats'!$A:$M,MATCH('Program MW '!$A17,'Ex ante LI &amp; Eligibility Stats'!$A:$A,0),MATCH('Program MW '!I$6,'Ex ante LI &amp; Eligibility Stats'!$A$8:$M$8,0))/1000)</f>
        <v>0</v>
      </c>
      <c r="J17" s="358">
        <f>H17*(INDEX('Ex post LI &amp; Eligibility Stats'!$A:$N,MATCH($A17,'Ex post LI &amp; Eligibility Stats'!$A:$A,0),MATCH('Program MW '!I$6,'Ex post LI &amp; Eligibility Stats'!$A$8:$N$8,0))/1000)</f>
        <v>0.93742000000000003</v>
      </c>
      <c r="K17" s="421">
        <v>7855</v>
      </c>
      <c r="L17" s="357">
        <f>K17*(INDEX('Ex ante LI &amp; Eligibility Stats'!$A:$M,MATCH('Program MW '!$A17,'Ex ante LI &amp; Eligibility Stats'!$A:$A,0),MATCH('Program MW '!L$6,'Ex ante LI &amp; Eligibility Stats'!$A$8:$M$8,0))/1000)</f>
        <v>0</v>
      </c>
      <c r="M17" s="358">
        <f>K17*(INDEX('Ex post LI &amp; Eligibility Stats'!$A:$N,MATCH($A17,'Ex post LI &amp; Eligibility Stats'!$A:$A,0),MATCH('Program MW '!L$6,'Ex post LI &amp; Eligibility Stats'!$A$8:$N$8,0))/1000)</f>
        <v>0.86404999999999998</v>
      </c>
      <c r="N17" s="421">
        <v>8179</v>
      </c>
      <c r="O17" s="357">
        <f>N17*(INDEX('Ex ante LI &amp; Eligibility Stats'!$A:$M,MATCH('Program MW '!$A17,'Ex ante LI &amp; Eligibility Stats'!$A:$A,0),MATCH('Program MW '!O$6,'Ex ante LI &amp; Eligibility Stats'!$A$8:$M$8,0))/1000)</f>
        <v>0.2733356368</v>
      </c>
      <c r="P17" s="358">
        <f>N17*(INDEX('Ex post LI &amp; Eligibility Stats'!$A:$N,MATCH($A17,'Ex post LI &amp; Eligibility Stats'!$A:$A,0),MATCH('Program MW '!O$6,'Ex post LI &amp; Eligibility Stats'!$A$8:$N$8,0))/1000)</f>
        <v>0.89968999999999999</v>
      </c>
      <c r="Q17" s="421">
        <v>7938</v>
      </c>
      <c r="R17" s="357">
        <f>Q17*(INDEX('Ex ante LI &amp; Eligibility Stats'!$A:$M,MATCH('Program MW '!$A17,'Ex ante LI &amp; Eligibility Stats'!$A:$A,0),MATCH('Program MW '!R$6,'Ex ante LI &amp; Eligibility Stats'!$A$8:$M$8,0))/1000)</f>
        <v>2.34337698E-2</v>
      </c>
      <c r="S17" s="358">
        <f>Q17*(INDEX('Ex post LI &amp; Eligibility Stats'!$A:$N,MATCH($A17,'Ex post LI &amp; Eligibility Stats'!$A:$A,0),MATCH('Program MW '!R$6,'Ex post LI &amp; Eligibility Stats'!$A$8:$N$8,0))/1000)</f>
        <v>0.87318000000000007</v>
      </c>
      <c r="T17" s="4">
        <v>157189</v>
      </c>
      <c r="U17" s="6"/>
      <c r="V17" s="6"/>
      <c r="W17" s="6"/>
      <c r="X17" s="6"/>
      <c r="Y17" s="6"/>
      <c r="Z17" s="6"/>
      <c r="AA17" s="6"/>
      <c r="AB17" s="6"/>
      <c r="AC17" s="6"/>
      <c r="AD17" s="6"/>
      <c r="AE17" s="6"/>
    </row>
    <row r="18" spans="1:31">
      <c r="A18" s="285" t="s">
        <v>23</v>
      </c>
      <c r="B18" s="421">
        <v>3148</v>
      </c>
      <c r="C18" s="357">
        <f>B18*(INDEX('Ex ante LI &amp; Eligibility Stats'!$A:$M,MATCH($A18,'Ex ante LI &amp; Eligibility Stats'!$A:$A,0),MATCH('Program MW '!C$6,'Ex ante LI &amp; Eligibility Stats'!$A$8:$M$8,0))/1000)</f>
        <v>0</v>
      </c>
      <c r="D18" s="358">
        <f>B18*(INDEX('Ex post LI &amp; Eligibility Stats'!$A:$N,MATCH($A18,'Ex post LI &amp; Eligibility Stats'!$A:$A,0),MATCH('Program MW '!C$6,'Ex post LI &amp; Eligibility Stats'!$A$8:$N$8,0))/1000)</f>
        <v>0.37775999999999998</v>
      </c>
      <c r="E18" s="421">
        <v>3130</v>
      </c>
      <c r="F18" s="357">
        <f>E18*(INDEX('Ex ante LI &amp; Eligibility Stats'!$A:$M,MATCH($A18,'Ex ante LI &amp; Eligibility Stats'!$A:$A,0),MATCH('Program MW '!F$6,'Ex ante LI &amp; Eligibility Stats'!$A$8:$M$8,0))/1000)</f>
        <v>0</v>
      </c>
      <c r="G18" s="358">
        <f>E18*(INDEX('Ex post LI &amp; Eligibility Stats'!$A:$N,MATCH($A18,'Ex post LI &amp; Eligibility Stats'!$A:$A,0),MATCH('Program MW '!F$6,'Ex post LI &amp; Eligibility Stats'!$A$8:$N$8,0))/1000)</f>
        <v>0.37559999999999999</v>
      </c>
      <c r="H18" s="421">
        <v>3184</v>
      </c>
      <c r="I18" s="357">
        <f>H18*(INDEX('Ex ante LI &amp; Eligibility Stats'!$A:$M,MATCH('Program MW '!$A18,'Ex ante LI &amp; Eligibility Stats'!$A:$A,0),MATCH('Program MW '!I$6,'Ex ante LI &amp; Eligibility Stats'!$A$8:$M$8,0))/1000)</f>
        <v>0</v>
      </c>
      <c r="J18" s="358">
        <f>H18*(INDEX('Ex post LI &amp; Eligibility Stats'!$A:$N,MATCH($A18,'Ex post LI &amp; Eligibility Stats'!$A:$A,0),MATCH('Program MW '!I$6,'Ex post LI &amp; Eligibility Stats'!$A$8:$N$8,0))/1000)</f>
        <v>0.28655999999999998</v>
      </c>
      <c r="K18" s="421">
        <v>3184</v>
      </c>
      <c r="L18" s="357">
        <f>K18*(INDEX('Ex ante LI &amp; Eligibility Stats'!$A:$M,MATCH('Program MW '!$A18,'Ex ante LI &amp; Eligibility Stats'!$A:$A,0),MATCH('Program MW '!L$6,'Ex ante LI &amp; Eligibility Stats'!$A$8:$M$8,0))/1000)</f>
        <v>0.17300868959999999</v>
      </c>
      <c r="M18" s="358">
        <f>K18*(INDEX('Ex post LI &amp; Eligibility Stats'!$A:$N,MATCH($A18,'Ex post LI &amp; Eligibility Stats'!$A:$A,0),MATCH('Program MW '!L$6,'Ex post LI &amp; Eligibility Stats'!$A$8:$N$8,0))/1000)</f>
        <v>0.28655999999999998</v>
      </c>
      <c r="N18" s="421">
        <v>3039</v>
      </c>
      <c r="O18" s="357">
        <f>N18*(INDEX('Ex ante LI &amp; Eligibility Stats'!$A:$M,MATCH('Program MW '!$A18,'Ex ante LI &amp; Eligibility Stats'!$A:$A,0),MATCH('Program MW '!O$6,'Ex ante LI &amp; Eligibility Stats'!$A$8:$M$8,0))/1000)</f>
        <v>0.23546111219999999</v>
      </c>
      <c r="P18" s="358">
        <f>N18*(INDEX('Ex post LI &amp; Eligibility Stats'!$A:$N,MATCH($A18,'Ex post LI &amp; Eligibility Stats'!$A:$A,0),MATCH('Program MW '!O$6,'Ex post LI &amp; Eligibility Stats'!$A$8:$N$8,0))/1000)</f>
        <v>0.27350999999999998</v>
      </c>
      <c r="Q18" s="421">
        <v>3218</v>
      </c>
      <c r="R18" s="357">
        <f>Q18*(INDEX('Ex ante LI &amp; Eligibility Stats'!$A:$M,MATCH('Program MW '!$A18,'Ex ante LI &amp; Eligibility Stats'!$A:$A,0),MATCH('Program MW '!R$6,'Ex ante LI &amp; Eligibility Stats'!$A$8:$M$8,0))/1000)</f>
        <v>0.1919092916</v>
      </c>
      <c r="S18" s="358">
        <f>Q18*(INDEX('Ex post LI &amp; Eligibility Stats'!$A:$N,MATCH($A18,'Ex post LI &amp; Eligibility Stats'!$A:$A,0),MATCH('Program MW '!R$6,'Ex post LI &amp; Eligibility Stats'!$A$8:$N$8,0))/1000)</f>
        <v>0.28961999999999999</v>
      </c>
      <c r="T18" s="4">
        <v>157189</v>
      </c>
      <c r="U18" s="6"/>
      <c r="V18" s="6"/>
      <c r="W18" s="6"/>
      <c r="X18" s="6"/>
      <c r="Y18" s="6"/>
      <c r="Z18" s="6"/>
      <c r="AA18" s="6"/>
      <c r="AB18" s="6"/>
      <c r="AC18" s="6"/>
      <c r="AD18" s="6"/>
      <c r="AE18" s="6"/>
    </row>
    <row r="19" spans="1:31">
      <c r="A19" s="157" t="s">
        <v>24</v>
      </c>
      <c r="B19" s="160">
        <v>0</v>
      </c>
      <c r="C19" s="357">
        <f>B19*(INDEX('Ex ante LI &amp; Eligibility Stats'!$A:$M,MATCH($A19,'Ex ante LI &amp; Eligibility Stats'!$A:$A,0),MATCH('Program MW '!C$6,'Ex ante LI &amp; Eligibility Stats'!$A$8:$M$8,0))/1000)</f>
        <v>0</v>
      </c>
      <c r="D19" s="358">
        <f>B19*(INDEX('Ex post LI &amp; Eligibility Stats'!$A:$N,MATCH($A19,'Ex post LI &amp; Eligibility Stats'!$A:$A,0),MATCH('Program MW '!C$6,'Ex post LI &amp; Eligibility Stats'!$A$8:$N$8,0))/1000)</f>
        <v>0</v>
      </c>
      <c r="E19" s="160">
        <v>0</v>
      </c>
      <c r="F19" s="357">
        <f>E19*(INDEX('Ex ante LI &amp; Eligibility Stats'!$A:$M,MATCH($A19,'Ex ante LI &amp; Eligibility Stats'!$A:$A,0),MATCH('Program MW '!F$6,'Ex ante LI &amp; Eligibility Stats'!$A$8:$M$8,0))/1000)</f>
        <v>0</v>
      </c>
      <c r="G19" s="358">
        <f>E19*(INDEX('Ex post LI &amp; Eligibility Stats'!$A:$N,MATCH($A19,'Ex post LI &amp; Eligibility Stats'!$A:$A,0),MATCH('Program MW '!F$6,'Ex post LI &amp; Eligibility Stats'!$A$8:$N$8,0))/1000)</f>
        <v>0</v>
      </c>
      <c r="H19" s="160">
        <v>0</v>
      </c>
      <c r="I19" s="357">
        <f>H19*(INDEX('Ex ante LI &amp; Eligibility Stats'!$A:$M,MATCH('Program MW '!$A19,'Ex ante LI &amp; Eligibility Stats'!$A:$A,0),MATCH('Program MW '!I$6,'Ex ante LI &amp; Eligibility Stats'!$A$8:$M$8,0))/1000)</f>
        <v>0</v>
      </c>
      <c r="J19" s="358">
        <f>H19*(INDEX('Ex post LI &amp; Eligibility Stats'!$A:$N,MATCH($A19,'Ex post LI &amp; Eligibility Stats'!$A:$A,0),MATCH('Program MW '!I$6,'Ex post LI &amp; Eligibility Stats'!$A$8:$N$8,0))/1000)</f>
        <v>0</v>
      </c>
      <c r="K19" s="160">
        <v>0</v>
      </c>
      <c r="L19" s="357">
        <f>K19*(INDEX('Ex ante LI &amp; Eligibility Stats'!$A:$M,MATCH('Program MW '!$A19,'Ex ante LI &amp; Eligibility Stats'!$A:$A,0),MATCH('Program MW '!L$6,'Ex ante LI &amp; Eligibility Stats'!$A$8:$M$8,0))/1000)</f>
        <v>0</v>
      </c>
      <c r="M19" s="358">
        <f>K19*(INDEX('Ex post LI &amp; Eligibility Stats'!$A:$N,MATCH($A19,'Ex post LI &amp; Eligibility Stats'!$A:$A,0),MATCH('Program MW '!L$6,'Ex post LI &amp; Eligibility Stats'!$A$8:$N$8,0))/1000)</f>
        <v>0</v>
      </c>
      <c r="N19" s="160">
        <v>9</v>
      </c>
      <c r="O19" s="357">
        <f>N19*(INDEX('Ex ante LI &amp; Eligibility Stats'!$A:$M,MATCH('Program MW '!$A19,'Ex ante LI &amp; Eligibility Stats'!$A:$A,0),MATCH('Program MW '!O$6,'Ex ante LI &amp; Eligibility Stats'!$A$8:$M$8,0))/1000)</f>
        <v>0.16829999999999998</v>
      </c>
      <c r="P19" s="358">
        <f>N19*(INDEX('Ex post LI &amp; Eligibility Stats'!$A:$N,MATCH($A19,'Ex post LI &amp; Eligibility Stats'!$A:$A,0),MATCH('Program MW '!O$6,'Ex post LI &amp; Eligibility Stats'!$A$8:$N$8,0))/1000)</f>
        <v>0.23669999999999999</v>
      </c>
      <c r="Q19" s="160">
        <v>11</v>
      </c>
      <c r="R19" s="357">
        <f>Q19*(INDEX('Ex ante LI &amp; Eligibility Stats'!$A:$M,MATCH('Program MW '!$A19,'Ex ante LI &amp; Eligibility Stats'!$A:$A,0),MATCH('Program MW '!R$6,'Ex ante LI &amp; Eligibility Stats'!$A$8:$M$8,0))/1000)</f>
        <v>0.20861366189624328</v>
      </c>
      <c r="S19" s="358">
        <f>Q19*(INDEX('Ex post LI &amp; Eligibility Stats'!$A:$N,MATCH($A19,'Ex post LI &amp; Eligibility Stats'!$A:$A,0),MATCH('Program MW '!R$6,'Ex post LI &amp; Eligibility Stats'!$A$8:$N$8,0))/1000)</f>
        <v>0.2893</v>
      </c>
      <c r="T19" s="4">
        <v>18875</v>
      </c>
      <c r="U19" s="6"/>
      <c r="V19" s="6"/>
      <c r="W19" s="6"/>
      <c r="X19" s="6"/>
      <c r="Y19" s="6"/>
      <c r="Z19" s="6"/>
      <c r="AA19" s="6"/>
      <c r="AB19" s="6"/>
      <c r="AC19" s="6"/>
      <c r="AD19" s="6"/>
      <c r="AE19" s="6"/>
    </row>
    <row r="20" spans="1:31">
      <c r="A20" s="157" t="s">
        <v>25</v>
      </c>
      <c r="B20" s="160">
        <v>0</v>
      </c>
      <c r="C20" s="357">
        <f>B20*(INDEX('Ex ante LI &amp; Eligibility Stats'!$A:$M,MATCH($A20,'Ex ante LI &amp; Eligibility Stats'!$A:$A,0),MATCH('Program MW '!C$6,'Ex ante LI &amp; Eligibility Stats'!$A$8:$M$8,0))/1000)</f>
        <v>0</v>
      </c>
      <c r="D20" s="358">
        <f>B20*(INDEX('Ex post LI &amp; Eligibility Stats'!$A:$N,MATCH($A20,'Ex post LI &amp; Eligibility Stats'!$A:$A,0),MATCH('Program MW '!C$6,'Ex post LI &amp; Eligibility Stats'!$A$8:$N$8,0))/1000)</f>
        <v>0</v>
      </c>
      <c r="E20" s="160">
        <v>0</v>
      </c>
      <c r="F20" s="357">
        <f>E20*(INDEX('Ex ante LI &amp; Eligibility Stats'!$A:$M,MATCH($A20,'Ex ante LI &amp; Eligibility Stats'!$A:$A,0),MATCH('Program MW '!F$6,'Ex ante LI &amp; Eligibility Stats'!$A$8:$M$8,0))/1000)</f>
        <v>0</v>
      </c>
      <c r="G20" s="358">
        <f>E20*(INDEX('Ex post LI &amp; Eligibility Stats'!$A:$N,MATCH($A20,'Ex post LI &amp; Eligibility Stats'!$A:$A,0),MATCH('Program MW '!F$6,'Ex post LI &amp; Eligibility Stats'!$A$8:$N$8,0))/1000)</f>
        <v>0</v>
      </c>
      <c r="H20" s="160">
        <v>0</v>
      </c>
      <c r="I20" s="357">
        <f>H20*(INDEX('Ex ante LI &amp; Eligibility Stats'!$A:$M,MATCH('Program MW '!$A20,'Ex ante LI &amp; Eligibility Stats'!$A:$A,0),MATCH('Program MW '!I$6,'Ex ante LI &amp; Eligibility Stats'!$A$8:$M$8,0))/1000)</f>
        <v>0</v>
      </c>
      <c r="J20" s="358">
        <f>H20*(INDEX('Ex post LI &amp; Eligibility Stats'!$A:$N,MATCH($A20,'Ex post LI &amp; Eligibility Stats'!$A:$A,0),MATCH('Program MW '!I$6,'Ex post LI &amp; Eligibility Stats'!$A$8:$N$8,0))/1000)</f>
        <v>0</v>
      </c>
      <c r="K20" s="160">
        <v>0</v>
      </c>
      <c r="L20" s="357">
        <f>K20*(INDEX('Ex ante LI &amp; Eligibility Stats'!$A:$M,MATCH('Program MW '!$A20,'Ex ante LI &amp; Eligibility Stats'!$A:$A,0),MATCH('Program MW '!L$6,'Ex ante LI &amp; Eligibility Stats'!$A$8:$M$8,0))/1000)</f>
        <v>0</v>
      </c>
      <c r="M20" s="358">
        <f>K20*(INDEX('Ex post LI &amp; Eligibility Stats'!$A:$N,MATCH($A20,'Ex post LI &amp; Eligibility Stats'!$A:$A,0),MATCH('Program MW '!L$6,'Ex post LI &amp; Eligibility Stats'!$A$8:$N$8,0))/1000)</f>
        <v>0</v>
      </c>
      <c r="N20" s="160">
        <v>170</v>
      </c>
      <c r="O20" s="357">
        <f>N20*(INDEX('Ex ante LI &amp; Eligibility Stats'!$A:$M,MATCH('Program MW '!$A20,'Ex ante LI &amp; Eligibility Stats'!$A:$A,0),MATCH('Program MW '!O$6,'Ex ante LI &amp; Eligibility Stats'!$A$8:$M$8,0))/1000)</f>
        <v>2.8929656335198746</v>
      </c>
      <c r="P20" s="358">
        <f>N20*(INDEX('Ex post LI &amp; Eligibility Stats'!$A:$N,MATCH($A20,'Ex post LI &amp; Eligibility Stats'!$A:$A,0),MATCH('Program MW '!O$6,'Ex post LI &amp; Eligibility Stats'!$A$8:$N$8,0))/1000)</f>
        <v>3.3320000000000003</v>
      </c>
      <c r="Q20" s="160">
        <v>142</v>
      </c>
      <c r="R20" s="357">
        <f>Q20*(INDEX('Ex ante LI &amp; Eligibility Stats'!$A:$M,MATCH('Program MW '!$A20,'Ex ante LI &amp; Eligibility Stats'!$A:$A,0),MATCH('Program MW '!R$6,'Ex ante LI &amp; Eligibility Stats'!$A$8:$M$8,0))/1000)</f>
        <v>2.4164771762342481</v>
      </c>
      <c r="S20" s="358">
        <f>Q20*(INDEX('Ex post LI &amp; Eligibility Stats'!$A:$N,MATCH($A20,'Ex post LI &amp; Eligibility Stats'!$A:$A,0),MATCH('Program MW '!R$6,'Ex post LI &amp; Eligibility Stats'!$A$8:$N$8,0))/1000)</f>
        <v>2.7832000000000003</v>
      </c>
      <c r="T20" s="4">
        <v>18875</v>
      </c>
      <c r="U20" s="6"/>
      <c r="V20" s="6"/>
      <c r="W20" s="6"/>
      <c r="X20" s="6"/>
      <c r="Y20" s="6"/>
      <c r="Z20" s="6"/>
      <c r="AA20" s="6"/>
      <c r="AB20" s="6"/>
      <c r="AC20" s="6"/>
      <c r="AD20" s="6"/>
      <c r="AE20" s="6"/>
    </row>
    <row r="21" spans="1:31" s="153" customFormat="1">
      <c r="A21" s="285" t="s">
        <v>56</v>
      </c>
      <c r="B21" s="210">
        <v>90</v>
      </c>
      <c r="C21" s="357">
        <v>0</v>
      </c>
      <c r="D21" s="358">
        <v>0</v>
      </c>
      <c r="E21" s="210">
        <v>90</v>
      </c>
      <c r="F21" s="357" t="s">
        <v>57</v>
      </c>
      <c r="G21" s="358" t="s">
        <v>57</v>
      </c>
      <c r="H21" s="210">
        <v>92</v>
      </c>
      <c r="I21" s="357">
        <f>H21*(INDEX('Ex ante LI &amp; Eligibility Stats'!$A:$M,MATCH('Program MW '!$A21,'Ex ante LI &amp; Eligibility Stats'!$A:$A,0),MATCH('Program MW '!I$6,'Ex ante LI &amp; Eligibility Stats'!$A$8:$M$8,0))/1000)</f>
        <v>6.6880169510841365E-4</v>
      </c>
      <c r="J21" s="358">
        <f>H21*(INDEX('Ex post LI &amp; Eligibility Stats'!$A:$N,MATCH($A21,'Ex post LI &amp; Eligibility Stats'!$A:$A,0),MATCH('Program MW '!I$6,'Ex post LI &amp; Eligibility Stats'!$A$8:$N$8,0))/1000)</f>
        <v>0.15916</v>
      </c>
      <c r="K21" s="210">
        <v>92</v>
      </c>
      <c r="L21" s="357">
        <f>K21*(INDEX('Ex ante LI &amp; Eligibility Stats'!$A:$M,MATCH('Program MW '!$A21,'Ex ante LI &amp; Eligibility Stats'!$A:$A,0),MATCH('Program MW '!L$6,'Ex ante LI &amp; Eligibility Stats'!$A$8:$M$8,0))/1000)</f>
        <v>3.2941794395446779E-3</v>
      </c>
      <c r="M21" s="358">
        <f>K21*(INDEX('Ex post LI &amp; Eligibility Stats'!$A:$N,MATCH($A21,'Ex post LI &amp; Eligibility Stats'!$A:$A,0),MATCH('Program MW '!L$6,'Ex post LI &amp; Eligibility Stats'!$A$8:$N$8,0))/1000)</f>
        <v>0.15916</v>
      </c>
      <c r="N21" s="210">
        <v>92</v>
      </c>
      <c r="O21" s="357">
        <f>N21*(INDEX('Ex ante LI &amp; Eligibility Stats'!$A:$M,MATCH('Program MW '!$A21,'Ex ante LI &amp; Eligibility Stats'!$A:$A,0),MATCH('Program MW '!O$6,'Ex ante LI &amp; Eligibility Stats'!$A$8:$M$8,0))/1000)</f>
        <v>4.2480019181966779E-3</v>
      </c>
      <c r="P21" s="358">
        <f>N21*(INDEX('Ex post LI &amp; Eligibility Stats'!$A:$N,MATCH($A21,'Ex post LI &amp; Eligibility Stats'!$A:$A,0),MATCH('Program MW '!O$6,'Ex post LI &amp; Eligibility Stats'!$A$8:$N$8,0))/1000)</f>
        <v>0.15916</v>
      </c>
      <c r="Q21" s="210">
        <v>92</v>
      </c>
      <c r="R21" s="357">
        <f>Q21*(INDEX('Ex ante LI &amp; Eligibility Stats'!$A:$M,MATCH('Program MW '!$A21,'Ex ante LI &amp; Eligibility Stats'!$A:$A,0),MATCH('Program MW '!R$6,'Ex ante LI &amp; Eligibility Stats'!$A$8:$M$8,0))/1000)</f>
        <v>4.2323999702930451E-3</v>
      </c>
      <c r="S21" s="358">
        <f>Q21*(INDEX('Ex post LI &amp; Eligibility Stats'!$A:$N,MATCH($A21,'Ex post LI &amp; Eligibility Stats'!$A:$A,0),MATCH('Program MW '!R$6,'Ex post LI &amp; Eligibility Stats'!$A$8:$N$8,0))/1000)</f>
        <v>0.15916</v>
      </c>
      <c r="T21" s="471"/>
      <c r="U21" s="472"/>
      <c r="V21" s="472"/>
      <c r="W21" s="472"/>
      <c r="X21" s="472"/>
      <c r="Y21" s="472"/>
      <c r="Z21" s="472"/>
      <c r="AA21" s="472"/>
      <c r="AB21" s="472"/>
      <c r="AC21" s="472"/>
      <c r="AD21" s="472"/>
      <c r="AE21" s="472"/>
    </row>
    <row r="22" spans="1:31">
      <c r="A22" s="157" t="s">
        <v>26</v>
      </c>
      <c r="B22" s="160">
        <v>113358</v>
      </c>
      <c r="C22" s="357">
        <f>B22*(INDEX('Ex ante LI &amp; Eligibility Stats'!$A:$M,MATCH($A22,'Ex ante LI &amp; Eligibility Stats'!$A:$A,0),MATCH('Program MW '!C$6,'Ex ante LI &amp; Eligibility Stats'!$A$8:$M$8,0))/1000)</f>
        <v>1.13358</v>
      </c>
      <c r="D22" s="358">
        <f>B22*(INDEX('Ex post LI &amp; Eligibility Stats'!$A:$N,MATCH($A22,'Ex post LI &amp; Eligibility Stats'!$A:$A,0),MATCH('Program MW '!C$6,'Ex post LI &amp; Eligibility Stats'!$A$8:$N$8,0))/1000)</f>
        <v>3.4007399999999999</v>
      </c>
      <c r="E22" s="160">
        <v>113041</v>
      </c>
      <c r="F22" s="357">
        <f>E22*(INDEX('Ex ante LI &amp; Eligibility Stats'!$A:$M,MATCH($A22,'Ex ante LI &amp; Eligibility Stats'!$A:$A,0),MATCH('Program MW '!F$6,'Ex ante LI &amp; Eligibility Stats'!$A$8:$M$8,0))/1000)</f>
        <v>1.1304100000000001</v>
      </c>
      <c r="G22" s="358">
        <f>E22*(INDEX('Ex post LI &amp; Eligibility Stats'!$A:$N,MATCH($A22,'Ex post LI &amp; Eligibility Stats'!$A:$A,0),MATCH('Program MW '!F$6,'Ex post LI &amp; Eligibility Stats'!$A$8:$N$8,0))/1000)</f>
        <v>3.3912299999999997</v>
      </c>
      <c r="H22" s="160">
        <v>113021</v>
      </c>
      <c r="I22" s="357">
        <f>H22*(INDEX('Ex ante LI &amp; Eligibility Stats'!$A:$M,MATCH('Program MW '!$A22,'Ex ante LI &amp; Eligibility Stats'!$A:$A,0),MATCH('Program MW '!I$6,'Ex ante LI &amp; Eligibility Stats'!$A$8:$M$8,0))/1000)</f>
        <v>1.2958692341139539</v>
      </c>
      <c r="J22" s="358">
        <f>H22*(INDEX('Ex post LI &amp; Eligibility Stats'!$A:$N,MATCH($A22,'Ex post LI &amp; Eligibility Stats'!$A:$A,0),MATCH('Program MW '!I$6,'Ex post LI &amp; Eligibility Stats'!$A$8:$N$8,0))/1000)</f>
        <v>3.3906299999999998</v>
      </c>
      <c r="K22" s="160">
        <v>112866</v>
      </c>
      <c r="L22" s="357">
        <f>K22*(INDEX('Ex ante LI &amp; Eligibility Stats'!$A:$M,MATCH('Program MW '!$A22,'Ex ante LI &amp; Eligibility Stats'!$A:$A,0),MATCH('Program MW '!L$6,'Ex ante LI &amp; Eligibility Stats'!$A$8:$M$8,0))/1000)</f>
        <v>1.5787632344663143</v>
      </c>
      <c r="M22" s="358">
        <f>K22*(INDEX('Ex post LI &amp; Eligibility Stats'!$A:$N,MATCH($A22,'Ex post LI &amp; Eligibility Stats'!$A:$A,0),MATCH('Program MW '!L$6,'Ex post LI &amp; Eligibility Stats'!$A$8:$N$8,0))/1000)</f>
        <v>3.3859799999999995</v>
      </c>
      <c r="N22" s="160">
        <v>112745</v>
      </c>
      <c r="O22" s="357">
        <f>N22*(INDEX('Ex ante LI &amp; Eligibility Stats'!$A:$M,MATCH('Program MW '!$A22,'Ex ante LI &amp; Eligibility Stats'!$A:$A,0),MATCH('Program MW '!O$6,'Ex ante LI &amp; Eligibility Stats'!$A$8:$M$8,0))/1000)</f>
        <v>1.6670737564750016</v>
      </c>
      <c r="P22" s="358">
        <f>N22*(INDEX('Ex post LI &amp; Eligibility Stats'!$A:$N,MATCH($A22,'Ex post LI &amp; Eligibility Stats'!$A:$A,0),MATCH('Program MW '!O$6,'Ex post LI &amp; Eligibility Stats'!$A$8:$N$8,0))/1000)</f>
        <v>3.3823499999999997</v>
      </c>
      <c r="Q22" s="160">
        <v>112680</v>
      </c>
      <c r="R22" s="357">
        <f>Q22*(INDEX('Ex ante LI &amp; Eligibility Stats'!$A:$M,MATCH('Program MW '!$A22,'Ex ante LI &amp; Eligibility Stats'!$A:$A,0),MATCH('Program MW '!R$6,'Ex ante LI &amp; Eligibility Stats'!$A$8:$M$8,0))/1000)</f>
        <v>1.7073372121900321</v>
      </c>
      <c r="S22" s="358">
        <f>Q22*(INDEX('Ex post LI &amp; Eligibility Stats'!$A:$N,MATCH($A22,'Ex post LI &amp; Eligibility Stats'!$A:$A,0),MATCH('Program MW '!R$6,'Ex post LI &amp; Eligibility Stats'!$A$8:$N$8,0))/1000)</f>
        <v>3.3803999999999998</v>
      </c>
      <c r="T22" s="4"/>
      <c r="U22" s="6"/>
      <c r="V22" s="6"/>
      <c r="W22" s="6"/>
      <c r="X22" s="6"/>
      <c r="Y22" s="6"/>
      <c r="Z22" s="6"/>
      <c r="AA22" s="6"/>
      <c r="AB22" s="6"/>
      <c r="AC22" s="6"/>
      <c r="AD22" s="6"/>
      <c r="AE22" s="6"/>
    </row>
    <row r="23" spans="1:31">
      <c r="A23" s="235" t="s">
        <v>27</v>
      </c>
      <c r="B23" s="284">
        <v>14845</v>
      </c>
      <c r="C23" s="359">
        <f>B23*(INDEX('Ex ante LI &amp; Eligibility Stats'!$A:$M,MATCH($A23,'Ex ante LI &amp; Eligibility Stats'!$A:$A,0),MATCH('Program MW '!C$6,'Ex ante LI &amp; Eligibility Stats'!$A$8:$M$8,0))/1000)</f>
        <v>0.59379999999999999</v>
      </c>
      <c r="D23" s="360">
        <f>B23*(INDEX('Ex post LI &amp; Eligibility Stats'!$A:$N,MATCH($A23,'Ex post LI &amp; Eligibility Stats'!$A:$A,0),MATCH('Program MW '!C$6,'Ex post LI &amp; Eligibility Stats'!$A$8:$N$8,0))/1000)</f>
        <v>3.2659000000000002</v>
      </c>
      <c r="E23" s="284">
        <v>15413</v>
      </c>
      <c r="F23" s="357">
        <f>E23*(INDEX('Ex ante LI &amp; Eligibility Stats'!$A:$M,MATCH($A23,'Ex ante LI &amp; Eligibility Stats'!$A:$A,0),MATCH('Program MW '!F$6,'Ex ante LI &amp; Eligibility Stats'!$A$8:$M$8,0))/1000)</f>
        <v>0.61652000000000007</v>
      </c>
      <c r="G23" s="358">
        <f>E23*(INDEX('Ex post LI &amp; Eligibility Stats'!$A:$N,MATCH($A23,'Ex post LI &amp; Eligibility Stats'!$A:$A,0),MATCH('Program MW '!F$6,'Ex post LI &amp; Eligibility Stats'!$A$8:$N$8,0))/1000)</f>
        <v>3.39086</v>
      </c>
      <c r="H23" s="284">
        <v>15637</v>
      </c>
      <c r="I23" s="357">
        <f>H23*(INDEX('Ex ante LI &amp; Eligibility Stats'!$A:$M,MATCH('Program MW '!$A23,'Ex ante LI &amp; Eligibility Stats'!$A:$A,0),MATCH('Program MW '!I$6,'Ex ante LI &amp; Eligibility Stats'!$A$8:$M$8,0))/1000)</f>
        <v>0.19967582361400127</v>
      </c>
      <c r="J23" s="358">
        <f>H23*(INDEX('Ex post LI &amp; Eligibility Stats'!$A:$N,MATCH($A23,'Ex post LI &amp; Eligibility Stats'!$A:$A,0),MATCH('Program MW '!I$6,'Ex post LI &amp; Eligibility Stats'!$A$8:$N$8,0))/1000)</f>
        <v>3.44014</v>
      </c>
      <c r="K23" s="284">
        <v>16037</v>
      </c>
      <c r="L23" s="357">
        <f>K23*(INDEX('Ex ante LI &amp; Eligibility Stats'!$A:$M,MATCH('Program MW '!$A23,'Ex ante LI &amp; Eligibility Stats'!$A:$A,0),MATCH('Program MW '!L$6,'Ex ante LI &amp; Eligibility Stats'!$A$8:$M$8,0))/1000)</f>
        <v>0.19338366127759218</v>
      </c>
      <c r="M23" s="358">
        <f>K23*(INDEX('Ex post LI &amp; Eligibility Stats'!$A:$N,MATCH($A23,'Ex post LI &amp; Eligibility Stats'!$A:$A,0),MATCH('Program MW '!L$6,'Ex post LI &amp; Eligibility Stats'!$A$8:$N$8,0))/1000)</f>
        <v>3.5281400000000001</v>
      </c>
      <c r="N23" s="284">
        <v>16135</v>
      </c>
      <c r="O23" s="357">
        <f>N23*(INDEX('Ex ante LI &amp; Eligibility Stats'!$A:$M,MATCH('Program MW '!$A23,'Ex ante LI &amp; Eligibility Stats'!$A:$A,0),MATCH('Program MW '!O$6,'Ex ante LI &amp; Eligibility Stats'!$A$8:$M$8,0))/1000)</f>
        <v>0.31780898060649632</v>
      </c>
      <c r="P23" s="358">
        <f>N23*(INDEX('Ex post LI &amp; Eligibility Stats'!$A:$N,MATCH($A23,'Ex post LI &amp; Eligibility Stats'!$A:$A,0),MATCH('Program MW '!O$6,'Ex post LI &amp; Eligibility Stats'!$A$8:$N$8,0))/1000)</f>
        <v>3.5497000000000001</v>
      </c>
      <c r="Q23" s="284">
        <v>16151</v>
      </c>
      <c r="R23" s="357">
        <f>Q23*(INDEX('Ex ante LI &amp; Eligibility Stats'!$A:$M,MATCH('Program MW '!$A23,'Ex ante LI &amp; Eligibility Stats'!$A:$A,0),MATCH('Program MW '!R$6,'Ex ante LI &amp; Eligibility Stats'!$A$8:$M$8,0))/1000)</f>
        <v>2.6979194424897432</v>
      </c>
      <c r="S23" s="358">
        <f>Q23*(INDEX('Ex post LI &amp; Eligibility Stats'!$A:$N,MATCH($A23,'Ex post LI &amp; Eligibility Stats'!$A:$A,0),MATCH('Program MW '!R$6,'Ex post LI &amp; Eligibility Stats'!$A$8:$N$8,0))/1000)</f>
        <v>3.55322</v>
      </c>
      <c r="T23" s="4"/>
      <c r="U23" s="6"/>
      <c r="V23" s="6"/>
      <c r="W23" s="6"/>
      <c r="X23" s="6"/>
      <c r="Y23" s="6"/>
      <c r="Z23" s="6"/>
      <c r="AA23" s="6"/>
      <c r="AB23" s="6"/>
      <c r="AC23" s="6"/>
      <c r="AD23" s="6"/>
      <c r="AE23" s="6"/>
    </row>
    <row r="24" spans="1:31" ht="13.5" thickBot="1">
      <c r="A24" s="188" t="s">
        <v>58</v>
      </c>
      <c r="B24" s="158">
        <f t="shared" ref="B24:S24" si="3">SUM(B12:B23)</f>
        <v>175364</v>
      </c>
      <c r="C24" s="176">
        <f t="shared" si="3"/>
        <v>1.7273800000000001</v>
      </c>
      <c r="D24" s="175">
        <f t="shared" si="3"/>
        <v>23.523489999999995</v>
      </c>
      <c r="E24" s="1">
        <f t="shared" si="3"/>
        <v>175537</v>
      </c>
      <c r="F24" s="237">
        <f t="shared" si="3"/>
        <v>1.7469300000000003</v>
      </c>
      <c r="G24" s="238">
        <f t="shared" si="3"/>
        <v>23.610339999999997</v>
      </c>
      <c r="H24" s="1">
        <f t="shared" si="3"/>
        <v>175887</v>
      </c>
      <c r="I24" s="237">
        <f t="shared" si="3"/>
        <v>3.5272883615945085</v>
      </c>
      <c r="J24" s="238">
        <f t="shared" si="3"/>
        <v>23.547049999999999</v>
      </c>
      <c r="K24" s="1">
        <f t="shared" si="3"/>
        <v>170594</v>
      </c>
      <c r="L24" s="237">
        <f t="shared" ref="L24:M24" si="4">SUM(L12:L23)</f>
        <v>5.4002971727840645</v>
      </c>
      <c r="M24" s="238">
        <f t="shared" si="4"/>
        <v>22.373850000000001</v>
      </c>
      <c r="N24" s="1">
        <f t="shared" si="3"/>
        <v>171169</v>
      </c>
      <c r="O24" s="239">
        <f t="shared" si="3"/>
        <v>9.9127026028676823</v>
      </c>
      <c r="P24" s="242">
        <f t="shared" si="3"/>
        <v>26.001850000000001</v>
      </c>
      <c r="Q24" s="1">
        <f t="shared" si="3"/>
        <v>170253</v>
      </c>
      <c r="R24" s="253">
        <f t="shared" si="3"/>
        <v>11.232285351639758</v>
      </c>
      <c r="S24" s="254">
        <f t="shared" si="3"/>
        <v>25.284229999999997</v>
      </c>
      <c r="T24" s="5"/>
      <c r="U24" s="6"/>
      <c r="V24" s="6"/>
      <c r="W24" s="6"/>
      <c r="X24" s="6"/>
      <c r="Y24" s="6"/>
      <c r="Z24" s="6"/>
      <c r="AA24" s="6"/>
      <c r="AB24" s="6"/>
      <c r="AC24" s="6"/>
      <c r="AD24" s="6"/>
      <c r="AE24" s="6"/>
    </row>
    <row r="25" spans="1:31" ht="14.25" thickTop="1" thickBot="1">
      <c r="A25" s="195" t="s">
        <v>59</v>
      </c>
      <c r="B25" s="2">
        <f t="shared" ref="B25:S25" si="5">+B10+B24</f>
        <v>175368</v>
      </c>
      <c r="C25" s="176">
        <f t="shared" si="5"/>
        <v>2.37662</v>
      </c>
      <c r="D25" s="282">
        <f t="shared" si="5"/>
        <v>25.039209999999997</v>
      </c>
      <c r="E25" s="2">
        <f t="shared" si="5"/>
        <v>175541</v>
      </c>
      <c r="F25" s="176">
        <f t="shared" si="5"/>
        <v>2.1807700000000003</v>
      </c>
      <c r="G25" s="176">
        <f t="shared" si="5"/>
        <v>25.126059999999995</v>
      </c>
      <c r="H25" s="2">
        <f t="shared" si="5"/>
        <v>175891</v>
      </c>
      <c r="I25" s="176">
        <f t="shared" si="5"/>
        <v>4.2512196970437275</v>
      </c>
      <c r="J25" s="175">
        <f t="shared" si="5"/>
        <v>25.840914013671874</v>
      </c>
      <c r="K25" s="2">
        <f t="shared" si="5"/>
        <v>170598</v>
      </c>
      <c r="L25" s="176">
        <f t="shared" ref="L25:M25" si="6">+L10+L24</f>
        <v>6.0482805101864079</v>
      </c>
      <c r="M25" s="175">
        <f t="shared" si="6"/>
        <v>24.667714013671876</v>
      </c>
      <c r="N25" s="2">
        <f t="shared" si="5"/>
        <v>171173</v>
      </c>
      <c r="O25" s="240">
        <f t="shared" si="5"/>
        <v>10.535666042809089</v>
      </c>
      <c r="P25" s="175">
        <f t="shared" si="5"/>
        <v>28.295714013671876</v>
      </c>
      <c r="Q25" s="2">
        <f t="shared" si="5"/>
        <v>170257</v>
      </c>
      <c r="R25" s="256">
        <f t="shared" si="5"/>
        <v>12.001734387284289</v>
      </c>
      <c r="S25" s="255">
        <f t="shared" si="5"/>
        <v>27.578094013671873</v>
      </c>
      <c r="T25" s="8"/>
      <c r="U25" s="6"/>
      <c r="V25" s="6"/>
      <c r="W25" s="6"/>
      <c r="X25" s="6"/>
      <c r="Y25" s="6"/>
      <c r="Z25" s="6"/>
      <c r="AA25" s="6"/>
      <c r="AB25" s="6"/>
      <c r="AC25" s="6"/>
      <c r="AD25" s="6"/>
      <c r="AE25" s="6"/>
    </row>
    <row r="26" spans="1:31" ht="13.5" thickTop="1">
      <c r="A26" s="147"/>
      <c r="B26" s="92"/>
      <c r="C26" s="90"/>
      <c r="D26" s="91"/>
      <c r="E26" s="92"/>
      <c r="F26" s="90"/>
      <c r="G26" s="93"/>
      <c r="H26" s="92"/>
      <c r="I26" s="90"/>
      <c r="J26" s="93"/>
      <c r="K26" s="92"/>
      <c r="L26" s="90"/>
      <c r="M26" s="93"/>
      <c r="N26" s="92"/>
      <c r="O26" s="90"/>
      <c r="P26" s="93"/>
      <c r="Q26" s="92"/>
      <c r="R26" s="90"/>
      <c r="S26" s="93"/>
      <c r="T26" s="9"/>
      <c r="U26" s="6"/>
      <c r="V26" s="6"/>
      <c r="W26" s="6"/>
      <c r="X26" s="6"/>
      <c r="Y26" s="6"/>
      <c r="Z26" s="6"/>
      <c r="AA26" s="6"/>
      <c r="AB26" s="6"/>
      <c r="AC26" s="6"/>
      <c r="AD26" s="6"/>
      <c r="AE26" s="6"/>
    </row>
    <row r="27" spans="1:31">
      <c r="B27" s="41"/>
      <c r="C27" s="41"/>
      <c r="D27" s="41"/>
      <c r="E27" s="41"/>
      <c r="F27" s="41"/>
      <c r="G27" s="41"/>
      <c r="H27" s="41"/>
      <c r="I27" s="41"/>
      <c r="J27" s="41"/>
      <c r="K27" s="41"/>
      <c r="L27" s="41"/>
      <c r="M27" s="41"/>
      <c r="N27" s="41"/>
      <c r="O27" s="41"/>
      <c r="P27" s="41"/>
      <c r="Q27" s="41"/>
      <c r="R27" s="41"/>
      <c r="S27" s="41"/>
    </row>
    <row r="28" spans="1:31" hidden="1">
      <c r="B28" s="41"/>
      <c r="C28" s="41">
        <f>C4+6</f>
        <v>8</v>
      </c>
      <c r="D28" s="41">
        <f>D4+6</f>
        <v>8</v>
      </c>
      <c r="E28" s="41"/>
      <c r="F28" s="41">
        <f>F4+6</f>
        <v>9</v>
      </c>
      <c r="G28" s="41">
        <f>G4+6</f>
        <v>9</v>
      </c>
      <c r="H28" s="41"/>
      <c r="I28" s="41">
        <f>I4+6</f>
        <v>10</v>
      </c>
      <c r="J28" s="41">
        <f>J4+6</f>
        <v>10</v>
      </c>
      <c r="K28" s="41"/>
      <c r="L28" s="41">
        <f>L4+6</f>
        <v>11</v>
      </c>
      <c r="M28" s="41">
        <f>M4+6</f>
        <v>11</v>
      </c>
      <c r="N28" s="41"/>
      <c r="O28" s="41">
        <f>O4+6</f>
        <v>12</v>
      </c>
      <c r="P28" s="41">
        <f>P4+6</f>
        <v>12</v>
      </c>
      <c r="Q28" s="41"/>
      <c r="R28" s="41">
        <f>R4+6</f>
        <v>13</v>
      </c>
      <c r="S28" s="41">
        <f>S4+6</f>
        <v>13</v>
      </c>
    </row>
    <row r="29" spans="1:31">
      <c r="A29" s="88"/>
      <c r="B29" s="431"/>
      <c r="C29" s="431" t="s">
        <v>60</v>
      </c>
      <c r="D29" s="270"/>
      <c r="E29" s="431"/>
      <c r="F29" s="431" t="s">
        <v>75</v>
      </c>
      <c r="G29" s="431"/>
      <c r="H29" s="431"/>
      <c r="I29" s="431" t="s">
        <v>76</v>
      </c>
      <c r="J29" s="431"/>
      <c r="K29" s="431"/>
      <c r="L29" s="431" t="s">
        <v>62</v>
      </c>
      <c r="M29" s="431"/>
      <c r="N29" s="431"/>
      <c r="O29" s="431" t="s">
        <v>77</v>
      </c>
      <c r="P29" s="431"/>
      <c r="Q29" s="431"/>
      <c r="R29" s="431" t="s">
        <v>63</v>
      </c>
      <c r="S29" s="431"/>
      <c r="T29" s="147"/>
      <c r="U29" s="147"/>
    </row>
    <row r="30" spans="1:31" ht="42">
      <c r="A30" s="163" t="s">
        <v>46</v>
      </c>
      <c r="B30" s="185" t="s">
        <v>6</v>
      </c>
      <c r="C30" s="180" t="s">
        <v>48</v>
      </c>
      <c r="D30" s="170" t="s">
        <v>49</v>
      </c>
      <c r="E30" s="185" t="s">
        <v>6</v>
      </c>
      <c r="F30" s="180" t="s">
        <v>48</v>
      </c>
      <c r="G30" s="170" t="s">
        <v>49</v>
      </c>
      <c r="H30" s="185" t="s">
        <v>6</v>
      </c>
      <c r="I30" s="180" t="s">
        <v>64</v>
      </c>
      <c r="J30" s="170" t="s">
        <v>65</v>
      </c>
      <c r="K30" s="185" t="s">
        <v>47</v>
      </c>
      <c r="L30" s="180" t="s">
        <v>64</v>
      </c>
      <c r="M30" s="170" t="s">
        <v>65</v>
      </c>
      <c r="N30" s="185" t="s">
        <v>6</v>
      </c>
      <c r="O30" s="180" t="s">
        <v>64</v>
      </c>
      <c r="P30" s="170" t="s">
        <v>65</v>
      </c>
      <c r="Q30" s="185" t="s">
        <v>6</v>
      </c>
      <c r="R30" s="180" t="s">
        <v>64</v>
      </c>
      <c r="S30" s="170" t="s">
        <v>65</v>
      </c>
      <c r="T30" s="170" t="s">
        <v>50</v>
      </c>
      <c r="V30" s="11"/>
    </row>
    <row r="31" spans="1:31">
      <c r="A31" s="163" t="s">
        <v>51</v>
      </c>
      <c r="B31" s="185"/>
      <c r="C31" s="183"/>
      <c r="D31" s="186"/>
      <c r="E31" s="185"/>
      <c r="F31" s="183"/>
      <c r="G31" s="186"/>
      <c r="H31" s="185"/>
      <c r="I31" s="183"/>
      <c r="J31" s="183"/>
      <c r="K31" s="185"/>
      <c r="L31" s="183"/>
      <c r="M31" s="186"/>
      <c r="N31" s="185"/>
      <c r="O31" s="183"/>
      <c r="P31" s="186"/>
      <c r="Q31" s="185"/>
      <c r="R31" s="183"/>
      <c r="S31" s="186"/>
      <c r="T31" s="187"/>
    </row>
    <row r="32" spans="1:31">
      <c r="A32" s="85" t="s">
        <v>8</v>
      </c>
      <c r="B32" s="127">
        <v>4</v>
      </c>
      <c r="C32" s="357">
        <f>B32*(INDEX('Ex ante LI &amp; Eligibility Stats'!$A:$M,MATCH('Program MW '!$A32,'Ex ante LI &amp; Eligibility Stats'!$A:$A,0),MATCH('Program MW '!C$29,'Ex ante LI &amp; Eligibility Stats'!$A$8:$M$8,0))/1000)</f>
        <v>0.71939520263671874</v>
      </c>
      <c r="D32" s="357">
        <f>B32*(INDEX('Ex post LI &amp; Eligibility Stats'!$A:$N,MATCH($A32,'Ex post LI &amp; Eligibility Stats'!$A:$A,0),MATCH('Program MW '!C$29,'Ex post LI &amp; Eligibility Stats'!$A$8:$N$8,0))/1000)</f>
        <v>2.2938640136718749</v>
      </c>
      <c r="E32" s="124">
        <v>4</v>
      </c>
      <c r="F32" s="357">
        <f>E32*(INDEX('Ex ante LI &amp; Eligibility Stats'!$A:$M,MATCH('Program MW '!$A32,'Ex ante LI &amp; Eligibility Stats'!$A:$A,0),MATCH('Program MW '!F$29,'Ex ante LI &amp; Eligibility Stats'!$A$8:$M$8,0))/1000)</f>
        <v>0.71393469238281249</v>
      </c>
      <c r="G32" s="357">
        <f>E32*(INDEX('Ex post LI &amp; Eligibility Stats'!$A:$N,MATCH($A32,'Ex post LI &amp; Eligibility Stats'!$A:$A,0),MATCH('Program MW '!F$29,'Ex post LI &amp; Eligibility Stats'!$A$8:$N$8,0))/1000)</f>
        <v>2.2938640136718749</v>
      </c>
      <c r="H32" s="124">
        <v>0</v>
      </c>
      <c r="I32" s="357">
        <f>H32*(INDEX('Ex ante LI &amp; Eligibility Stats'!$A:$M,MATCH('Program MW '!$A32,'Ex ante LI &amp; Eligibility Stats'!$A:$A,0),MATCH('Program MW '!I$29,'Ex ante LI &amp; Eligibility Stats'!$A$8:$M$8,0))/1000)</f>
        <v>0</v>
      </c>
      <c r="J32" s="357">
        <f>H32*(INDEX('Ex post LI &amp; Eligibility Stats'!$A:$N,MATCH($A32,'Ex post LI &amp; Eligibility Stats'!$A:$A,0),MATCH('Program MW '!I$29,'Ex post LI &amp; Eligibility Stats'!$A$8:$N$8,0))/1000)</f>
        <v>0</v>
      </c>
      <c r="K32" s="126">
        <v>0</v>
      </c>
      <c r="L32" s="357">
        <f>K32*(INDEX('Ex ante LI &amp; Eligibility Stats'!$A:$M,MATCH('Program MW '!$A32,'Ex ante LI &amp; Eligibility Stats'!$A:$A,0),MATCH('Program MW '!L$29,'Ex ante LI &amp; Eligibility Stats'!$A$8:$M$8,0))/1000)</f>
        <v>0</v>
      </c>
      <c r="M32" s="357">
        <f>K32*(INDEX('Ex post LI &amp; Eligibility Stats'!$A:$N,MATCH($A32,'Ex post LI &amp; Eligibility Stats'!$A:$A,0),MATCH('Program MW '!L$29,'Ex post LI &amp; Eligibility Stats'!$A$8:$N$8,0))/1000)</f>
        <v>0</v>
      </c>
      <c r="N32" s="124">
        <v>0</v>
      </c>
      <c r="O32" s="357">
        <f>N32*(INDEX('Ex ante LI &amp; Eligibility Stats'!$A:$M,MATCH('Program MW '!$A32,'Ex ante LI &amp; Eligibility Stats'!$A:$A,0),MATCH('Program MW '!O$29,'Ex ante LI &amp; Eligibility Stats'!$A$8:$M$8,0))/1000)</f>
        <v>0</v>
      </c>
      <c r="P32" s="357">
        <f>N32*(INDEX('Ex post LI &amp; Eligibility Stats'!$A:$N,MATCH($A32,'Ex post LI &amp; Eligibility Stats'!$A:$A,0),MATCH('Program MW '!O$29,'Ex post LI &amp; Eligibility Stats'!$A$8:$N$8,0))/1000)</f>
        <v>0</v>
      </c>
      <c r="Q32" s="124">
        <v>0</v>
      </c>
      <c r="R32" s="357">
        <f>Q32*(INDEX('Ex ante LI &amp; Eligibility Stats'!$A:$M,MATCH('Program MW '!$A32,'Ex ante LI &amp; Eligibility Stats'!$A:$A,0),MATCH('Program MW '!R$29,'Ex ante LI &amp; Eligibility Stats'!$A$8:$M$8,0))/1000)</f>
        <v>0</v>
      </c>
      <c r="S32" s="357">
        <f>Q32*(INDEX('Ex post LI &amp; Eligibility Stats'!$A:$N,MATCH($A32,'Ex post LI &amp; Eligibility Stats'!$A:$A,0),MATCH('Program MW '!R$29,'Ex post LI &amp; Eligibility Stats'!$A$8:$N$8,0))/1000)</f>
        <v>0</v>
      </c>
      <c r="T32" s="4">
        <v>5276</v>
      </c>
    </row>
    <row r="33" spans="1:26" ht="13.5" thickBot="1">
      <c r="A33" s="188" t="s">
        <v>52</v>
      </c>
      <c r="B33" s="156">
        <f t="shared" ref="B33:K33" si="7">SUM(B32:B32)</f>
        <v>4</v>
      </c>
      <c r="C33" s="272">
        <f t="shared" si="7"/>
        <v>0.71939520263671874</v>
      </c>
      <c r="D33" s="273">
        <f t="shared" si="7"/>
        <v>2.2938640136718749</v>
      </c>
      <c r="E33" s="125">
        <f t="shared" si="7"/>
        <v>4</v>
      </c>
      <c r="F33" s="272">
        <f t="shared" ref="F33:G33" si="8">SUM(F32:F32)</f>
        <v>0.71393469238281249</v>
      </c>
      <c r="G33" s="273">
        <f t="shared" si="8"/>
        <v>2.2938640136718749</v>
      </c>
      <c r="H33" s="125">
        <f t="shared" si="7"/>
        <v>0</v>
      </c>
      <c r="I33" s="272">
        <f t="shared" si="7"/>
        <v>0</v>
      </c>
      <c r="J33" s="273">
        <f t="shared" si="7"/>
        <v>0</v>
      </c>
      <c r="K33" s="125">
        <f t="shared" si="7"/>
        <v>0</v>
      </c>
      <c r="L33" s="272">
        <f t="shared" ref="L33:M33" si="9">SUM(L32:L32)</f>
        <v>0</v>
      </c>
      <c r="M33" s="273">
        <f t="shared" si="9"/>
        <v>0</v>
      </c>
      <c r="N33" s="125">
        <f t="shared" ref="N33:Q33" si="10">SUM(N32:N32)</f>
        <v>0</v>
      </c>
      <c r="O33" s="272">
        <f t="shared" ref="O33:P33" si="11">SUM(O32:O32)</f>
        <v>0</v>
      </c>
      <c r="P33" s="273">
        <f t="shared" si="11"/>
        <v>0</v>
      </c>
      <c r="Q33" s="125">
        <f t="shared" si="10"/>
        <v>0</v>
      </c>
      <c r="R33" s="272">
        <f t="shared" ref="R33:S33" si="12">SUM(R32:R32)</f>
        <v>0</v>
      </c>
      <c r="S33" s="273">
        <f t="shared" si="12"/>
        <v>0</v>
      </c>
      <c r="T33" s="5"/>
    </row>
    <row r="34" spans="1:26" ht="13.5" thickTop="1">
      <c r="A34" s="163" t="s">
        <v>53</v>
      </c>
      <c r="B34" s="193"/>
      <c r="C34" s="192"/>
      <c r="D34" s="191"/>
      <c r="E34" s="193"/>
      <c r="F34" s="192"/>
      <c r="G34" s="191"/>
      <c r="H34" s="193"/>
      <c r="I34" s="192"/>
      <c r="J34" s="191"/>
      <c r="K34" s="193"/>
      <c r="L34" s="192"/>
      <c r="M34" s="191"/>
      <c r="N34" s="193"/>
      <c r="O34" s="192"/>
      <c r="P34" s="191"/>
      <c r="Q34" s="193"/>
      <c r="R34" s="192"/>
      <c r="S34" s="191"/>
      <c r="T34" s="187"/>
    </row>
    <row r="35" spans="1:26">
      <c r="A35" s="42" t="s">
        <v>11</v>
      </c>
      <c r="B35" s="159">
        <v>14095</v>
      </c>
      <c r="C35" s="357">
        <f>B35*(INDEX('Ex ante LI &amp; Eligibility Stats'!$A:$M,MATCH('Program MW '!$A35,'Ex ante LI &amp; Eligibility Stats'!$A:$A,0),MATCH('Program MW '!C$29,'Ex ante LI &amp; Eligibility Stats'!$A$8:$M$8,0))/1000)</f>
        <v>3.8359866684999999</v>
      </c>
      <c r="D35" s="356">
        <f>B35*(INDEX('Ex post LI &amp; Eligibility Stats'!$A:$N,MATCH($A35,'Ex post LI &amp; Eligibility Stats'!$A:$A,0),MATCH('Program MW '!C$29,'Ex post LI &amp; Eligibility Stats'!$A$8:$N$8,0))/1000)</f>
        <v>10.289349999999999</v>
      </c>
      <c r="E35" s="159">
        <v>14837</v>
      </c>
      <c r="F35" s="357">
        <f>E35*(INDEX('Ex ante LI &amp; Eligibility Stats'!$A:$M,MATCH('Program MW '!$A35,'Ex ante LI &amp; Eligibility Stats'!$A:$A,0),MATCH('Program MW '!F$29,'Ex ante LI &amp; Eligibility Stats'!$A$8:$M$8,0))/1000)</f>
        <v>2.2824810526999997</v>
      </c>
      <c r="G35" s="356">
        <f>E35*(INDEX('Ex post LI &amp; Eligibility Stats'!$A:$N,MATCH($A35,'Ex post LI &amp; Eligibility Stats'!$A:$A,0),MATCH('Program MW '!F$29,'Ex post LI &amp; Eligibility Stats'!$A$8:$N$8,0))/1000)</f>
        <v>10.831009999999999</v>
      </c>
      <c r="H35" s="159">
        <v>0</v>
      </c>
      <c r="I35" s="357">
        <f>H35*(INDEX('Ex ante LI &amp; Eligibility Stats'!$A:$M,MATCH('Program MW '!$A35,'Ex ante LI &amp; Eligibility Stats'!$A:$A,0),MATCH('Program MW '!I$29,'Ex ante LI &amp; Eligibility Stats'!$A$8:$M$8,0))/1000)</f>
        <v>0</v>
      </c>
      <c r="J35" s="356">
        <f>H35*(INDEX('Ex post LI &amp; Eligibility Stats'!$A:$N,MATCH($A35,'Ex post LI &amp; Eligibility Stats'!$A:$A,0),MATCH('Program MW '!I$29,'Ex post LI &amp; Eligibility Stats'!$A$8:$N$8,0))/1000)</f>
        <v>0</v>
      </c>
      <c r="K35" s="159">
        <v>0</v>
      </c>
      <c r="L35" s="357">
        <f>K35*(INDEX('Ex ante LI &amp; Eligibility Stats'!$A:$M,MATCH('Program MW '!$A35,'Ex ante LI &amp; Eligibility Stats'!$A:$A,0),MATCH('Program MW '!L$29,'Ex ante LI &amp; Eligibility Stats'!$A$8:$M$8,0))/1000)</f>
        <v>0</v>
      </c>
      <c r="M35" s="356">
        <f>K35*(INDEX('Ex post LI &amp; Eligibility Stats'!$A:$N,MATCH($A35,'Ex post LI &amp; Eligibility Stats'!$A:$A,0),MATCH('Program MW '!L$29,'Ex post LI &amp; Eligibility Stats'!$A$8:$N$8,0))/1000)</f>
        <v>0</v>
      </c>
      <c r="N35" s="159">
        <v>0</v>
      </c>
      <c r="O35" s="357">
        <f>N35*(INDEX('Ex ante LI &amp; Eligibility Stats'!$A:$M,MATCH('Program MW '!$A35,'Ex ante LI &amp; Eligibility Stats'!$A:$A,0),MATCH('Program MW '!O$29,'Ex ante LI &amp; Eligibility Stats'!$A$8:$M$8,0))/1000)</f>
        <v>0</v>
      </c>
      <c r="P35" s="356">
        <f>N35*(INDEX('Ex post LI &amp; Eligibility Stats'!$A:$N,MATCH($A35,'Ex post LI &amp; Eligibility Stats'!$A:$A,0),MATCH('Program MW '!O$29,'Ex post LI &amp; Eligibility Stats'!$A$8:$N$8,0))/1000)</f>
        <v>0</v>
      </c>
      <c r="Q35" s="159">
        <v>0</v>
      </c>
      <c r="R35" s="357">
        <f>Q35*(INDEX('Ex ante LI &amp; Eligibility Stats'!$A:$M,MATCH('Program MW '!$A35,'Ex ante LI &amp; Eligibility Stats'!$A:$A,0),MATCH('Program MW '!R$29,'Ex ante LI &amp; Eligibility Stats'!$A$8:$M$8,0))/1000)</f>
        <v>0</v>
      </c>
      <c r="S35" s="356">
        <f>Q35*(INDEX('Ex post LI &amp; Eligibility Stats'!$A:$N,MATCH($A35,'Ex post LI &amp; Eligibility Stats'!$A:$A,0),MATCH('Program MW '!R$29,'Ex post LI &amp; Eligibility Stats'!$A$8:$N$8,0))/1000)</f>
        <v>0</v>
      </c>
      <c r="T35" s="7">
        <v>138123</v>
      </c>
    </row>
    <row r="36" spans="1:26" ht="13.5">
      <c r="A36" s="209" t="s">
        <v>54</v>
      </c>
      <c r="B36" s="210">
        <v>0</v>
      </c>
      <c r="C36" s="357">
        <v>0</v>
      </c>
      <c r="D36" s="358">
        <v>0</v>
      </c>
      <c r="E36" s="210">
        <v>0</v>
      </c>
      <c r="F36" s="357">
        <v>0</v>
      </c>
      <c r="G36" s="358">
        <v>0</v>
      </c>
      <c r="H36" s="210">
        <v>0</v>
      </c>
      <c r="I36" s="357">
        <v>0</v>
      </c>
      <c r="J36" s="358">
        <v>0</v>
      </c>
      <c r="K36" s="210">
        <v>0</v>
      </c>
      <c r="L36" s="357">
        <v>0</v>
      </c>
      <c r="M36" s="358">
        <v>0</v>
      </c>
      <c r="N36" s="210">
        <v>0</v>
      </c>
      <c r="O36" s="357">
        <v>0</v>
      </c>
      <c r="P36" s="358">
        <v>0</v>
      </c>
      <c r="Q36" s="210">
        <v>0</v>
      </c>
      <c r="R36" s="357">
        <v>0</v>
      </c>
      <c r="S36" s="358">
        <v>0</v>
      </c>
      <c r="T36" s="4"/>
    </row>
    <row r="37" spans="1:26" ht="14.25">
      <c r="A37" s="164" t="s">
        <v>55</v>
      </c>
      <c r="B37" s="160">
        <v>2</v>
      </c>
      <c r="C37" s="357">
        <f>B37*(INDEX('Ex ante LI &amp; Eligibility Stats'!$A:$M,MATCH('Program MW '!$A37,'Ex ante LI &amp; Eligibility Stats'!$A:$A,0),MATCH('Program MW '!C$29,'Ex ante LI &amp; Eligibility Stats'!$A$8:$M$8,0))/1000)</f>
        <v>2.632E-2</v>
      </c>
      <c r="D37" s="358">
        <f>B37*(INDEX('Ex post LI &amp; Eligibility Stats'!$A:$N,MATCH($A37,'Ex post LI &amp; Eligibility Stats'!$A:$A,0),MATCH('Program MW '!C$29,'Ex post LI &amp; Eligibility Stats'!$A$8:$N$8,0))/1000)</f>
        <v>2.632E-2</v>
      </c>
      <c r="E37" s="160">
        <v>2</v>
      </c>
      <c r="F37" s="357">
        <f>E37*(INDEX('Ex ante LI &amp; Eligibility Stats'!$A:$M,MATCH('Program MW '!$A37,'Ex ante LI &amp; Eligibility Stats'!$A:$A,0),MATCH('Program MW '!F$29,'Ex ante LI &amp; Eligibility Stats'!$A$8:$M$8,0))/1000)</f>
        <v>2.632E-2</v>
      </c>
      <c r="G37" s="358">
        <f>E37*(INDEX('Ex post LI &amp; Eligibility Stats'!$A:$N,MATCH($A37,'Ex post LI &amp; Eligibility Stats'!$A:$A,0),MATCH('Program MW '!F$29,'Ex post LI &amp; Eligibility Stats'!$A$8:$N$8,0))/1000)</f>
        <v>2.632E-2</v>
      </c>
      <c r="H37" s="160">
        <v>0</v>
      </c>
      <c r="I37" s="357">
        <f>H37*(INDEX('Ex ante LI &amp; Eligibility Stats'!$A:$M,MATCH('Program MW '!$A37,'Ex ante LI &amp; Eligibility Stats'!$A:$A,0),MATCH('Program MW '!I$29,'Ex ante LI &amp; Eligibility Stats'!$A$8:$M$8,0))/1000)</f>
        <v>0</v>
      </c>
      <c r="J37" s="358">
        <f>H37*(INDEX('Ex post LI &amp; Eligibility Stats'!$A:$N,MATCH($A37,'Ex post LI &amp; Eligibility Stats'!$A:$A,0),MATCH('Program MW '!I$29,'Ex post LI &amp; Eligibility Stats'!$A$8:$N$8,0))/1000)</f>
        <v>0</v>
      </c>
      <c r="K37" s="160">
        <v>0</v>
      </c>
      <c r="L37" s="357">
        <f>K37*(INDEX('Ex ante LI &amp; Eligibility Stats'!$A:$M,MATCH('Program MW '!$A37,'Ex ante LI &amp; Eligibility Stats'!$A:$A,0),MATCH('Program MW '!L$29,'Ex ante LI &amp; Eligibility Stats'!$A$8:$M$8,0))/1000)</f>
        <v>0</v>
      </c>
      <c r="M37" s="358">
        <f>K37*(INDEX('Ex post LI &amp; Eligibility Stats'!$A:$N,MATCH($A37,'Ex post LI &amp; Eligibility Stats'!$A:$A,0),MATCH('Program MW '!L$29,'Ex post LI &amp; Eligibility Stats'!$A$8:$N$8,0))/1000)</f>
        <v>0</v>
      </c>
      <c r="N37" s="160">
        <v>0</v>
      </c>
      <c r="O37" s="357">
        <f>N37*(INDEX('Ex ante LI &amp; Eligibility Stats'!$A:$M,MATCH('Program MW '!$A37,'Ex ante LI &amp; Eligibility Stats'!$A:$A,0),MATCH('Program MW '!O$29,'Ex ante LI &amp; Eligibility Stats'!$A$8:$M$8,0))/1000)</f>
        <v>0</v>
      </c>
      <c r="P37" s="358">
        <f>N37*(INDEX('Ex post LI &amp; Eligibility Stats'!$A:$N,MATCH($A37,'Ex post LI &amp; Eligibility Stats'!$A:$A,0),MATCH('Program MW '!O$29,'Ex post LI &amp; Eligibility Stats'!$A$8:$N$8,0))/1000)</f>
        <v>0</v>
      </c>
      <c r="Q37" s="160">
        <v>0</v>
      </c>
      <c r="R37" s="357">
        <f>Q37*(INDEX('Ex ante LI &amp; Eligibility Stats'!$A:$M,MATCH('Program MW '!$A37,'Ex ante LI &amp; Eligibility Stats'!$A:$A,0),MATCH('Program MW '!R$29,'Ex ante LI &amp; Eligibility Stats'!$A$8:$M$8,0))/1000)</f>
        <v>0</v>
      </c>
      <c r="S37" s="358">
        <f>Q37*(INDEX('Ex post LI &amp; Eligibility Stats'!$A:$N,MATCH($A37,'Ex post LI &amp; Eligibility Stats'!$A:$A,0),MATCH('Program MW '!R$29,'Ex post LI &amp; Eligibility Stats'!$A$8:$N$8,0))/1000)</f>
        <v>0</v>
      </c>
      <c r="T37" s="4"/>
    </row>
    <row r="38" spans="1:26">
      <c r="A38" s="286" t="s">
        <v>17</v>
      </c>
      <c r="B38" s="160">
        <v>15107</v>
      </c>
      <c r="C38" s="357">
        <f>B38*(INDEX('Ex ante LI &amp; Eligibility Stats'!$A:$M,MATCH('Program MW '!$A38,'Ex ante LI &amp; Eligibility Stats'!$A:$A,0),MATCH('Program MW '!C$29,'Ex ante LI &amp; Eligibility Stats'!$A$8:$M$8,0))/1000)</f>
        <v>3.4192109391242265</v>
      </c>
      <c r="D38" s="358">
        <f>B38*(INDEX('Ex post LI &amp; Eligibility Stats'!$A:$N,MATCH($A38,'Ex post LI &amp; Eligibility Stats'!$A:$A,0),MATCH('Program MW '!C$29,'Ex post LI &amp; Eligibility Stats'!$A$8:$N$8,0))/1000)</f>
        <v>3.3235399999999999</v>
      </c>
      <c r="E38" s="160">
        <v>15310</v>
      </c>
      <c r="F38" s="357">
        <f>E38*(INDEX('Ex ante LI &amp; Eligibility Stats'!$A:$M,MATCH('Program MW '!$A38,'Ex ante LI &amp; Eligibility Stats'!$A:$A,0),MATCH('Program MW '!F$29,'Ex ante LI &amp; Eligibility Stats'!$A$8:$M$8,0))/1000)</f>
        <v>4.6823426511883728</v>
      </c>
      <c r="G38" s="358">
        <f>E38*(INDEX('Ex post LI &amp; Eligibility Stats'!$A:$N,MATCH($A38,'Ex post LI &amp; Eligibility Stats'!$A:$A,0),MATCH('Program MW '!F$29,'Ex post LI &amp; Eligibility Stats'!$A$8:$N$8,0))/1000)</f>
        <v>3.3682000000000003</v>
      </c>
      <c r="H38" s="160">
        <v>0</v>
      </c>
      <c r="I38" s="357">
        <f>H38*(INDEX('Ex ante LI &amp; Eligibility Stats'!$A:$M,MATCH('Program MW '!$A38,'Ex ante LI &amp; Eligibility Stats'!$A:$A,0),MATCH('Program MW '!I$29,'Ex ante LI &amp; Eligibility Stats'!$A$8:$M$8,0))/1000)</f>
        <v>0</v>
      </c>
      <c r="J38" s="358">
        <f>H38*(INDEX('Ex post LI &amp; Eligibility Stats'!$A:$N,MATCH($A38,'Ex post LI &amp; Eligibility Stats'!$A:$A,0),MATCH('Program MW '!I$29,'Ex post LI &amp; Eligibility Stats'!$A$8:$N$8,0))/1000)</f>
        <v>0</v>
      </c>
      <c r="K38" s="160">
        <v>0</v>
      </c>
      <c r="L38" s="357">
        <f>K38*(INDEX('Ex ante LI &amp; Eligibility Stats'!$A:$M,MATCH('Program MW '!$A38,'Ex ante LI &amp; Eligibility Stats'!$A:$A,0),MATCH('Program MW '!L$29,'Ex ante LI &amp; Eligibility Stats'!$A$8:$M$8,0))/1000)</f>
        <v>0</v>
      </c>
      <c r="M38" s="358">
        <f>K38*(INDEX('Ex post LI &amp; Eligibility Stats'!$A:$N,MATCH($A38,'Ex post LI &amp; Eligibility Stats'!$A:$A,0),MATCH('Program MW '!L$29,'Ex post LI &amp; Eligibility Stats'!$A$8:$N$8,0))/1000)</f>
        <v>0</v>
      </c>
      <c r="N38" s="160">
        <v>0</v>
      </c>
      <c r="O38" s="357">
        <f>N38*(INDEX('Ex ante LI &amp; Eligibility Stats'!$A:$M,MATCH('Program MW '!$A38,'Ex ante LI &amp; Eligibility Stats'!$A:$A,0),MATCH('Program MW '!O$29,'Ex ante LI &amp; Eligibility Stats'!$A$8:$M$8,0))/1000)</f>
        <v>0</v>
      </c>
      <c r="P38" s="358">
        <f>N38*(INDEX('Ex post LI &amp; Eligibility Stats'!$A:$N,MATCH($A38,'Ex post LI &amp; Eligibility Stats'!$A:$A,0),MATCH('Program MW '!O$29,'Ex post LI &amp; Eligibility Stats'!$A$8:$N$8,0))/1000)</f>
        <v>0</v>
      </c>
      <c r="Q38" s="160">
        <v>0</v>
      </c>
      <c r="R38" s="357">
        <f>Q38*(INDEX('Ex ante LI &amp; Eligibility Stats'!$A:$M,MATCH('Program MW '!$A38,'Ex ante LI &amp; Eligibility Stats'!$A:$A,0),MATCH('Program MW '!R$29,'Ex ante LI &amp; Eligibility Stats'!$A$8:$M$8,0))/1000)</f>
        <v>0</v>
      </c>
      <c r="S38" s="358">
        <f>Q38*(INDEX('Ex post LI &amp; Eligibility Stats'!$A:$N,MATCH($A38,'Ex post LI &amp; Eligibility Stats'!$A:$A,0),MATCH('Program MW '!R$29,'Ex post LI &amp; Eligibility Stats'!$A$8:$N$8,0))/1000)</f>
        <v>0</v>
      </c>
      <c r="T38" s="4">
        <v>663393.5</v>
      </c>
    </row>
    <row r="39" spans="1:26">
      <c r="A39" s="286" t="s">
        <v>20</v>
      </c>
      <c r="B39" s="160">
        <v>986</v>
      </c>
      <c r="C39" s="357">
        <f>B39*(INDEX('Ex ante LI &amp; Eligibility Stats'!$A:$M,MATCH('Program MW '!$A39,'Ex ante LI &amp; Eligibility Stats'!$A:$A,0),MATCH('Program MW '!C$29,'Ex ante LI &amp; Eligibility Stats'!$A$8:$M$8,0))/1000)</f>
        <v>0.43775688320398332</v>
      </c>
      <c r="D39" s="358">
        <f>B39*(INDEX('Ex post LI &amp; Eligibility Stats'!$A:$N,MATCH($A39,'Ex post LI &amp; Eligibility Stats'!$A:$A,0),MATCH('Program MW '!C$29,'Ex post LI &amp; Eligibility Stats'!$A$8:$N$8,0))/1000)</f>
        <v>0.35495999999999994</v>
      </c>
      <c r="E39" s="160">
        <v>1041</v>
      </c>
      <c r="F39" s="357">
        <f>E39*(INDEX('Ex ante LI &amp; Eligibility Stats'!$A:$M,MATCH('Program MW '!$A39,'Ex ante LI &amp; Eligibility Stats'!$A:$A,0),MATCH('Program MW '!F$29,'Ex ante LI &amp; Eligibility Stats'!$A$8:$M$8,0))/1000)</f>
        <v>0.57844579267501828</v>
      </c>
      <c r="G39" s="358">
        <f>E39*(INDEX('Ex post LI &amp; Eligibility Stats'!$A:$N,MATCH($A39,'Ex post LI &amp; Eligibility Stats'!$A:$A,0),MATCH('Program MW '!F$29,'Ex post LI &amp; Eligibility Stats'!$A$8:$N$8,0))/1000)</f>
        <v>0.37475999999999998</v>
      </c>
      <c r="H39" s="160">
        <v>0</v>
      </c>
      <c r="I39" s="357">
        <f>H39*(INDEX('Ex ante LI &amp; Eligibility Stats'!$A:$M,MATCH('Program MW '!$A39,'Ex ante LI &amp; Eligibility Stats'!$A:$A,0),MATCH('Program MW '!I$29,'Ex ante LI &amp; Eligibility Stats'!$A$8:$M$8,0))/1000)</f>
        <v>0</v>
      </c>
      <c r="J39" s="358">
        <f>H39*(INDEX('Ex post LI &amp; Eligibility Stats'!$A:$N,MATCH($A39,'Ex post LI &amp; Eligibility Stats'!$A:$A,0),MATCH('Program MW '!I$29,'Ex post LI &amp; Eligibility Stats'!$A$8:$N$8,0))/1000)</f>
        <v>0</v>
      </c>
      <c r="K39" s="160">
        <v>0</v>
      </c>
      <c r="L39" s="357">
        <f>K39*(INDEX('Ex ante LI &amp; Eligibility Stats'!$A:$M,MATCH('Program MW '!$A39,'Ex ante LI &amp; Eligibility Stats'!$A:$A,0),MATCH('Program MW '!L$29,'Ex ante LI &amp; Eligibility Stats'!$A$8:$M$8,0))/1000)</f>
        <v>0</v>
      </c>
      <c r="M39" s="358">
        <f>K39*(INDEX('Ex post LI &amp; Eligibility Stats'!$A:$N,MATCH($A39,'Ex post LI &amp; Eligibility Stats'!$A:$A,0),MATCH('Program MW '!L$29,'Ex post LI &amp; Eligibility Stats'!$A$8:$N$8,0))/1000)</f>
        <v>0</v>
      </c>
      <c r="N39" s="160">
        <v>0</v>
      </c>
      <c r="O39" s="357">
        <f>N39*(INDEX('Ex ante LI &amp; Eligibility Stats'!$A:$M,MATCH('Program MW '!$A39,'Ex ante LI &amp; Eligibility Stats'!$A:$A,0),MATCH('Program MW '!O$29,'Ex ante LI &amp; Eligibility Stats'!$A$8:$M$8,0))/1000)</f>
        <v>0</v>
      </c>
      <c r="P39" s="358">
        <f>N39*(INDEX('Ex post LI &amp; Eligibility Stats'!$A:$N,MATCH($A39,'Ex post LI &amp; Eligibility Stats'!$A:$A,0),MATCH('Program MW '!O$29,'Ex post LI &amp; Eligibility Stats'!$A$8:$N$8,0))/1000)</f>
        <v>0</v>
      </c>
      <c r="Q39" s="160">
        <v>0</v>
      </c>
      <c r="R39" s="357">
        <f>Q39*(INDEX('Ex ante LI &amp; Eligibility Stats'!$A:$M,MATCH('Program MW '!$A39,'Ex ante LI &amp; Eligibility Stats'!$A:$A,0),MATCH('Program MW '!R$29,'Ex ante LI &amp; Eligibility Stats'!$A$8:$M$8,0))/1000)</f>
        <v>0</v>
      </c>
      <c r="S39" s="358">
        <f>Q39*(INDEX('Ex post LI &amp; Eligibility Stats'!$A:$N,MATCH($A39,'Ex post LI &amp; Eligibility Stats'!$A:$A,0),MATCH('Program MW '!R$29,'Ex post LI &amp; Eligibility Stats'!$A$8:$N$8,0))/1000)</f>
        <v>0</v>
      </c>
      <c r="T39" s="4"/>
    </row>
    <row r="40" spans="1:26">
      <c r="A40" s="286" t="s">
        <v>21</v>
      </c>
      <c r="B40" s="421">
        <v>9456</v>
      </c>
      <c r="C40" s="357">
        <f>B40*(INDEX('Ex ante LI &amp; Eligibility Stats'!$A:$M,MATCH('Program MW '!$A40,'Ex ante LI &amp; Eligibility Stats'!$A:$A,0),MATCH('Program MW '!C$29,'Ex ante LI &amp; Eligibility Stats'!$A$8:$M$8,0))/1000)</f>
        <v>1.4435983487999999</v>
      </c>
      <c r="D40" s="358">
        <f>B40*(INDEX('Ex post LI &amp; Eligibility Stats'!$A:$N,MATCH($A40,'Ex post LI &amp; Eligibility Stats'!$A:$A,0),MATCH('Program MW '!C$29,'Ex post LI &amp; Eligibility Stats'!$A$8:$N$8,0))/1000)</f>
        <v>1.04016</v>
      </c>
      <c r="E40" s="421">
        <v>9356</v>
      </c>
      <c r="F40" s="357">
        <f>E40*(INDEX('Ex ante LI &amp; Eligibility Stats'!$A:$M,MATCH('Program MW '!$A40,'Ex ante LI &amp; Eligibility Stats'!$A:$A,0),MATCH('Program MW '!F$29,'Ex ante LI &amp; Eligibility Stats'!$A$8:$M$8,0))/1000)</f>
        <v>2.1663836712000002</v>
      </c>
      <c r="G40" s="358">
        <f>E40*(INDEX('Ex post LI &amp; Eligibility Stats'!$A:$N,MATCH($A40,'Ex post LI &amp; Eligibility Stats'!$A:$A,0),MATCH('Program MW '!F$29,'Ex post LI &amp; Eligibility Stats'!$A$8:$N$8,0))/1000)</f>
        <v>1.0291600000000001</v>
      </c>
      <c r="H40" s="421">
        <v>0</v>
      </c>
      <c r="I40" s="357">
        <f>H40*(INDEX('Ex ante LI &amp; Eligibility Stats'!$A:$M,MATCH('Program MW '!$A40,'Ex ante LI &amp; Eligibility Stats'!$A:$A,0),MATCH('Program MW '!I$29,'Ex ante LI &amp; Eligibility Stats'!$A$8:$M$8,0))/1000)</f>
        <v>0</v>
      </c>
      <c r="J40" s="358">
        <f>H40*(INDEX('Ex post LI &amp; Eligibility Stats'!$A:$N,MATCH($A40,'Ex post LI &amp; Eligibility Stats'!$A:$A,0),MATCH('Program MW '!I$29,'Ex post LI &amp; Eligibility Stats'!$A$8:$N$8,0))/1000)</f>
        <v>0</v>
      </c>
      <c r="K40" s="421">
        <v>0</v>
      </c>
      <c r="L40" s="357">
        <f>K40*(INDEX('Ex ante LI &amp; Eligibility Stats'!$A:$M,MATCH('Program MW '!$A40,'Ex ante LI &amp; Eligibility Stats'!$A:$A,0),MATCH('Program MW '!L$29,'Ex ante LI &amp; Eligibility Stats'!$A$8:$M$8,0))/1000)</f>
        <v>0</v>
      </c>
      <c r="M40" s="358">
        <f>K40*(INDEX('Ex post LI &amp; Eligibility Stats'!$A:$N,MATCH($A40,'Ex post LI &amp; Eligibility Stats'!$A:$A,0),MATCH('Program MW '!L$29,'Ex post LI &amp; Eligibility Stats'!$A$8:$N$8,0))/1000)</f>
        <v>0</v>
      </c>
      <c r="N40" s="421">
        <v>0</v>
      </c>
      <c r="O40" s="357">
        <f>N40*(INDEX('Ex ante LI &amp; Eligibility Stats'!$A:$M,MATCH('Program MW '!$A40,'Ex ante LI &amp; Eligibility Stats'!$A:$A,0),MATCH('Program MW '!O$29,'Ex ante LI &amp; Eligibility Stats'!$A$8:$M$8,0))/1000)</f>
        <v>0</v>
      </c>
      <c r="P40" s="358">
        <f>N40*(INDEX('Ex post LI &amp; Eligibility Stats'!$A:$N,MATCH($A40,'Ex post LI &amp; Eligibility Stats'!$A:$A,0),MATCH('Program MW '!O$29,'Ex post LI &amp; Eligibility Stats'!$A$8:$N$8,0))/1000)</f>
        <v>0</v>
      </c>
      <c r="Q40" s="421">
        <v>0</v>
      </c>
      <c r="R40" s="357">
        <f>Q40*(INDEX('Ex ante LI &amp; Eligibility Stats'!$A:$M,MATCH('Program MW '!$A40,'Ex ante LI &amp; Eligibility Stats'!$A:$A,0),MATCH('Program MW '!R$29,'Ex ante LI &amp; Eligibility Stats'!$A$8:$M$8,0))/1000)</f>
        <v>0</v>
      </c>
      <c r="S40" s="358">
        <f>Q40*(INDEX('Ex post LI &amp; Eligibility Stats'!$A:$N,MATCH($A40,'Ex post LI &amp; Eligibility Stats'!$A:$A,0),MATCH('Program MW '!R$29,'Ex post LI &amp; Eligibility Stats'!$A$8:$N$8,0))/1000)</f>
        <v>0</v>
      </c>
      <c r="T40" s="4">
        <v>157189</v>
      </c>
    </row>
    <row r="41" spans="1:26">
      <c r="A41" s="286" t="s">
        <v>23</v>
      </c>
      <c r="B41" s="421">
        <v>3217</v>
      </c>
      <c r="C41" s="357">
        <f>B41*(INDEX('Ex ante LI &amp; Eligibility Stats'!$A:$M,MATCH('Program MW '!$A41,'Ex ante LI &amp; Eligibility Stats'!$A:$A,0),MATCH('Program MW '!C$29,'Ex ante LI &amp; Eligibility Stats'!$A$8:$M$8,0))/1000)</f>
        <v>0.39307236200000006</v>
      </c>
      <c r="D41" s="358">
        <f>B41*(INDEX('Ex post LI &amp; Eligibility Stats'!$A:$N,MATCH($A41,'Ex post LI &amp; Eligibility Stats'!$A:$A,0),MATCH('Program MW '!C$29,'Ex post LI &amp; Eligibility Stats'!$A$8:$N$8,0))/1000)</f>
        <v>0.28952999999999995</v>
      </c>
      <c r="E41" s="421">
        <v>3198</v>
      </c>
      <c r="F41" s="357">
        <f>E41*(INDEX('Ex ante LI &amp; Eligibility Stats'!$A:$M,MATCH('Program MW '!$A41,'Ex ante LI &amp; Eligibility Stats'!$A:$A,0),MATCH('Program MW '!F$29,'Ex ante LI &amp; Eligibility Stats'!$A$8:$M$8,0))/1000)</f>
        <v>0.47751928380000003</v>
      </c>
      <c r="G41" s="358">
        <f>E41*(INDEX('Ex post LI &amp; Eligibility Stats'!$A:$N,MATCH($A41,'Ex post LI &amp; Eligibility Stats'!$A:$A,0),MATCH('Program MW '!F$29,'Ex post LI &amp; Eligibility Stats'!$A$8:$N$8,0))/1000)</f>
        <v>0.28781999999999996</v>
      </c>
      <c r="H41" s="421">
        <v>0</v>
      </c>
      <c r="I41" s="357">
        <f>H41*(INDEX('Ex ante LI &amp; Eligibility Stats'!$A:$M,MATCH('Program MW '!$A41,'Ex ante LI &amp; Eligibility Stats'!$A:$A,0),MATCH('Program MW '!I$29,'Ex ante LI &amp; Eligibility Stats'!$A$8:$M$8,0))/1000)</f>
        <v>0</v>
      </c>
      <c r="J41" s="358">
        <f>H41*(INDEX('Ex post LI &amp; Eligibility Stats'!$A:$N,MATCH($A41,'Ex post LI &amp; Eligibility Stats'!$A:$A,0),MATCH('Program MW '!I$29,'Ex post LI &amp; Eligibility Stats'!$A$8:$N$8,0))/1000)</f>
        <v>0</v>
      </c>
      <c r="K41" s="421">
        <v>0</v>
      </c>
      <c r="L41" s="357">
        <f>K41*(INDEX('Ex ante LI &amp; Eligibility Stats'!$A:$M,MATCH('Program MW '!$A41,'Ex ante LI &amp; Eligibility Stats'!$A:$A,0),MATCH('Program MW '!L$29,'Ex ante LI &amp; Eligibility Stats'!$A$8:$M$8,0))/1000)</f>
        <v>0</v>
      </c>
      <c r="M41" s="358">
        <f>K41*(INDEX('Ex post LI &amp; Eligibility Stats'!$A:$N,MATCH($A41,'Ex post LI &amp; Eligibility Stats'!$A:$A,0),MATCH('Program MW '!L$29,'Ex post LI &amp; Eligibility Stats'!$A$8:$N$8,0))/1000)</f>
        <v>0</v>
      </c>
      <c r="N41" s="421">
        <v>0</v>
      </c>
      <c r="O41" s="357">
        <f>N41*(INDEX('Ex ante LI &amp; Eligibility Stats'!$A:$M,MATCH('Program MW '!$A41,'Ex ante LI &amp; Eligibility Stats'!$A:$A,0),MATCH('Program MW '!O$29,'Ex ante LI &amp; Eligibility Stats'!$A$8:$M$8,0))/1000)</f>
        <v>0</v>
      </c>
      <c r="P41" s="358">
        <f>N41*(INDEX('Ex post LI &amp; Eligibility Stats'!$A:$N,MATCH($A41,'Ex post LI &amp; Eligibility Stats'!$A:$A,0),MATCH('Program MW '!O$29,'Ex post LI &amp; Eligibility Stats'!$A$8:$N$8,0))/1000)</f>
        <v>0</v>
      </c>
      <c r="Q41" s="421">
        <v>0</v>
      </c>
      <c r="R41" s="357">
        <f>Q41*(INDEX('Ex ante LI &amp; Eligibility Stats'!$A:$M,MATCH('Program MW '!$A41,'Ex ante LI &amp; Eligibility Stats'!$A:$A,0),MATCH('Program MW '!R$29,'Ex ante LI &amp; Eligibility Stats'!$A$8:$M$8,0))/1000)</f>
        <v>0</v>
      </c>
      <c r="S41" s="358">
        <f>Q41*(INDEX('Ex post LI &amp; Eligibility Stats'!$A:$N,MATCH($A41,'Ex post LI &amp; Eligibility Stats'!$A:$A,0),MATCH('Program MW '!R$29,'Ex post LI &amp; Eligibility Stats'!$A$8:$N$8,0))/1000)</f>
        <v>0</v>
      </c>
      <c r="T41" s="4">
        <v>157189</v>
      </c>
    </row>
    <row r="42" spans="1:26">
      <c r="A42" s="85" t="s">
        <v>24</v>
      </c>
      <c r="B42" s="160">
        <v>24</v>
      </c>
      <c r="C42" s="357">
        <f>B42*(INDEX('Ex ante LI &amp; Eligibility Stats'!$A:$M,MATCH('Program MW '!$A42,'Ex ante LI &amp; Eligibility Stats'!$A:$A,0),MATCH('Program MW '!C$29,'Ex ante LI &amp; Eligibility Stats'!$A$8:$M$8,0))/1000)</f>
        <v>0.44888562719141323</v>
      </c>
      <c r="D42" s="358">
        <f>B42*(INDEX('Ex post LI &amp; Eligibility Stats'!$A:$N,MATCH($A42,'Ex post LI &amp; Eligibility Stats'!$A:$A,0),MATCH('Program MW '!C$29,'Ex post LI &amp; Eligibility Stats'!$A$8:$N$8,0))/1000)</f>
        <v>0.63119999999999998</v>
      </c>
      <c r="E42" s="160">
        <v>26</v>
      </c>
      <c r="F42" s="357">
        <f>E42*(INDEX('Ex ante LI &amp; Eligibility Stats'!$A:$M,MATCH('Program MW '!$A42,'Ex ante LI &amp; Eligibility Stats'!$A:$A,0),MATCH('Program MW '!F$29,'Ex ante LI &amp; Eligibility Stats'!$A$8:$M$8,0))/1000)</f>
        <v>0.48629276279069766</v>
      </c>
      <c r="G42" s="358">
        <f>E42*(INDEX('Ex post LI &amp; Eligibility Stats'!$A:$N,MATCH($A42,'Ex post LI &amp; Eligibility Stats'!$A:$A,0),MATCH('Program MW '!F$29,'Ex post LI &amp; Eligibility Stats'!$A$8:$N$8,0))/1000)</f>
        <v>0.68379999999999996</v>
      </c>
      <c r="H42" s="160">
        <v>0</v>
      </c>
      <c r="I42" s="357">
        <f>H42*(INDEX('Ex ante LI &amp; Eligibility Stats'!$A:$M,MATCH('Program MW '!$A42,'Ex ante LI &amp; Eligibility Stats'!$A:$A,0),MATCH('Program MW '!I$29,'Ex ante LI &amp; Eligibility Stats'!$A$8:$M$8,0))/1000)</f>
        <v>0</v>
      </c>
      <c r="J42" s="358">
        <f>H42*(INDEX('Ex post LI &amp; Eligibility Stats'!$A:$N,MATCH($A42,'Ex post LI &amp; Eligibility Stats'!$A:$A,0),MATCH('Program MW '!I$29,'Ex post LI &amp; Eligibility Stats'!$A$8:$N$8,0))/1000)</f>
        <v>0</v>
      </c>
      <c r="K42" s="160">
        <v>0</v>
      </c>
      <c r="L42" s="357">
        <f>K42*(INDEX('Ex ante LI &amp; Eligibility Stats'!$A:$M,MATCH('Program MW '!$A42,'Ex ante LI &amp; Eligibility Stats'!$A:$A,0),MATCH('Program MW '!L$29,'Ex ante LI &amp; Eligibility Stats'!$A$8:$M$8,0))/1000)</f>
        <v>0</v>
      </c>
      <c r="M42" s="358">
        <f>K42*(INDEX('Ex post LI &amp; Eligibility Stats'!$A:$N,MATCH($A42,'Ex post LI &amp; Eligibility Stats'!$A:$A,0),MATCH('Program MW '!L$29,'Ex post LI &amp; Eligibility Stats'!$A$8:$N$8,0))/1000)</f>
        <v>0</v>
      </c>
      <c r="N42" s="160">
        <v>0</v>
      </c>
      <c r="O42" s="357">
        <f>N42*(INDEX('Ex ante LI &amp; Eligibility Stats'!$A:$M,MATCH('Program MW '!$A42,'Ex ante LI &amp; Eligibility Stats'!$A:$A,0),MATCH('Program MW '!O$29,'Ex ante LI &amp; Eligibility Stats'!$A$8:$M$8,0))/1000)</f>
        <v>0</v>
      </c>
      <c r="P42" s="358">
        <f>N42*(INDEX('Ex post LI &amp; Eligibility Stats'!$A:$N,MATCH($A42,'Ex post LI &amp; Eligibility Stats'!$A:$A,0),MATCH('Program MW '!O$29,'Ex post LI &amp; Eligibility Stats'!$A$8:$N$8,0))/1000)</f>
        <v>0</v>
      </c>
      <c r="Q42" s="160">
        <v>0</v>
      </c>
      <c r="R42" s="357">
        <f>Q42*(INDEX('Ex ante LI &amp; Eligibility Stats'!$A:$M,MATCH('Program MW '!$A42,'Ex ante LI &amp; Eligibility Stats'!$A:$A,0),MATCH('Program MW '!R$29,'Ex ante LI &amp; Eligibility Stats'!$A$8:$M$8,0))/1000)</f>
        <v>0</v>
      </c>
      <c r="S42" s="358">
        <f>Q42*(INDEX('Ex post LI &amp; Eligibility Stats'!$A:$N,MATCH($A42,'Ex post LI &amp; Eligibility Stats'!$A:$A,0),MATCH('Program MW '!R$29,'Ex post LI &amp; Eligibility Stats'!$A$8:$N$8,0))/1000)</f>
        <v>0</v>
      </c>
      <c r="T42" s="4">
        <v>18875</v>
      </c>
      <c r="V42" s="460" t="s">
        <v>57</v>
      </c>
    </row>
    <row r="43" spans="1:26">
      <c r="A43" s="85" t="s">
        <v>25</v>
      </c>
      <c r="B43" s="160">
        <v>175</v>
      </c>
      <c r="C43" s="357">
        <f>B43*(INDEX('Ex ante LI &amp; Eligibility Stats'!$A:$M,MATCH('Program MW '!$A43,'Ex ante LI &amp; Eligibility Stats'!$A:$A,0),MATCH('Program MW '!C$29,'Ex ante LI &amp; Eligibility Stats'!$A$8:$M$8,0))/1000)</f>
        <v>2.9780528580351651</v>
      </c>
      <c r="D43" s="358">
        <f>B43*(INDEX('Ex post LI &amp; Eligibility Stats'!$A:$N,MATCH($A43,'Ex post LI &amp; Eligibility Stats'!$A:$A,0),MATCH('Program MW '!C$29,'Ex post LI &amp; Eligibility Stats'!$A$8:$N$8,0))/1000)</f>
        <v>3.4300000000000006</v>
      </c>
      <c r="E43" s="160">
        <v>175</v>
      </c>
      <c r="F43" s="357">
        <f>E43*(INDEX('Ex ante LI &amp; Eligibility Stats'!$A:$M,MATCH('Program MW '!$A43,'Ex ante LI &amp; Eligibility Stats'!$A:$A,0),MATCH('Program MW '!F$29,'Ex ante LI &amp; Eligibility Stats'!$A$8:$M$8,0))/1000)</f>
        <v>2.9780528580351651</v>
      </c>
      <c r="G43" s="358">
        <f>E43*(INDEX('Ex post LI &amp; Eligibility Stats'!$A:$N,MATCH($A43,'Ex post LI &amp; Eligibility Stats'!$A:$A,0),MATCH('Program MW '!F$29,'Ex post LI &amp; Eligibility Stats'!$A$8:$N$8,0))/1000)</f>
        <v>3.4300000000000006</v>
      </c>
      <c r="H43" s="160">
        <v>0</v>
      </c>
      <c r="I43" s="357">
        <f>H43*(INDEX('Ex ante LI &amp; Eligibility Stats'!$A:$M,MATCH('Program MW '!$A43,'Ex ante LI &amp; Eligibility Stats'!$A:$A,0),MATCH('Program MW '!I$29,'Ex ante LI &amp; Eligibility Stats'!$A$8:$M$8,0))/1000)</f>
        <v>0</v>
      </c>
      <c r="J43" s="358">
        <f>H43*(INDEX('Ex post LI &amp; Eligibility Stats'!$A:$N,MATCH($A43,'Ex post LI &amp; Eligibility Stats'!$A:$A,0),MATCH('Program MW '!I$29,'Ex post LI &amp; Eligibility Stats'!$A$8:$N$8,0))/1000)</f>
        <v>0</v>
      </c>
      <c r="K43" s="160">
        <v>0</v>
      </c>
      <c r="L43" s="357">
        <f>K43*(INDEX('Ex ante LI &amp; Eligibility Stats'!$A:$M,MATCH('Program MW '!$A43,'Ex ante LI &amp; Eligibility Stats'!$A:$A,0),MATCH('Program MW '!L$29,'Ex ante LI &amp; Eligibility Stats'!$A$8:$M$8,0))/1000)</f>
        <v>0</v>
      </c>
      <c r="M43" s="358">
        <f>K43*(INDEX('Ex post LI &amp; Eligibility Stats'!$A:$N,MATCH($A43,'Ex post LI &amp; Eligibility Stats'!$A:$A,0),MATCH('Program MW '!L$29,'Ex post LI &amp; Eligibility Stats'!$A$8:$N$8,0))/1000)</f>
        <v>0</v>
      </c>
      <c r="N43" s="160">
        <v>0</v>
      </c>
      <c r="O43" s="357">
        <f>N43*(INDEX('Ex ante LI &amp; Eligibility Stats'!$A:$M,MATCH('Program MW '!$A43,'Ex ante LI &amp; Eligibility Stats'!$A:$A,0),MATCH('Program MW '!O$29,'Ex ante LI &amp; Eligibility Stats'!$A$8:$M$8,0))/1000)</f>
        <v>0</v>
      </c>
      <c r="P43" s="358">
        <f>N43*(INDEX('Ex post LI &amp; Eligibility Stats'!$A:$N,MATCH($A43,'Ex post LI &amp; Eligibility Stats'!$A:$A,0),MATCH('Program MW '!O$29,'Ex post LI &amp; Eligibility Stats'!$A$8:$N$8,0))/1000)</f>
        <v>0</v>
      </c>
      <c r="Q43" s="160">
        <v>0</v>
      </c>
      <c r="R43" s="357">
        <f>Q43*(INDEX('Ex ante LI &amp; Eligibility Stats'!$A:$M,MATCH('Program MW '!$A43,'Ex ante LI &amp; Eligibility Stats'!$A:$A,0),MATCH('Program MW '!R$29,'Ex ante LI &amp; Eligibility Stats'!$A$8:$M$8,0))/1000)</f>
        <v>0</v>
      </c>
      <c r="S43" s="358">
        <f>Q43*(INDEX('Ex post LI &amp; Eligibility Stats'!$A:$N,MATCH($A43,'Ex post LI &amp; Eligibility Stats'!$A:$A,0),MATCH('Program MW '!R$29,'Ex post LI &amp; Eligibility Stats'!$A$8:$N$8,0))/1000)</f>
        <v>0</v>
      </c>
      <c r="T43" s="4">
        <v>18875</v>
      </c>
    </row>
    <row r="44" spans="1:26" s="153" customFormat="1">
      <c r="A44" s="286" t="s">
        <v>56</v>
      </c>
      <c r="B44" s="210">
        <v>91</v>
      </c>
      <c r="C44" s="357">
        <f>B44*(INDEX('Ex ante LI &amp; Eligibility Stats'!$A:$M,MATCH('Program MW '!$A44,'Ex ante LI &amp; Eligibility Stats'!$A:$A,0),MATCH('Program MW '!C$29,'Ex ante LI &amp; Eligibility Stats'!$A$8:$M$8,0))/1000)</f>
        <v>6.0863229632377629E-3</v>
      </c>
      <c r="D44" s="358">
        <f>B44*(INDEX('Ex post LI &amp; Eligibility Stats'!$A:$N,MATCH($A44,'Ex post LI &amp; Eligibility Stats'!$A:$A,0),MATCH('Program MW '!C$29,'Ex post LI &amp; Eligibility Stats'!$A$8:$N$8,0))/1000)</f>
        <v>0.15742999999999999</v>
      </c>
      <c r="E44" s="210">
        <v>92</v>
      </c>
      <c r="F44" s="357">
        <f>E44*(INDEX('Ex ante LI &amp; Eligibility Stats'!$A:$M,MATCH('Program MW '!$A44,'Ex ante LI &amp; Eligibility Stats'!$A:$A,0),MATCH('Program MW '!F$29,'Ex ante LI &amp; Eligibility Stats'!$A$8:$M$8,0))/1000)</f>
        <v>7.1594032645225531E-3</v>
      </c>
      <c r="G44" s="358">
        <f>E44*(INDEX('Ex post LI &amp; Eligibility Stats'!$A:$N,MATCH($A44,'Ex post LI &amp; Eligibility Stats'!$A:$A,0),MATCH('Program MW '!F$29,'Ex post LI &amp; Eligibility Stats'!$A$8:$N$8,0))/1000)</f>
        <v>0.15916</v>
      </c>
      <c r="H44" s="210">
        <v>0</v>
      </c>
      <c r="I44" s="357">
        <f>H44*(INDEX('Ex ante LI &amp; Eligibility Stats'!$A:$M,MATCH('Program MW '!$A44,'Ex ante LI &amp; Eligibility Stats'!$A:$A,0),MATCH('Program MW '!I$29,'Ex ante LI &amp; Eligibility Stats'!$A$8:$M$8,0))/1000)</f>
        <v>0</v>
      </c>
      <c r="J44" s="358">
        <f>H44*(INDEX('Ex post LI &amp; Eligibility Stats'!$A:$N,MATCH($A44,'Ex post LI &amp; Eligibility Stats'!$A:$A,0),MATCH('Program MW '!I$29,'Ex post LI &amp; Eligibility Stats'!$A$8:$N$8,0))/1000)</f>
        <v>0</v>
      </c>
      <c r="K44" s="210">
        <v>0</v>
      </c>
      <c r="L44" s="357">
        <f>K44*(INDEX('Ex ante LI &amp; Eligibility Stats'!$A:$M,MATCH('Program MW '!$A44,'Ex ante LI &amp; Eligibility Stats'!$A:$A,0),MATCH('Program MW '!L$29,'Ex ante LI &amp; Eligibility Stats'!$A$8:$M$8,0))/1000)</f>
        <v>0</v>
      </c>
      <c r="M44" s="358">
        <f>K44*(INDEX('Ex post LI &amp; Eligibility Stats'!$A:$N,MATCH($A44,'Ex post LI &amp; Eligibility Stats'!$A:$A,0),MATCH('Program MW '!L$29,'Ex post LI &amp; Eligibility Stats'!$A$8:$N$8,0))/1000)</f>
        <v>0</v>
      </c>
      <c r="N44" s="210">
        <v>0</v>
      </c>
      <c r="O44" s="357">
        <f>N44*(INDEX('Ex ante LI &amp; Eligibility Stats'!$A:$M,MATCH('Program MW '!$A44,'Ex ante LI &amp; Eligibility Stats'!$A:$A,0),MATCH('Program MW '!O$29,'Ex ante LI &amp; Eligibility Stats'!$A$8:$M$8,0))/1000)</f>
        <v>0</v>
      </c>
      <c r="P44" s="358">
        <f>N44*(INDEX('Ex post LI &amp; Eligibility Stats'!$A:$N,MATCH($A44,'Ex post LI &amp; Eligibility Stats'!$A:$A,0),MATCH('Program MW '!O$29,'Ex post LI &amp; Eligibility Stats'!$A$8:$N$8,0))/1000)</f>
        <v>0</v>
      </c>
      <c r="Q44" s="210">
        <v>0</v>
      </c>
      <c r="R44" s="357">
        <f>Q44*(INDEX('Ex ante LI &amp; Eligibility Stats'!$A:$M,MATCH('Program MW '!$A44,'Ex ante LI &amp; Eligibility Stats'!$A:$A,0),MATCH('Program MW '!R$29,'Ex ante LI &amp; Eligibility Stats'!$A$8:$M$8,0))/1000)</f>
        <v>0</v>
      </c>
      <c r="S44" s="358">
        <f>Q44*(INDEX('Ex post LI &amp; Eligibility Stats'!$A:$N,MATCH($A44,'Ex post LI &amp; Eligibility Stats'!$A:$A,0),MATCH('Program MW '!R$29,'Ex post LI &amp; Eligibility Stats'!$A$8:$N$8,0))/1000)</f>
        <v>0</v>
      </c>
      <c r="T44" s="471"/>
    </row>
    <row r="45" spans="1:26">
      <c r="A45" s="85" t="s">
        <v>26</v>
      </c>
      <c r="B45" s="160">
        <v>112437</v>
      </c>
      <c r="C45" s="357">
        <f>B45*(INDEX('Ex ante LI &amp; Eligibility Stats'!$A:$M,MATCH('Program MW '!$A45,'Ex ante LI &amp; Eligibility Stats'!$A:$A,0),MATCH('Program MW '!C$29,'Ex ante LI &amp; Eligibility Stats'!$A$8:$M$8,0))/1000)</f>
        <v>1.9057328109797089</v>
      </c>
      <c r="D45" s="358">
        <f>B45*(INDEX('Ex post LI &amp; Eligibility Stats'!$A:$N,MATCH($A45,'Ex post LI &amp; Eligibility Stats'!$A:$A,0),MATCH('Program MW '!C$29,'Ex post LI &amp; Eligibility Stats'!$A$8:$N$8,0))/1000)</f>
        <v>3.3731099999999996</v>
      </c>
      <c r="E45" s="160">
        <v>112368</v>
      </c>
      <c r="F45" s="357">
        <f>E45*(INDEX('Ex ante LI &amp; Eligibility Stats'!$A:$M,MATCH('Program MW '!$A45,'Ex ante LI &amp; Eligibility Stats'!$A:$A,0),MATCH('Program MW '!F$29,'Ex ante LI &amp; Eligibility Stats'!$A$8:$M$8,0))/1000)</f>
        <v>1.9959247588813303</v>
      </c>
      <c r="G45" s="358">
        <f>E45*(INDEX('Ex post LI &amp; Eligibility Stats'!$A:$N,MATCH($A45,'Ex post LI &amp; Eligibility Stats'!$A:$A,0),MATCH('Program MW '!F$29,'Ex post LI &amp; Eligibility Stats'!$A$8:$N$8,0))/1000)</f>
        <v>3.3710399999999998</v>
      </c>
      <c r="H45" s="160">
        <v>0</v>
      </c>
      <c r="I45" s="357">
        <f>H45*(INDEX('Ex ante LI &amp; Eligibility Stats'!$A:$M,MATCH('Program MW '!$A45,'Ex ante LI &amp; Eligibility Stats'!$A:$A,0),MATCH('Program MW '!I$29,'Ex ante LI &amp; Eligibility Stats'!$A$8:$M$8,0))/1000)</f>
        <v>0</v>
      </c>
      <c r="J45" s="358">
        <f>H45*(INDEX('Ex post LI &amp; Eligibility Stats'!$A:$N,MATCH($A45,'Ex post LI &amp; Eligibility Stats'!$A:$A,0),MATCH('Program MW '!I$29,'Ex post LI &amp; Eligibility Stats'!$A$8:$N$8,0))/1000)</f>
        <v>0</v>
      </c>
      <c r="K45" s="160">
        <v>0</v>
      </c>
      <c r="L45" s="357">
        <f>K45*(INDEX('Ex ante LI &amp; Eligibility Stats'!$A:$M,MATCH('Program MW '!$A45,'Ex ante LI &amp; Eligibility Stats'!$A:$A,0),MATCH('Program MW '!L$29,'Ex ante LI &amp; Eligibility Stats'!$A$8:$M$8,0))/1000)</f>
        <v>0</v>
      </c>
      <c r="M45" s="358">
        <f>K45*(INDEX('Ex post LI &amp; Eligibility Stats'!$A:$N,MATCH($A45,'Ex post LI &amp; Eligibility Stats'!$A:$A,0),MATCH('Program MW '!L$29,'Ex post LI &amp; Eligibility Stats'!$A$8:$N$8,0))/1000)</f>
        <v>0</v>
      </c>
      <c r="N45" s="160">
        <v>0</v>
      </c>
      <c r="O45" s="357">
        <f>N45*(INDEX('Ex ante LI &amp; Eligibility Stats'!$A:$M,MATCH('Program MW '!$A45,'Ex ante LI &amp; Eligibility Stats'!$A:$A,0),MATCH('Program MW '!O$29,'Ex ante LI &amp; Eligibility Stats'!$A$8:$M$8,0))/1000)</f>
        <v>0</v>
      </c>
      <c r="P45" s="358">
        <f>N45*(INDEX('Ex post LI &amp; Eligibility Stats'!$A:$N,MATCH($A45,'Ex post LI &amp; Eligibility Stats'!$A:$A,0),MATCH('Program MW '!O$29,'Ex post LI &amp; Eligibility Stats'!$A$8:$N$8,0))/1000)</f>
        <v>0</v>
      </c>
      <c r="Q45" s="160">
        <v>0</v>
      </c>
      <c r="R45" s="357">
        <f>Q45*(INDEX('Ex ante LI &amp; Eligibility Stats'!$A:$M,MATCH('Program MW '!$A45,'Ex ante LI &amp; Eligibility Stats'!$A:$A,0),MATCH('Program MW '!R$29,'Ex ante LI &amp; Eligibility Stats'!$A$8:$M$8,0))/1000)</f>
        <v>0</v>
      </c>
      <c r="S45" s="358">
        <f>Q45*(INDEX('Ex post LI &amp; Eligibility Stats'!$A:$N,MATCH($A45,'Ex post LI &amp; Eligibility Stats'!$A:$A,0),MATCH('Program MW '!R$29,'Ex post LI &amp; Eligibility Stats'!$A$8:$N$8,0))/1000)</f>
        <v>0</v>
      </c>
      <c r="T45" s="4"/>
    </row>
    <row r="46" spans="1:26">
      <c r="A46" s="42" t="s">
        <v>27</v>
      </c>
      <c r="B46" s="284">
        <v>16192</v>
      </c>
      <c r="C46" s="357">
        <f>B46*(INDEX('Ex ante LI &amp; Eligibility Stats'!$A:$M,MATCH('Program MW '!$A46,'Ex ante LI &amp; Eligibility Stats'!$A:$A,0),MATCH('Program MW '!C$29,'Ex ante LI &amp; Eligibility Stats'!$A$8:$M$8,0))/1000)</f>
        <v>3.1104105689525605</v>
      </c>
      <c r="D46" s="358">
        <f>B46*(INDEX('Ex post LI &amp; Eligibility Stats'!$A:$N,MATCH($A46,'Ex post LI &amp; Eligibility Stats'!$A:$A,0),MATCH('Program MW '!C$29,'Ex post LI &amp; Eligibility Stats'!$A$8:$N$8,0))/1000)</f>
        <v>3.5622400000000001</v>
      </c>
      <c r="E46" s="284">
        <v>16302</v>
      </c>
      <c r="F46" s="357">
        <f>E46*(INDEX('Ex ante LI &amp; Eligibility Stats'!$A:$M,MATCH('Program MW '!$A46,'Ex ante LI &amp; Eligibility Stats'!$A:$A,0),MATCH('Program MW '!F$29,'Ex ante LI &amp; Eligibility Stats'!$A$8:$M$8,0))/1000)</f>
        <v>3.330096468642354</v>
      </c>
      <c r="G46" s="358">
        <f>E46*(INDEX('Ex post LI &amp; Eligibility Stats'!$A:$N,MATCH($A46,'Ex post LI &amp; Eligibility Stats'!$A:$A,0),MATCH('Program MW '!F$29,'Ex post LI &amp; Eligibility Stats'!$A$8:$N$8,0))/1000)</f>
        <v>3.5864400000000001</v>
      </c>
      <c r="H46" s="284">
        <v>0</v>
      </c>
      <c r="I46" s="357">
        <f>H46*(INDEX('Ex ante LI &amp; Eligibility Stats'!$A:$M,MATCH('Program MW '!$A46,'Ex ante LI &amp; Eligibility Stats'!$A:$A,0),MATCH('Program MW '!I$29,'Ex ante LI &amp; Eligibility Stats'!$A$8:$M$8,0))/1000)</f>
        <v>0</v>
      </c>
      <c r="J46" s="358">
        <f>H46*(INDEX('Ex post LI &amp; Eligibility Stats'!$A:$N,MATCH($A46,'Ex post LI &amp; Eligibility Stats'!$A:$A,0),MATCH('Program MW '!I$29,'Ex post LI &amp; Eligibility Stats'!$A$8:$N$8,0))/1000)</f>
        <v>0</v>
      </c>
      <c r="K46" s="284">
        <v>0</v>
      </c>
      <c r="L46" s="357">
        <f>K46*(INDEX('Ex ante LI &amp; Eligibility Stats'!$A:$M,MATCH('Program MW '!$A46,'Ex ante LI &amp; Eligibility Stats'!$A:$A,0),MATCH('Program MW '!L$29,'Ex ante LI &amp; Eligibility Stats'!$A$8:$M$8,0))/1000)</f>
        <v>0</v>
      </c>
      <c r="M46" s="358">
        <f>K46*(INDEX('Ex post LI &amp; Eligibility Stats'!$A:$N,MATCH($A46,'Ex post LI &amp; Eligibility Stats'!$A:$A,0),MATCH('Program MW '!L$29,'Ex post LI &amp; Eligibility Stats'!$A$8:$N$8,0))/1000)</f>
        <v>0</v>
      </c>
      <c r="N46" s="284">
        <v>0</v>
      </c>
      <c r="O46" s="357">
        <f>N46*(INDEX('Ex ante LI &amp; Eligibility Stats'!$A:$M,MATCH('Program MW '!$A46,'Ex ante LI &amp; Eligibility Stats'!$A:$A,0),MATCH('Program MW '!O$29,'Ex ante LI &amp; Eligibility Stats'!$A$8:$M$8,0))/1000)</f>
        <v>0</v>
      </c>
      <c r="P46" s="358">
        <f>N46*(INDEX('Ex post LI &amp; Eligibility Stats'!$A:$N,MATCH($A46,'Ex post LI &amp; Eligibility Stats'!$A:$A,0),MATCH('Program MW '!O$29,'Ex post LI &amp; Eligibility Stats'!$A$8:$N$8,0))/1000)</f>
        <v>0</v>
      </c>
      <c r="Q46" s="284">
        <v>0</v>
      </c>
      <c r="R46" s="357">
        <f>Q46*(INDEX('Ex ante LI &amp; Eligibility Stats'!$A:$M,MATCH('Program MW '!$A46,'Ex ante LI &amp; Eligibility Stats'!$A:$A,0),MATCH('Program MW '!R$29,'Ex ante LI &amp; Eligibility Stats'!$A$8:$M$8,0))/1000)</f>
        <v>0</v>
      </c>
      <c r="S46" s="358">
        <f>Q46*(INDEX('Ex post LI &amp; Eligibility Stats'!$A:$N,MATCH($A46,'Ex post LI &amp; Eligibility Stats'!$A:$A,0),MATCH('Program MW '!R$29,'Ex post LI &amp; Eligibility Stats'!$A$8:$N$8,0))/1000)</f>
        <v>0</v>
      </c>
      <c r="T46" s="4"/>
    </row>
    <row r="47" spans="1:26" ht="13.5" thickBot="1">
      <c r="A47" s="188" t="s">
        <v>58</v>
      </c>
      <c r="B47" s="3">
        <f t="shared" ref="B47:Q47" si="13">SUM(B35:B46)</f>
        <v>171782</v>
      </c>
      <c r="C47" s="268">
        <f t="shared" ref="C47:D47" si="14">SUM(C35:C46)</f>
        <v>18.005113389750292</v>
      </c>
      <c r="D47" s="242">
        <f t="shared" si="14"/>
        <v>26.47784</v>
      </c>
      <c r="E47" s="3">
        <f t="shared" si="13"/>
        <v>172707</v>
      </c>
      <c r="F47" s="268">
        <f t="shared" ref="F47:G47" si="15">SUM(F35:F46)</f>
        <v>19.011018703177456</v>
      </c>
      <c r="G47" s="242">
        <f t="shared" si="15"/>
        <v>27.14771</v>
      </c>
      <c r="H47" s="3">
        <f t="shared" si="13"/>
        <v>0</v>
      </c>
      <c r="I47" s="268">
        <f t="shared" ref="I47:J47" si="16">SUM(I35:I46)</f>
        <v>0</v>
      </c>
      <c r="J47" s="242">
        <f t="shared" si="16"/>
        <v>0</v>
      </c>
      <c r="K47" s="3">
        <f t="shared" si="13"/>
        <v>0</v>
      </c>
      <c r="L47" s="268">
        <f t="shared" ref="L47:M47" si="17">SUM(L35:L46)</f>
        <v>0</v>
      </c>
      <c r="M47" s="242">
        <f t="shared" si="17"/>
        <v>0</v>
      </c>
      <c r="N47" s="3">
        <f t="shared" si="13"/>
        <v>0</v>
      </c>
      <c r="O47" s="268">
        <f t="shared" ref="O47:P47" si="18">SUM(O35:O46)</f>
        <v>0</v>
      </c>
      <c r="P47" s="242">
        <f t="shared" si="18"/>
        <v>0</v>
      </c>
      <c r="Q47" s="3">
        <f t="shared" si="13"/>
        <v>0</v>
      </c>
      <c r="R47" s="268">
        <f t="shared" ref="R47:S47" si="19">SUM(R35:R46)</f>
        <v>0</v>
      </c>
      <c r="S47" s="242">
        <f t="shared" si="19"/>
        <v>0</v>
      </c>
      <c r="T47" s="9"/>
    </row>
    <row r="48" spans="1:26" ht="14.25" thickTop="1" thickBot="1">
      <c r="A48" s="195" t="s">
        <v>59</v>
      </c>
      <c r="B48" s="2">
        <f t="shared" ref="B48:Q48" si="20">+B33+B47</f>
        <v>171786</v>
      </c>
      <c r="C48" s="269">
        <f t="shared" si="20"/>
        <v>18.724508592387011</v>
      </c>
      <c r="D48" s="241">
        <f t="shared" si="20"/>
        <v>28.771704013671876</v>
      </c>
      <c r="E48" s="2">
        <f t="shared" si="20"/>
        <v>172711</v>
      </c>
      <c r="F48" s="269">
        <f t="shared" ref="F48:G48" si="21">+F33+F47</f>
        <v>19.72495339556027</v>
      </c>
      <c r="G48" s="241">
        <f t="shared" si="21"/>
        <v>29.441574013671875</v>
      </c>
      <c r="H48" s="2">
        <f t="shared" si="20"/>
        <v>0</v>
      </c>
      <c r="I48" s="269">
        <f t="shared" si="20"/>
        <v>0</v>
      </c>
      <c r="J48" s="241">
        <f t="shared" si="20"/>
        <v>0</v>
      </c>
      <c r="K48" s="2">
        <f t="shared" si="20"/>
        <v>0</v>
      </c>
      <c r="L48" s="269">
        <f t="shared" ref="L48:M48" si="22">+L33+L47</f>
        <v>0</v>
      </c>
      <c r="M48" s="241">
        <f t="shared" si="22"/>
        <v>0</v>
      </c>
      <c r="N48" s="2">
        <f t="shared" si="20"/>
        <v>0</v>
      </c>
      <c r="O48" s="269">
        <f t="shared" si="20"/>
        <v>0</v>
      </c>
      <c r="P48" s="241">
        <f t="shared" si="20"/>
        <v>0</v>
      </c>
      <c r="Q48" s="2">
        <f t="shared" si="20"/>
        <v>0</v>
      </c>
      <c r="R48" s="269">
        <f t="shared" ref="R48:S48" si="23">+R33+R47</f>
        <v>0</v>
      </c>
      <c r="S48" s="241">
        <f t="shared" si="23"/>
        <v>0</v>
      </c>
      <c r="T48" s="12"/>
      <c r="U48" s="6"/>
      <c r="V48" s="12"/>
      <c r="W48" s="12"/>
      <c r="X48" s="6"/>
      <c r="Y48" s="12"/>
      <c r="Z48" s="12"/>
    </row>
    <row r="49" spans="1:26" ht="13.5" thickTop="1">
      <c r="A49" s="147"/>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5">
      <c r="A50" s="259" t="s">
        <v>66</v>
      </c>
      <c r="B50" s="196"/>
      <c r="C50" s="196"/>
      <c r="D50" s="196"/>
      <c r="E50" s="433"/>
      <c r="F50" s="197"/>
      <c r="G50" s="196"/>
      <c r="H50" s="197"/>
      <c r="I50" s="196"/>
      <c r="J50" s="196"/>
      <c r="K50" s="196"/>
      <c r="L50" s="196"/>
      <c r="M50" s="196"/>
      <c r="N50" s="196"/>
      <c r="O50" s="196"/>
      <c r="P50" s="198"/>
      <c r="Q50" s="196"/>
      <c r="R50" s="196"/>
      <c r="S50" s="196"/>
      <c r="T50" s="13"/>
      <c r="U50" s="13"/>
      <c r="V50" s="13"/>
      <c r="W50" s="13"/>
      <c r="X50" s="13"/>
      <c r="Y50" s="13"/>
      <c r="Z50" s="13"/>
    </row>
    <row r="51" spans="1:26" ht="33.75" customHeight="1">
      <c r="A51" s="673" t="s">
        <v>67</v>
      </c>
      <c r="B51" s="673"/>
      <c r="C51" s="673"/>
      <c r="D51" s="673"/>
      <c r="E51" s="673"/>
      <c r="F51" s="673"/>
      <c r="G51" s="673"/>
      <c r="H51" s="673"/>
      <c r="I51" s="673"/>
      <c r="J51" s="673"/>
      <c r="K51" s="673"/>
      <c r="L51" s="673"/>
      <c r="M51" s="673"/>
      <c r="N51" s="673"/>
      <c r="O51" s="673"/>
    </row>
    <row r="52" spans="1:26" ht="47.25" customHeight="1">
      <c r="A52" s="673" t="s">
        <v>68</v>
      </c>
      <c r="B52" s="673"/>
      <c r="C52" s="673"/>
      <c r="D52" s="673"/>
      <c r="E52" s="673"/>
      <c r="F52" s="673"/>
      <c r="G52" s="673"/>
      <c r="H52" s="673"/>
      <c r="I52" s="673"/>
      <c r="J52" s="673"/>
      <c r="K52" s="673"/>
      <c r="L52" s="673"/>
      <c r="M52" s="673"/>
      <c r="N52" s="673"/>
      <c r="O52" s="673"/>
      <c r="P52" s="13"/>
      <c r="Q52" s="13"/>
      <c r="R52" s="13"/>
      <c r="S52" s="13"/>
      <c r="T52" s="147"/>
      <c r="U52" s="147"/>
      <c r="V52" s="147"/>
      <c r="W52" s="147"/>
      <c r="X52" s="147"/>
      <c r="Y52" s="147"/>
      <c r="Z52" s="147"/>
    </row>
    <row r="53" spans="1:26" s="153" customFormat="1" ht="18" customHeight="1">
      <c r="A53" s="673" t="s">
        <v>69</v>
      </c>
      <c r="B53" s="673"/>
      <c r="C53" s="673"/>
      <c r="D53" s="673"/>
      <c r="E53" s="673"/>
      <c r="F53" s="673"/>
      <c r="G53" s="673"/>
      <c r="H53" s="673"/>
      <c r="I53" s="673"/>
      <c r="J53" s="673"/>
      <c r="K53" s="673"/>
      <c r="L53" s="673"/>
      <c r="M53" s="673"/>
      <c r="N53" s="673"/>
      <c r="O53" s="673"/>
      <c r="P53" s="422"/>
      <c r="Q53" s="422"/>
      <c r="R53" s="422"/>
      <c r="S53" s="422"/>
      <c r="T53" s="207"/>
      <c r="U53" s="207"/>
      <c r="V53" s="207"/>
      <c r="W53" s="207"/>
      <c r="X53" s="207"/>
      <c r="Y53" s="207"/>
      <c r="Z53" s="207"/>
    </row>
    <row r="54" spans="1:26" s="153" customFormat="1" ht="18" customHeight="1">
      <c r="A54" s="673" t="s">
        <v>70</v>
      </c>
      <c r="B54" s="673"/>
      <c r="C54" s="673"/>
      <c r="D54" s="673"/>
      <c r="E54" s="673"/>
      <c r="F54" s="673"/>
      <c r="G54" s="673"/>
      <c r="H54" s="673"/>
      <c r="I54" s="673"/>
      <c r="J54" s="673"/>
      <c r="K54" s="673"/>
      <c r="L54" s="673"/>
      <c r="M54" s="673"/>
      <c r="N54" s="673"/>
      <c r="O54" s="673"/>
      <c r="P54" s="422"/>
      <c r="Q54" s="422"/>
      <c r="R54" s="422"/>
      <c r="S54" s="422"/>
      <c r="T54" s="207"/>
      <c r="U54" s="207"/>
      <c r="V54" s="207"/>
      <c r="W54" s="207"/>
      <c r="X54" s="207"/>
      <c r="Y54" s="207"/>
      <c r="Z54" s="207"/>
    </row>
    <row r="55" spans="1:26" ht="14.25">
      <c r="A55" s="503" t="s">
        <v>71</v>
      </c>
      <c r="B55" s="203"/>
      <c r="C55" s="203"/>
      <c r="D55" s="203"/>
      <c r="E55" s="203"/>
      <c r="F55" s="203"/>
      <c r="G55" s="203"/>
      <c r="H55" s="203"/>
      <c r="I55" s="203"/>
      <c r="J55" s="203"/>
      <c r="K55" s="203"/>
      <c r="L55" s="203"/>
      <c r="M55" s="203"/>
      <c r="N55" s="203"/>
      <c r="O55" s="485"/>
    </row>
    <row r="56" spans="1:26" ht="14.25">
      <c r="A56" s="503" t="s">
        <v>72</v>
      </c>
      <c r="B56" s="203"/>
      <c r="C56" s="203"/>
      <c r="D56" s="203"/>
      <c r="E56" s="203"/>
      <c r="F56" s="203"/>
      <c r="G56" s="203"/>
      <c r="H56" s="203"/>
      <c r="I56" s="203"/>
      <c r="J56" s="203"/>
      <c r="K56" s="203"/>
      <c r="L56" s="203"/>
      <c r="M56" s="203"/>
      <c r="N56" s="203"/>
      <c r="O56" s="485"/>
    </row>
    <row r="57" spans="1:26" ht="15">
      <c r="A57" s="243" t="s">
        <v>73</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19" zoomScaleNormal="100" zoomScaleSheetLayoutView="100" workbookViewId="0">
      <selection activeCell="F36" sqref="F36"/>
    </sheetView>
  </sheetViews>
  <sheetFormatPr defaultColWidth="9.28515625" defaultRowHeight="12.75"/>
  <cols>
    <col min="1" max="1" width="33.5703125" customWidth="1"/>
    <col min="2" max="2" width="9" customWidth="1"/>
    <col min="3" max="3" width="10.42578125" customWidth="1"/>
    <col min="4" max="4" width="9" customWidth="1"/>
    <col min="5" max="9" width="10.5703125" customWidth="1"/>
    <col min="10" max="10" width="11.5703125" customWidth="1"/>
    <col min="11" max="11" width="10.5703125" customWidth="1"/>
    <col min="12" max="12" width="10.7109375" customWidth="1"/>
    <col min="13" max="13" width="10.28515625" customWidth="1"/>
    <col min="14" max="14" width="18.7109375" style="154" customWidth="1"/>
    <col min="15" max="15" width="149.5703125" customWidth="1"/>
  </cols>
  <sheetData>
    <row r="2" spans="1:16">
      <c r="A2" s="38"/>
      <c r="H2" s="149" t="s">
        <v>39</v>
      </c>
      <c r="N2" s="381"/>
    </row>
    <row r="3" spans="1:16">
      <c r="E3" s="382"/>
      <c r="H3" s="152" t="str">
        <f>'Program MW '!H3</f>
        <v>August 2020</v>
      </c>
      <c r="N3" s="381"/>
    </row>
    <row r="4" spans="1:16">
      <c r="E4" s="151"/>
      <c r="F4" s="151"/>
      <c r="G4" s="151"/>
      <c r="I4" s="151"/>
      <c r="N4" s="381"/>
    </row>
    <row r="5" spans="1:16">
      <c r="B5" s="151"/>
      <c r="C5" s="151"/>
      <c r="D5" s="151"/>
      <c r="F5" s="150"/>
      <c r="N5" s="381"/>
      <c r="O5" s="41"/>
    </row>
    <row r="6" spans="1:16">
      <c r="F6" s="150"/>
      <c r="N6" s="381"/>
    </row>
    <row r="7" spans="1:16" ht="13.5" customHeight="1">
      <c r="A7" s="674" t="s">
        <v>74</v>
      </c>
      <c r="B7" s="675"/>
      <c r="C7" s="675"/>
      <c r="D7" s="675"/>
      <c r="E7" s="675"/>
      <c r="F7" s="675"/>
      <c r="G7" s="675"/>
      <c r="H7" s="675"/>
      <c r="I7" s="675"/>
      <c r="J7" s="675"/>
      <c r="K7" s="675"/>
      <c r="L7" s="675"/>
      <c r="M7" s="675"/>
      <c r="N7" s="676"/>
      <c r="O7" s="432"/>
    </row>
    <row r="8" spans="1:16" ht="38.25" customHeight="1">
      <c r="A8" s="40" t="s">
        <v>1</v>
      </c>
      <c r="B8" s="484" t="s">
        <v>41</v>
      </c>
      <c r="C8" s="484" t="s">
        <v>42</v>
      </c>
      <c r="D8" s="484" t="s">
        <v>43</v>
      </c>
      <c r="E8" s="484" t="s">
        <v>44</v>
      </c>
      <c r="F8" s="484" t="s">
        <v>31</v>
      </c>
      <c r="G8" s="484" t="s">
        <v>45</v>
      </c>
      <c r="H8" s="484" t="s">
        <v>60</v>
      </c>
      <c r="I8" s="484" t="s">
        <v>75</v>
      </c>
      <c r="J8" s="484" t="s">
        <v>76</v>
      </c>
      <c r="K8" s="484" t="s">
        <v>62</v>
      </c>
      <c r="L8" s="484" t="s">
        <v>77</v>
      </c>
      <c r="M8" s="484" t="s">
        <v>63</v>
      </c>
      <c r="N8" s="482" t="s">
        <v>78</v>
      </c>
      <c r="O8" s="287" t="s">
        <v>79</v>
      </c>
    </row>
    <row r="9" spans="1:16" ht="75.75" customHeight="1">
      <c r="A9" s="488" t="s">
        <v>8</v>
      </c>
      <c r="B9" s="489">
        <v>162.31</v>
      </c>
      <c r="C9" s="489">
        <v>108.46</v>
      </c>
      <c r="D9" s="489">
        <v>180.98283386230469</v>
      </c>
      <c r="E9" s="489">
        <v>161.99583435058594</v>
      </c>
      <c r="F9" s="489">
        <v>155.74085998535156</v>
      </c>
      <c r="G9" s="489">
        <v>192.36225891113281</v>
      </c>
      <c r="H9" s="489">
        <v>179.84880065917969</v>
      </c>
      <c r="I9" s="489">
        <v>178.48367309570313</v>
      </c>
      <c r="J9" s="489">
        <v>201.29342651367188</v>
      </c>
      <c r="K9" s="489">
        <v>165.90431213378906</v>
      </c>
      <c r="L9" s="489">
        <v>192.29792785644531</v>
      </c>
      <c r="M9" s="489">
        <v>120.63761901855469</v>
      </c>
      <c r="N9" s="490">
        <v>5432</v>
      </c>
      <c r="O9" s="489">
        <v>192.29792785644531</v>
      </c>
      <c r="P9" s="489">
        <v>120.63761901855469</v>
      </c>
    </row>
    <row r="10" spans="1:16" ht="75.75" customHeight="1">
      <c r="A10" s="491" t="s">
        <v>11</v>
      </c>
      <c r="B10" s="492">
        <v>0</v>
      </c>
      <c r="C10" s="492">
        <v>0</v>
      </c>
      <c r="D10" s="489">
        <v>0.14194809999999999</v>
      </c>
      <c r="E10" s="489">
        <v>0.13864950000000001</v>
      </c>
      <c r="F10" s="489">
        <v>0.13789029999999999</v>
      </c>
      <c r="G10" s="489">
        <v>0.13834830000000001</v>
      </c>
      <c r="H10" s="489">
        <v>0.27215230000000001</v>
      </c>
      <c r="I10" s="489">
        <v>0.1538371</v>
      </c>
      <c r="J10" s="489">
        <v>0.36014620000000003</v>
      </c>
      <c r="K10" s="489">
        <v>5.8280699999999998E-2</v>
      </c>
      <c r="L10" s="489">
        <v>0.1392467</v>
      </c>
      <c r="M10" s="489">
        <v>0.14194809999999999</v>
      </c>
      <c r="N10" s="493">
        <v>25707</v>
      </c>
      <c r="O10" s="475" t="s">
        <v>80</v>
      </c>
    </row>
    <row r="11" spans="1:16" ht="75.75" customHeight="1">
      <c r="A11" s="491" t="s">
        <v>17</v>
      </c>
      <c r="B11" s="492">
        <v>0</v>
      </c>
      <c r="C11" s="492">
        <v>0</v>
      </c>
      <c r="D11" s="489">
        <v>4.2860883695539087E-5</v>
      </c>
      <c r="E11" s="489">
        <v>8.4224827587604523E-2</v>
      </c>
      <c r="F11" s="489">
        <v>0.13438957929611206</v>
      </c>
      <c r="G11" s="489">
        <v>0.1173381507396698</v>
      </c>
      <c r="H11" s="489">
        <v>0.226332888007164</v>
      </c>
      <c r="I11" s="489">
        <v>0.30583557486534119</v>
      </c>
      <c r="J11" s="489">
        <v>0.37461391091346741</v>
      </c>
      <c r="K11" s="489">
        <v>0.2077384740114212</v>
      </c>
      <c r="L11" s="489">
        <v>2.7512801811099052E-2</v>
      </c>
      <c r="M11" s="489">
        <v>5.2312357183836866E-6</v>
      </c>
      <c r="N11" s="494">
        <v>718570</v>
      </c>
      <c r="O11" s="475" t="s">
        <v>81</v>
      </c>
    </row>
    <row r="12" spans="1:16" ht="75.75" customHeight="1">
      <c r="A12" s="491" t="s">
        <v>20</v>
      </c>
      <c r="B12" s="492">
        <v>0</v>
      </c>
      <c r="C12" s="492">
        <v>0</v>
      </c>
      <c r="D12" s="489">
        <v>1.7975203227251768E-3</v>
      </c>
      <c r="E12" s="489">
        <v>0.19116482138633728</v>
      </c>
      <c r="F12" s="489">
        <v>0.27700892090797424</v>
      </c>
      <c r="G12" s="489">
        <v>0.25767529010772705</v>
      </c>
      <c r="H12" s="489">
        <v>0.44397249817848206</v>
      </c>
      <c r="I12" s="489">
        <v>0.5556635856628418</v>
      </c>
      <c r="J12" s="489">
        <v>0.62934333086013794</v>
      </c>
      <c r="K12" s="489">
        <v>0.39233207702636719</v>
      </c>
      <c r="L12" s="489">
        <v>7.7378332614898682E-2</v>
      </c>
      <c r="M12" s="489">
        <v>1.5116055146791041E-4</v>
      </c>
      <c r="N12" s="494">
        <v>133178</v>
      </c>
      <c r="O12" s="475" t="s">
        <v>82</v>
      </c>
    </row>
    <row r="13" spans="1:16" ht="75.75" customHeight="1">
      <c r="A13" s="491" t="s">
        <v>21</v>
      </c>
      <c r="B13" s="495">
        <v>0</v>
      </c>
      <c r="C13" s="495">
        <v>0</v>
      </c>
      <c r="D13" s="489">
        <v>0</v>
      </c>
      <c r="E13" s="489">
        <v>0</v>
      </c>
      <c r="F13" s="489">
        <v>3.3419200000000003E-2</v>
      </c>
      <c r="G13" s="489">
        <v>2.9521E-3</v>
      </c>
      <c r="H13" s="489">
        <v>0.15266479999999999</v>
      </c>
      <c r="I13" s="489">
        <v>0.23155020000000001</v>
      </c>
      <c r="J13" s="489">
        <v>0.28352430000000001</v>
      </c>
      <c r="K13" s="489">
        <v>0.152222</v>
      </c>
      <c r="L13" s="489">
        <v>0</v>
      </c>
      <c r="M13" s="489">
        <v>0</v>
      </c>
      <c r="N13" s="494">
        <v>718570</v>
      </c>
      <c r="O13" s="475" t="s">
        <v>83</v>
      </c>
    </row>
    <row r="14" spans="1:16" ht="75.75" customHeight="1">
      <c r="A14" s="491" t="s">
        <v>23</v>
      </c>
      <c r="B14" s="495">
        <v>0</v>
      </c>
      <c r="C14" s="495">
        <v>0</v>
      </c>
      <c r="D14" s="489">
        <v>0</v>
      </c>
      <c r="E14" s="489">
        <v>5.43369E-2</v>
      </c>
      <c r="F14" s="489">
        <v>7.7479800000000001E-2</v>
      </c>
      <c r="G14" s="489">
        <v>5.96362E-2</v>
      </c>
      <c r="H14" s="489">
        <v>0.122186</v>
      </c>
      <c r="I14" s="489">
        <v>0.14931810000000001</v>
      </c>
      <c r="J14" s="489">
        <v>0.17929719999999999</v>
      </c>
      <c r="K14" s="489">
        <v>0.1209597</v>
      </c>
      <c r="L14" s="489">
        <v>0</v>
      </c>
      <c r="M14" s="489">
        <v>0</v>
      </c>
      <c r="N14" s="494">
        <v>133178</v>
      </c>
      <c r="O14" s="475" t="s">
        <v>84</v>
      </c>
    </row>
    <row r="15" spans="1:16" ht="75.75" customHeight="1">
      <c r="A15" s="491" t="s">
        <v>24</v>
      </c>
      <c r="B15" s="495">
        <v>0</v>
      </c>
      <c r="C15" s="495">
        <v>0</v>
      </c>
      <c r="D15" s="489">
        <v>0</v>
      </c>
      <c r="E15" s="489">
        <v>0</v>
      </c>
      <c r="F15" s="489">
        <v>18.7</v>
      </c>
      <c r="G15" s="489">
        <v>18.964878354203936</v>
      </c>
      <c r="H15" s="489">
        <v>18.703567799642219</v>
      </c>
      <c r="I15" s="489">
        <v>18.703567799642219</v>
      </c>
      <c r="J15" s="489">
        <v>18.703567799642219</v>
      </c>
      <c r="K15" s="489">
        <v>18.703567799642219</v>
      </c>
      <c r="L15" s="489">
        <v>0</v>
      </c>
      <c r="M15" s="489">
        <v>0</v>
      </c>
      <c r="N15" s="493">
        <v>15648</v>
      </c>
      <c r="O15" s="475" t="s">
        <v>85</v>
      </c>
    </row>
    <row r="16" spans="1:16" ht="75.75" customHeight="1">
      <c r="A16" s="491" t="s">
        <v>25</v>
      </c>
      <c r="B16" s="495">
        <v>0</v>
      </c>
      <c r="C16" s="495">
        <v>0</v>
      </c>
      <c r="D16" s="489">
        <v>0</v>
      </c>
      <c r="E16" s="489">
        <v>0</v>
      </c>
      <c r="F16" s="489">
        <v>17.017444903058085</v>
      </c>
      <c r="G16" s="489">
        <v>17.017444903058085</v>
      </c>
      <c r="H16" s="489">
        <v>17.017444903058085</v>
      </c>
      <c r="I16" s="489">
        <v>17.017444903058085</v>
      </c>
      <c r="J16" s="489">
        <v>17.017444903058085</v>
      </c>
      <c r="K16" s="489">
        <v>17.017444903058085</v>
      </c>
      <c r="L16" s="489">
        <v>0</v>
      </c>
      <c r="M16" s="489">
        <v>0</v>
      </c>
      <c r="N16" s="493">
        <v>972</v>
      </c>
      <c r="O16" s="475" t="s">
        <v>85</v>
      </c>
    </row>
    <row r="17" spans="1:15" ht="75.75" customHeight="1">
      <c r="A17" s="491" t="s">
        <v>27</v>
      </c>
      <c r="B17" s="492">
        <v>0.04</v>
      </c>
      <c r="C17" s="492">
        <v>0.04</v>
      </c>
      <c r="D17" s="489">
        <v>1.2769445776939392E-2</v>
      </c>
      <c r="E17" s="489">
        <v>1.2058593332767487E-2</v>
      </c>
      <c r="F17" s="489">
        <v>1.969686895608902E-2</v>
      </c>
      <c r="G17" s="489">
        <v>0.16704349219799042</v>
      </c>
      <c r="H17" s="489">
        <v>0.19209551438689232</v>
      </c>
      <c r="I17" s="489">
        <v>0.20427533239126205</v>
      </c>
      <c r="J17" s="489">
        <v>0.21263467520475388</v>
      </c>
      <c r="K17" s="489">
        <v>0.18562242016196251</v>
      </c>
      <c r="L17" s="489">
        <v>2.9788941144943237E-2</v>
      </c>
      <c r="M17" s="489">
        <v>4.4293880462646484E-2</v>
      </c>
      <c r="N17" s="493">
        <v>1278202</v>
      </c>
      <c r="O17" s="475" t="s">
        <v>86</v>
      </c>
    </row>
    <row r="18" spans="1:15" ht="160.5" customHeight="1">
      <c r="A18" s="491" t="s">
        <v>26</v>
      </c>
      <c r="B18" s="492">
        <v>0.01</v>
      </c>
      <c r="C18" s="492">
        <v>0.01</v>
      </c>
      <c r="D18" s="489">
        <v>1.1465738527476788E-2</v>
      </c>
      <c r="E18" s="489">
        <v>1.3987943530082703E-2</v>
      </c>
      <c r="F18" s="489">
        <v>1.4786232262849808E-2</v>
      </c>
      <c r="G18" s="489">
        <v>1.5152087435126305E-2</v>
      </c>
      <c r="H18" s="489">
        <v>1.6949338838458061E-2</v>
      </c>
      <c r="I18" s="489">
        <v>1.7762394621968269E-2</v>
      </c>
      <c r="J18" s="489">
        <v>1.707758940756321E-2</v>
      </c>
      <c r="K18" s="489">
        <v>1.5507201664149761E-2</v>
      </c>
      <c r="L18" s="489">
        <v>1.2745589949190617E-2</v>
      </c>
      <c r="M18" s="489">
        <v>1.1460551060736179E-2</v>
      </c>
      <c r="N18" s="493">
        <v>119606</v>
      </c>
      <c r="O18" s="475" t="s">
        <v>87</v>
      </c>
    </row>
    <row r="19" spans="1:15" ht="51">
      <c r="A19" s="491" t="s">
        <v>56</v>
      </c>
      <c r="B19" s="492">
        <v>0</v>
      </c>
      <c r="C19" s="492">
        <v>0</v>
      </c>
      <c r="D19" s="489">
        <v>7.2695836424827576E-3</v>
      </c>
      <c r="E19" s="489">
        <v>3.580629825592041E-2</v>
      </c>
      <c r="F19" s="489">
        <v>4.6173933893442154E-2</v>
      </c>
      <c r="G19" s="489">
        <v>4.6004347503185272E-2</v>
      </c>
      <c r="H19" s="489">
        <v>6.6882669925689697E-2</v>
      </c>
      <c r="I19" s="489">
        <v>7.7819600701332092E-2</v>
      </c>
      <c r="J19" s="489">
        <v>7.6827466487884521E-2</v>
      </c>
      <c r="K19" s="489">
        <v>5.6665807962417603E-2</v>
      </c>
      <c r="L19" s="489">
        <v>2.0815497264266014E-2</v>
      </c>
      <c r="M19" s="489">
        <v>7.0209093391895294E-3</v>
      </c>
      <c r="N19" s="493">
        <v>2795</v>
      </c>
      <c r="O19" s="475" t="s">
        <v>88</v>
      </c>
    </row>
    <row r="20" spans="1:15" ht="51" customHeight="1">
      <c r="A20" s="488" t="s">
        <v>55</v>
      </c>
      <c r="B20" s="492">
        <v>0</v>
      </c>
      <c r="C20" s="492">
        <v>0</v>
      </c>
      <c r="D20" s="489">
        <v>0</v>
      </c>
      <c r="E20" s="489">
        <v>0</v>
      </c>
      <c r="F20" s="489">
        <v>13.16</v>
      </c>
      <c r="G20" s="489">
        <v>13.16</v>
      </c>
      <c r="H20" s="489">
        <v>13.16</v>
      </c>
      <c r="I20" s="489">
        <v>13.16</v>
      </c>
      <c r="J20" s="489">
        <v>13.16</v>
      </c>
      <c r="K20" s="489">
        <v>13.16</v>
      </c>
      <c r="L20" s="489">
        <v>0</v>
      </c>
      <c r="M20" s="489">
        <v>0</v>
      </c>
      <c r="N20" s="499">
        <v>3</v>
      </c>
      <c r="O20" s="475" t="s">
        <v>89</v>
      </c>
    </row>
    <row r="21" spans="1:15">
      <c r="A21" s="534"/>
      <c r="B21" s="535"/>
      <c r="C21" s="535"/>
      <c r="D21" s="535"/>
      <c r="E21" s="535"/>
      <c r="F21" s="535"/>
      <c r="G21" s="535"/>
      <c r="H21" s="535"/>
      <c r="I21" s="535"/>
      <c r="J21" s="535"/>
      <c r="K21" s="535"/>
      <c r="L21" s="535"/>
      <c r="M21" s="535"/>
      <c r="N21" s="537"/>
      <c r="O21" s="481"/>
    </row>
    <row r="22" spans="1:15" ht="15">
      <c r="A22" s="260" t="s">
        <v>66</v>
      </c>
      <c r="B22" s="383"/>
      <c r="C22" s="383"/>
      <c r="D22" s="383"/>
      <c r="E22" s="383"/>
      <c r="F22" s="384"/>
      <c r="G22" s="383"/>
      <c r="H22" s="384"/>
      <c r="I22" s="383"/>
      <c r="J22" s="383"/>
      <c r="K22" s="383"/>
      <c r="L22" s="383"/>
      <c r="M22" s="383"/>
      <c r="N22" s="381"/>
      <c r="O22" s="383"/>
    </row>
    <row r="23" spans="1:15" ht="18" customHeight="1">
      <c r="A23" s="673" t="s">
        <v>90</v>
      </c>
      <c r="B23" s="673"/>
      <c r="C23" s="673"/>
      <c r="D23" s="673"/>
      <c r="E23" s="673"/>
      <c r="F23" s="673"/>
      <c r="G23" s="673"/>
      <c r="H23" s="673"/>
      <c r="I23" s="673"/>
      <c r="J23" s="673"/>
      <c r="K23" s="673"/>
      <c r="L23" s="673"/>
      <c r="M23" s="673"/>
      <c r="N23" s="673"/>
      <c r="O23" s="673"/>
    </row>
    <row r="24" spans="1:15" ht="14.25">
      <c r="A24" s="677" t="s">
        <v>91</v>
      </c>
      <c r="B24" s="678"/>
      <c r="C24" s="678"/>
      <c r="D24" s="678"/>
      <c r="E24" s="678"/>
      <c r="F24" s="678"/>
      <c r="G24" s="678"/>
      <c r="H24" s="678"/>
      <c r="I24" s="678"/>
      <c r="J24" s="678"/>
      <c r="K24" s="678"/>
      <c r="L24" s="678"/>
      <c r="M24" s="678"/>
      <c r="N24" s="678"/>
      <c r="O24" s="678"/>
    </row>
    <row r="25" spans="1:15" ht="14.25">
      <c r="A25" s="677" t="s">
        <v>92</v>
      </c>
      <c r="B25" s="678"/>
      <c r="C25" s="678"/>
      <c r="D25" s="678"/>
      <c r="E25" s="678"/>
      <c r="F25" s="678"/>
      <c r="G25" s="678"/>
      <c r="H25" s="678"/>
      <c r="I25" s="678"/>
      <c r="J25" s="678"/>
      <c r="K25" s="678"/>
      <c r="L25" s="678"/>
      <c r="M25" s="678"/>
      <c r="N25" s="678"/>
      <c r="O25" s="477"/>
    </row>
    <row r="26" spans="1:15" ht="14.25">
      <c r="A26" s="486" t="s">
        <v>93</v>
      </c>
      <c r="B26" s="477"/>
      <c r="C26" s="477"/>
      <c r="D26" s="477"/>
      <c r="E26" s="477"/>
      <c r="F26" s="477"/>
      <c r="N26"/>
    </row>
    <row r="27" spans="1:15" s="151" customFormat="1" ht="14.25">
      <c r="A27" s="487" t="s">
        <v>94</v>
      </c>
      <c r="B27" s="477"/>
      <c r="C27" s="477"/>
      <c r="D27" s="477"/>
      <c r="E27" s="477"/>
      <c r="F27" s="477"/>
      <c r="G27" s="477"/>
      <c r="H27" s="477"/>
      <c r="I27" s="477"/>
      <c r="J27" s="477"/>
      <c r="K27" s="477"/>
      <c r="L27" s="477"/>
      <c r="M27" s="477"/>
      <c r="N27" s="477"/>
      <c r="O27" s="477"/>
    </row>
    <row r="28" spans="1:15" ht="14.25">
      <c r="A28" s="679" t="s">
        <v>95</v>
      </c>
      <c r="B28" s="680"/>
      <c r="C28" s="680"/>
      <c r="D28" s="680"/>
      <c r="E28" s="680"/>
      <c r="F28" s="680"/>
      <c r="G28" s="680"/>
      <c r="H28" s="680"/>
      <c r="I28" s="680"/>
      <c r="J28" s="680"/>
      <c r="K28" s="680"/>
      <c r="L28" s="680"/>
      <c r="M28" s="680"/>
      <c r="N28" s="680"/>
      <c r="O28" s="496" t="s">
        <v>96</v>
      </c>
    </row>
    <row r="29" spans="1:15" ht="14.25">
      <c r="A29" s="588"/>
      <c r="B29" s="500"/>
      <c r="C29" s="500"/>
      <c r="D29" s="500"/>
      <c r="E29" s="500"/>
      <c r="F29" s="500"/>
      <c r="G29" s="500"/>
      <c r="H29" s="500"/>
      <c r="I29" s="500"/>
      <c r="J29" s="500"/>
      <c r="K29" s="500"/>
      <c r="L29" s="500"/>
      <c r="M29" s="500"/>
      <c r="N29" s="500"/>
      <c r="O29" s="500"/>
    </row>
    <row r="30" spans="1:15" ht="15">
      <c r="A30" s="243" t="s">
        <v>73</v>
      </c>
      <c r="N30" s="381"/>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zoomScaleNormal="100" zoomScaleSheetLayoutView="100" workbookViewId="0">
      <selection activeCell="A14" sqref="A14"/>
    </sheetView>
  </sheetViews>
  <sheetFormatPr defaultColWidth="9.28515625" defaultRowHeight="40.5" customHeight="1"/>
  <cols>
    <col min="1" max="1" width="35" customWidth="1"/>
    <col min="2" max="9" width="10.7109375" customWidth="1"/>
    <col min="10" max="10" width="11.42578125" customWidth="1"/>
    <col min="11" max="13" width="10.7109375" customWidth="1"/>
    <col min="14" max="14" width="14.28515625" style="205" bestFit="1" customWidth="1"/>
    <col min="15" max="15" width="149.5703125" customWidth="1"/>
  </cols>
  <sheetData>
    <row r="1" spans="1:16" ht="12.75">
      <c r="N1" s="385"/>
    </row>
    <row r="2" spans="1:16" ht="12.75">
      <c r="H2" s="149" t="s">
        <v>39</v>
      </c>
      <c r="N2" s="385"/>
    </row>
    <row r="3" spans="1:16" ht="12.75">
      <c r="H3" s="202" t="str">
        <f>'Program MW '!H3</f>
        <v>August 2020</v>
      </c>
      <c r="N3" s="385"/>
    </row>
    <row r="4" spans="1:16" ht="12.75">
      <c r="F4" s="151"/>
      <c r="G4" s="151"/>
      <c r="I4" s="151"/>
      <c r="N4" s="385"/>
      <c r="O4" s="41"/>
    </row>
    <row r="5" spans="1:16" ht="12.75">
      <c r="B5" s="151"/>
      <c r="C5" s="151"/>
      <c r="D5" s="151"/>
      <c r="F5" s="149"/>
      <c r="N5" s="385"/>
    </row>
    <row r="6" spans="1:16" ht="12.75">
      <c r="F6" s="149"/>
      <c r="N6" s="385"/>
    </row>
    <row r="7" spans="1:16" ht="22.5" customHeight="1">
      <c r="A7" s="681" t="s">
        <v>97</v>
      </c>
      <c r="B7" s="682"/>
      <c r="C7" s="682"/>
      <c r="D7" s="682"/>
      <c r="E7" s="682"/>
      <c r="F7" s="682"/>
      <c r="G7" s="682"/>
      <c r="H7" s="682"/>
      <c r="I7" s="682"/>
      <c r="J7" s="682"/>
      <c r="K7" s="682"/>
      <c r="L7" s="682"/>
      <c r="M7" s="682"/>
      <c r="N7" s="683"/>
      <c r="O7" s="39"/>
    </row>
    <row r="8" spans="1:16" ht="40.5" customHeight="1">
      <c r="A8" s="40" t="s">
        <v>1</v>
      </c>
      <c r="B8" s="484" t="s">
        <v>41</v>
      </c>
      <c r="C8" s="484" t="s">
        <v>42</v>
      </c>
      <c r="D8" s="484" t="s">
        <v>43</v>
      </c>
      <c r="E8" s="484" t="s">
        <v>44</v>
      </c>
      <c r="F8" s="484" t="s">
        <v>31</v>
      </c>
      <c r="G8" s="484" t="s">
        <v>45</v>
      </c>
      <c r="H8" s="484" t="s">
        <v>60</v>
      </c>
      <c r="I8" s="484" t="s">
        <v>75</v>
      </c>
      <c r="J8" s="484" t="s">
        <v>76</v>
      </c>
      <c r="K8" s="484" t="s">
        <v>62</v>
      </c>
      <c r="L8" s="484" t="s">
        <v>77</v>
      </c>
      <c r="M8" s="484" t="s">
        <v>63</v>
      </c>
      <c r="N8" s="483" t="str">
        <f>'Ex ante LI &amp; Eligibility Stats'!N8:N8</f>
        <v>Eligible Accounts as of January</v>
      </c>
      <c r="O8" s="287" t="s">
        <v>79</v>
      </c>
    </row>
    <row r="9" spans="1:16" ht="75.75" customHeight="1">
      <c r="A9" s="488" t="s">
        <v>8</v>
      </c>
      <c r="B9" s="489">
        <v>378.93</v>
      </c>
      <c r="C9" s="489">
        <v>378.93</v>
      </c>
      <c r="D9" s="489">
        <v>573.46600341796875</v>
      </c>
      <c r="E9" s="489">
        <v>573.46600341796875</v>
      </c>
      <c r="F9" s="489">
        <v>573.46600341796875</v>
      </c>
      <c r="G9" s="489">
        <v>573.46600341796875</v>
      </c>
      <c r="H9" s="489">
        <v>573.46600341796875</v>
      </c>
      <c r="I9" s="489">
        <v>573.46600341796875</v>
      </c>
      <c r="J9" s="489">
        <v>573.46600341796875</v>
      </c>
      <c r="K9" s="489">
        <v>573.46600341796875</v>
      </c>
      <c r="L9" s="489">
        <v>573.46600341796875</v>
      </c>
      <c r="M9" s="489">
        <v>573.46600341796875</v>
      </c>
      <c r="N9" s="497">
        <v>5432</v>
      </c>
      <c r="O9" s="489">
        <v>573.46600341796875</v>
      </c>
      <c r="P9" s="489">
        <v>573.46600341796875</v>
      </c>
    </row>
    <row r="10" spans="1:16" ht="75.75" customHeight="1">
      <c r="A10" s="491" t="s">
        <v>11</v>
      </c>
      <c r="B10" s="492">
        <v>0.73</v>
      </c>
      <c r="C10" s="492">
        <v>0.73</v>
      </c>
      <c r="D10" s="489">
        <v>0.73</v>
      </c>
      <c r="E10" s="489">
        <v>0.73</v>
      </c>
      <c r="F10" s="489">
        <v>0.73</v>
      </c>
      <c r="G10" s="489">
        <v>0.73</v>
      </c>
      <c r="H10" s="489">
        <v>0.73</v>
      </c>
      <c r="I10" s="489">
        <v>0.73</v>
      </c>
      <c r="J10" s="489">
        <v>0.73</v>
      </c>
      <c r="K10" s="489">
        <v>0.73</v>
      </c>
      <c r="L10" s="489">
        <v>0.73</v>
      </c>
      <c r="M10" s="489">
        <v>0.73</v>
      </c>
      <c r="N10" s="494">
        <v>25707</v>
      </c>
      <c r="O10" s="288"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91" t="s">
        <v>17</v>
      </c>
      <c r="B11" s="492">
        <v>0.16</v>
      </c>
      <c r="C11" s="492">
        <v>0.16</v>
      </c>
      <c r="D11" s="489">
        <v>0.22</v>
      </c>
      <c r="E11" s="489">
        <v>0.22</v>
      </c>
      <c r="F11" s="489">
        <v>0.22</v>
      </c>
      <c r="G11" s="489">
        <v>0.22</v>
      </c>
      <c r="H11" s="489">
        <v>0.22</v>
      </c>
      <c r="I11" s="489">
        <v>0.22</v>
      </c>
      <c r="J11" s="489">
        <v>0.22</v>
      </c>
      <c r="K11" s="489">
        <v>0.22</v>
      </c>
      <c r="L11" s="489">
        <v>0.22</v>
      </c>
      <c r="M11" s="489">
        <v>0.22</v>
      </c>
      <c r="N11" s="494">
        <v>718570</v>
      </c>
      <c r="O11" s="288"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491" t="s">
        <v>20</v>
      </c>
      <c r="B12" s="492">
        <v>0.47</v>
      </c>
      <c r="C12" s="492">
        <v>0.47</v>
      </c>
      <c r="D12" s="489">
        <v>0.36</v>
      </c>
      <c r="E12" s="489">
        <v>0.36</v>
      </c>
      <c r="F12" s="489">
        <v>0.36</v>
      </c>
      <c r="G12" s="489">
        <v>0.36</v>
      </c>
      <c r="H12" s="489">
        <v>0.36</v>
      </c>
      <c r="I12" s="489">
        <v>0.36</v>
      </c>
      <c r="J12" s="489">
        <v>0.36</v>
      </c>
      <c r="K12" s="489">
        <v>0.36</v>
      </c>
      <c r="L12" s="489">
        <v>0.36</v>
      </c>
      <c r="M12" s="489">
        <v>0.36</v>
      </c>
      <c r="N12" s="494">
        <v>133178</v>
      </c>
      <c r="O12" s="288"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91" t="s">
        <v>21</v>
      </c>
      <c r="B13" s="492">
        <v>0.25</v>
      </c>
      <c r="C13" s="492">
        <v>0.25</v>
      </c>
      <c r="D13" s="489">
        <v>0.11</v>
      </c>
      <c r="E13" s="489">
        <v>0.11</v>
      </c>
      <c r="F13" s="489">
        <v>0.11</v>
      </c>
      <c r="G13" s="489">
        <v>0.11</v>
      </c>
      <c r="H13" s="489">
        <v>0.11</v>
      </c>
      <c r="I13" s="489">
        <v>0.11</v>
      </c>
      <c r="J13" s="489">
        <v>0.11</v>
      </c>
      <c r="K13" s="489">
        <v>0.11</v>
      </c>
      <c r="L13" s="489">
        <v>0.11</v>
      </c>
      <c r="M13" s="489">
        <v>0.11</v>
      </c>
      <c r="N13" s="494">
        <v>718570</v>
      </c>
      <c r="O13" s="288"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491" t="s">
        <v>23</v>
      </c>
      <c r="B14" s="492">
        <v>0.12</v>
      </c>
      <c r="C14" s="492">
        <v>0.12</v>
      </c>
      <c r="D14" s="489">
        <v>0.09</v>
      </c>
      <c r="E14" s="489">
        <v>0.09</v>
      </c>
      <c r="F14" s="489">
        <v>0.09</v>
      </c>
      <c r="G14" s="489">
        <v>0.09</v>
      </c>
      <c r="H14" s="489">
        <v>0.09</v>
      </c>
      <c r="I14" s="489">
        <v>0.09</v>
      </c>
      <c r="J14" s="489">
        <v>0.09</v>
      </c>
      <c r="K14" s="489">
        <v>0.09</v>
      </c>
      <c r="L14" s="489">
        <v>0.09</v>
      </c>
      <c r="M14" s="489">
        <v>0.09</v>
      </c>
      <c r="N14" s="494">
        <v>133178</v>
      </c>
      <c r="O14" s="288"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491" t="s">
        <v>24</v>
      </c>
      <c r="B15" s="492">
        <v>6.95</v>
      </c>
      <c r="C15" s="492">
        <v>6.95</v>
      </c>
      <c r="D15" s="489">
        <v>26.3</v>
      </c>
      <c r="E15" s="489">
        <v>26.3</v>
      </c>
      <c r="F15" s="489">
        <v>26.3</v>
      </c>
      <c r="G15" s="489">
        <v>26.3</v>
      </c>
      <c r="H15" s="489">
        <v>26.3</v>
      </c>
      <c r="I15" s="489">
        <v>26.3</v>
      </c>
      <c r="J15" s="489">
        <v>26.3</v>
      </c>
      <c r="K15" s="489">
        <v>26.3</v>
      </c>
      <c r="L15" s="489">
        <v>26.3</v>
      </c>
      <c r="M15" s="489">
        <v>26.3</v>
      </c>
      <c r="N15" s="494">
        <v>15648</v>
      </c>
      <c r="O15" s="288"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491" t="s">
        <v>25</v>
      </c>
      <c r="B16" s="498">
        <v>18.59</v>
      </c>
      <c r="C16" s="498">
        <v>18.59</v>
      </c>
      <c r="D16" s="489">
        <v>19.600000000000001</v>
      </c>
      <c r="E16" s="489">
        <v>19.600000000000001</v>
      </c>
      <c r="F16" s="489">
        <v>19.600000000000001</v>
      </c>
      <c r="G16" s="489">
        <v>19.600000000000001</v>
      </c>
      <c r="H16" s="489">
        <v>19.600000000000001</v>
      </c>
      <c r="I16" s="489">
        <v>19.600000000000001</v>
      </c>
      <c r="J16" s="489">
        <v>19.600000000000001</v>
      </c>
      <c r="K16" s="489">
        <v>19.600000000000001</v>
      </c>
      <c r="L16" s="489">
        <v>19.600000000000001</v>
      </c>
      <c r="M16" s="489">
        <v>19.600000000000001</v>
      </c>
      <c r="N16" s="494">
        <v>972</v>
      </c>
      <c r="O16" s="288"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91" t="s">
        <v>27</v>
      </c>
      <c r="B17" s="489">
        <v>0.22</v>
      </c>
      <c r="C17" s="489">
        <v>0.22</v>
      </c>
      <c r="D17" s="489">
        <v>0.22</v>
      </c>
      <c r="E17" s="489">
        <v>0.22</v>
      </c>
      <c r="F17" s="489">
        <v>0.22</v>
      </c>
      <c r="G17" s="489">
        <v>0.22</v>
      </c>
      <c r="H17" s="489">
        <v>0.22</v>
      </c>
      <c r="I17" s="489">
        <v>0.22</v>
      </c>
      <c r="J17" s="489">
        <v>0.22</v>
      </c>
      <c r="K17" s="489">
        <v>0.22</v>
      </c>
      <c r="L17" s="489">
        <v>0.22</v>
      </c>
      <c r="M17" s="489">
        <v>0.22</v>
      </c>
      <c r="N17" s="494">
        <v>1278202</v>
      </c>
      <c r="O17" s="288"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491" t="s">
        <v>26</v>
      </c>
      <c r="B18" s="492">
        <v>0.03</v>
      </c>
      <c r="C18" s="492">
        <v>0.03</v>
      </c>
      <c r="D18" s="489">
        <v>0.03</v>
      </c>
      <c r="E18" s="489">
        <v>0.03</v>
      </c>
      <c r="F18" s="489">
        <v>0.03</v>
      </c>
      <c r="G18" s="489">
        <v>0.03</v>
      </c>
      <c r="H18" s="489">
        <v>0.03</v>
      </c>
      <c r="I18" s="489">
        <v>0.03</v>
      </c>
      <c r="J18" s="489">
        <v>0.03</v>
      </c>
      <c r="K18" s="489">
        <v>0.03</v>
      </c>
      <c r="L18" s="489">
        <v>0.03</v>
      </c>
      <c r="M18" s="489">
        <v>0.03</v>
      </c>
      <c r="N18" s="494">
        <v>119606</v>
      </c>
      <c r="O18" s="476"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491" t="s">
        <v>56</v>
      </c>
      <c r="B19" s="492">
        <v>1.73</v>
      </c>
      <c r="C19" s="492">
        <v>1.73</v>
      </c>
      <c r="D19" s="492">
        <v>1.73</v>
      </c>
      <c r="E19" s="492">
        <v>1.73</v>
      </c>
      <c r="F19" s="492">
        <v>1.73</v>
      </c>
      <c r="G19" s="492">
        <v>1.73</v>
      </c>
      <c r="H19" s="492">
        <v>1.73</v>
      </c>
      <c r="I19" s="492">
        <v>1.73</v>
      </c>
      <c r="J19" s="492">
        <v>1.73</v>
      </c>
      <c r="K19" s="492">
        <v>1.73</v>
      </c>
      <c r="L19" s="492">
        <v>1.73</v>
      </c>
      <c r="M19" s="492">
        <v>1.73</v>
      </c>
      <c r="N19" s="499">
        <v>2795</v>
      </c>
      <c r="O19" s="475"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488" t="s">
        <v>55</v>
      </c>
      <c r="B20" s="492"/>
      <c r="C20" s="492"/>
      <c r="D20" s="492">
        <v>13.16</v>
      </c>
      <c r="E20" s="492">
        <v>13.16</v>
      </c>
      <c r="F20" s="492">
        <v>13.16</v>
      </c>
      <c r="G20" s="492">
        <v>13.16</v>
      </c>
      <c r="H20" s="492">
        <v>13.16</v>
      </c>
      <c r="I20" s="492">
        <v>13.16</v>
      </c>
      <c r="J20" s="492">
        <v>13.16</v>
      </c>
      <c r="K20" s="492">
        <v>13.16</v>
      </c>
      <c r="L20" s="492">
        <v>13.16</v>
      </c>
      <c r="M20" s="492">
        <v>13.16</v>
      </c>
      <c r="N20" s="499">
        <v>3</v>
      </c>
      <c r="O20" s="475" t="s">
        <v>89</v>
      </c>
    </row>
    <row r="21" spans="1:26" ht="23.25" customHeight="1">
      <c r="A21" s="534"/>
      <c r="B21" s="535"/>
      <c r="C21" s="535"/>
      <c r="D21" s="535"/>
      <c r="E21" s="535"/>
      <c r="F21" s="535"/>
      <c r="G21" s="535"/>
      <c r="H21" s="535"/>
      <c r="I21" s="535"/>
      <c r="J21" s="535"/>
      <c r="K21" s="535"/>
      <c r="L21" s="535"/>
      <c r="M21" s="535"/>
      <c r="N21" s="536"/>
      <c r="O21" s="481"/>
    </row>
    <row r="22" spans="1:26" ht="15">
      <c r="A22" s="684" t="s">
        <v>98</v>
      </c>
      <c r="B22" s="684"/>
      <c r="C22" s="684"/>
      <c r="D22" s="684"/>
      <c r="E22" s="684"/>
      <c r="F22" s="684"/>
      <c r="G22" s="684"/>
      <c r="H22" s="684"/>
      <c r="I22" s="684"/>
      <c r="J22" s="684"/>
      <c r="K22" s="684"/>
      <c r="L22" s="684"/>
      <c r="M22" s="684"/>
      <c r="N22" s="684"/>
      <c r="O22" s="684"/>
    </row>
    <row r="23" spans="1:26" s="10" customFormat="1" ht="18.75" customHeight="1">
      <c r="A23" s="673" t="s">
        <v>90</v>
      </c>
      <c r="B23" s="673"/>
      <c r="C23" s="673"/>
      <c r="D23" s="673"/>
      <c r="E23" s="673"/>
      <c r="F23" s="673"/>
      <c r="G23" s="673"/>
      <c r="H23" s="673"/>
      <c r="I23" s="673"/>
      <c r="J23" s="673"/>
      <c r="K23" s="673"/>
      <c r="L23" s="673"/>
      <c r="M23" s="673"/>
      <c r="N23" s="673"/>
      <c r="O23" s="673"/>
      <c r="P23" s="13"/>
      <c r="Q23" s="13"/>
      <c r="R23" s="13"/>
      <c r="S23" s="13"/>
      <c r="T23" s="147"/>
      <c r="U23" s="147"/>
      <c r="V23" s="147"/>
      <c r="W23" s="147"/>
      <c r="X23" s="147"/>
      <c r="Y23" s="147"/>
      <c r="Z23" s="147"/>
    </row>
    <row r="24" spans="1:26" ht="12.75" customHeight="1">
      <c r="A24" s="677" t="s">
        <v>99</v>
      </c>
      <c r="B24" s="678"/>
      <c r="C24" s="678"/>
      <c r="D24" s="678"/>
      <c r="E24" s="678"/>
      <c r="F24" s="678"/>
      <c r="G24" s="678"/>
      <c r="H24" s="678"/>
      <c r="I24" s="678"/>
      <c r="J24" s="678"/>
      <c r="K24" s="678"/>
      <c r="L24" s="678"/>
      <c r="M24" s="678"/>
      <c r="N24" s="678"/>
      <c r="O24" s="678"/>
    </row>
    <row r="25" spans="1:26" ht="12.75" customHeight="1">
      <c r="A25" s="677" t="s">
        <v>100</v>
      </c>
      <c r="B25" s="678"/>
      <c r="C25" s="678"/>
      <c r="D25" s="678"/>
      <c r="E25" s="678"/>
      <c r="F25" s="678"/>
      <c r="G25" s="678"/>
      <c r="H25" s="678"/>
      <c r="I25" s="678"/>
      <c r="J25" s="678"/>
      <c r="K25" s="678"/>
      <c r="L25" s="678"/>
      <c r="M25" s="678"/>
      <c r="N25" s="678"/>
      <c r="O25" s="678"/>
    </row>
    <row r="26" spans="1:26" s="10" customFormat="1" ht="14.25">
      <c r="A26" s="679" t="s">
        <v>95</v>
      </c>
      <c r="B26" s="680"/>
      <c r="C26" s="680"/>
      <c r="D26" s="680"/>
      <c r="E26" s="680"/>
      <c r="F26" s="680"/>
      <c r="G26" s="680"/>
      <c r="H26" s="680"/>
      <c r="I26" s="680"/>
      <c r="J26" s="680"/>
      <c r="K26" s="680"/>
      <c r="L26" s="680"/>
      <c r="M26" s="680"/>
      <c r="N26" s="680"/>
      <c r="O26" s="477"/>
      <c r="P26" s="13"/>
      <c r="Q26" s="13"/>
      <c r="R26" s="13"/>
      <c r="S26" s="13"/>
      <c r="T26" s="147"/>
      <c r="U26" s="147"/>
      <c r="V26" s="147"/>
      <c r="W26" s="147"/>
      <c r="X26" s="147"/>
      <c r="Y26" s="147"/>
      <c r="Z26" s="147"/>
    </row>
    <row r="27" spans="1:26" s="10" customFormat="1" ht="14.25">
      <c r="A27" s="679"/>
      <c r="B27" s="680"/>
      <c r="C27" s="680"/>
      <c r="D27" s="680"/>
      <c r="E27" s="680"/>
      <c r="F27" s="680"/>
      <c r="G27" s="680"/>
      <c r="H27" s="680"/>
      <c r="I27" s="680"/>
      <c r="J27" s="680"/>
      <c r="K27" s="680"/>
      <c r="L27" s="680"/>
      <c r="M27" s="680"/>
      <c r="N27" s="680"/>
      <c r="O27" s="477"/>
      <c r="P27" s="13"/>
      <c r="Q27" s="13"/>
      <c r="R27" s="13"/>
      <c r="S27" s="13"/>
      <c r="T27" s="147"/>
      <c r="U27" s="147"/>
      <c r="V27" s="147"/>
      <c r="W27" s="147"/>
      <c r="X27" s="147"/>
      <c r="Y27" s="147"/>
      <c r="Z27" s="147"/>
    </row>
    <row r="28" spans="1:26" ht="40.5" customHeight="1">
      <c r="A28" s="261" t="s">
        <v>73</v>
      </c>
      <c r="N28" s="385"/>
    </row>
    <row r="55" spans="1:1" ht="40.5" customHeight="1">
      <c r="A55" s="208"/>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8515625" defaultRowHeight="12.75"/>
  <cols>
    <col min="1" max="1" width="45.7109375" style="44" customWidth="1"/>
    <col min="2" max="4" width="10.7109375" style="44" customWidth="1"/>
    <col min="5" max="5" width="12.7109375" style="44" customWidth="1"/>
    <col min="6" max="8" width="10.5703125" style="44" customWidth="1"/>
    <col min="9" max="9" width="12.7109375" style="44" customWidth="1"/>
    <col min="10" max="12" width="10.7109375" style="44" customWidth="1"/>
    <col min="13" max="13" width="12.7109375" style="44" customWidth="1"/>
    <col min="14" max="16" width="10.7109375" style="44" customWidth="1"/>
    <col min="17" max="17" width="12.7109375" style="44" customWidth="1"/>
    <col min="18" max="20" width="10.7109375" style="44" customWidth="1"/>
    <col min="21" max="21" width="12.7109375" style="44" customWidth="1"/>
    <col min="22" max="24" width="10.7109375" style="44" customWidth="1"/>
    <col min="25" max="25" width="12.7109375" style="44" customWidth="1"/>
    <col min="26" max="16384" width="9.28515625" style="44"/>
  </cols>
  <sheetData>
    <row r="1" spans="1:25">
      <c r="A1" s="43" t="s">
        <v>101</v>
      </c>
    </row>
    <row r="3" spans="1:25" ht="21.75" customHeight="1">
      <c r="A3" s="94">
        <v>2016</v>
      </c>
      <c r="B3" s="685" t="s">
        <v>41</v>
      </c>
      <c r="C3" s="685"/>
      <c r="D3" s="685"/>
      <c r="E3" s="685"/>
      <c r="F3" s="686" t="s">
        <v>42</v>
      </c>
      <c r="G3" s="686"/>
      <c r="H3" s="686"/>
      <c r="I3" s="686"/>
      <c r="J3" s="686" t="s">
        <v>43</v>
      </c>
      <c r="K3" s="686"/>
      <c r="L3" s="686"/>
      <c r="M3" s="686"/>
      <c r="N3" s="686" t="s">
        <v>44</v>
      </c>
      <c r="O3" s="686"/>
      <c r="P3" s="686"/>
      <c r="Q3" s="686"/>
      <c r="R3" s="686" t="s">
        <v>31</v>
      </c>
      <c r="S3" s="686"/>
      <c r="T3" s="686"/>
      <c r="U3" s="686"/>
      <c r="V3" s="686" t="s">
        <v>45</v>
      </c>
      <c r="W3" s="686"/>
      <c r="X3" s="686"/>
      <c r="Y3" s="686"/>
    </row>
    <row r="4" spans="1:25" ht="79.5" customHeight="1">
      <c r="A4" s="589" t="s">
        <v>102</v>
      </c>
      <c r="B4" s="54" t="s">
        <v>103</v>
      </c>
      <c r="C4" s="54" t="s">
        <v>104</v>
      </c>
      <c r="D4" s="54" t="s">
        <v>105</v>
      </c>
      <c r="E4" s="54" t="s">
        <v>106</v>
      </c>
      <c r="F4" s="54" t="s">
        <v>103</v>
      </c>
      <c r="G4" s="54" t="s">
        <v>104</v>
      </c>
      <c r="H4" s="54" t="s">
        <v>105</v>
      </c>
      <c r="I4" s="54" t="s">
        <v>106</v>
      </c>
      <c r="J4" s="54" t="s">
        <v>103</v>
      </c>
      <c r="K4" s="54" t="s">
        <v>104</v>
      </c>
      <c r="L4" s="54" t="s">
        <v>105</v>
      </c>
      <c r="M4" s="54" t="s">
        <v>106</v>
      </c>
      <c r="N4" s="54" t="s">
        <v>103</v>
      </c>
      <c r="O4" s="54" t="s">
        <v>104</v>
      </c>
      <c r="P4" s="54" t="s">
        <v>105</v>
      </c>
      <c r="Q4" s="54" t="s">
        <v>106</v>
      </c>
      <c r="R4" s="54" t="s">
        <v>103</v>
      </c>
      <c r="S4" s="54" t="s">
        <v>104</v>
      </c>
      <c r="T4" s="54" t="s">
        <v>105</v>
      </c>
      <c r="U4" s="54" t="s">
        <v>106</v>
      </c>
      <c r="V4" s="54" t="s">
        <v>103</v>
      </c>
      <c r="W4" s="54" t="s">
        <v>104</v>
      </c>
      <c r="X4" s="54" t="s">
        <v>105</v>
      </c>
      <c r="Y4" s="54" t="s">
        <v>106</v>
      </c>
    </row>
    <row r="5" spans="1:25">
      <c r="A5" s="95" t="s">
        <v>107</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c r="A6" s="95" t="s">
        <v>108</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c r="A7" s="96" t="s">
        <v>109</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c r="A9" s="97" t="s">
        <v>51</v>
      </c>
      <c r="B9" s="65"/>
      <c r="C9" s="54"/>
      <c r="D9" s="54"/>
      <c r="E9" s="590"/>
      <c r="F9" s="65"/>
      <c r="G9" s="66"/>
      <c r="H9" s="67"/>
      <c r="I9" s="67"/>
      <c r="J9" s="68"/>
      <c r="K9" s="66"/>
      <c r="L9" s="67"/>
      <c r="M9" s="60"/>
      <c r="N9" s="68"/>
      <c r="O9" s="66"/>
      <c r="P9" s="67"/>
      <c r="Q9" s="60"/>
      <c r="R9" s="68"/>
      <c r="S9" s="66"/>
      <c r="T9" s="67"/>
      <c r="U9" s="60"/>
      <c r="V9" s="68"/>
      <c r="W9" s="66"/>
      <c r="X9" s="67"/>
      <c r="Y9" s="60">
        <f>SUM(W9:X9)</f>
        <v>0</v>
      </c>
    </row>
    <row r="10" spans="1:25">
      <c r="A10" s="95" t="s">
        <v>110</v>
      </c>
      <c r="B10" s="103"/>
      <c r="C10" s="103"/>
      <c r="D10" s="57"/>
      <c r="E10" s="59"/>
      <c r="F10" s="55"/>
      <c r="G10" s="58"/>
      <c r="H10" s="57"/>
      <c r="I10" s="59"/>
      <c r="J10" s="62"/>
      <c r="K10" s="57" t="s">
        <v>57</v>
      </c>
      <c r="L10" s="57"/>
      <c r="M10" s="60"/>
      <c r="N10" s="62"/>
      <c r="O10" s="57" t="s">
        <v>57</v>
      </c>
      <c r="P10" s="57"/>
      <c r="Q10" s="60"/>
      <c r="R10" s="62"/>
      <c r="S10" s="57" t="s">
        <v>57</v>
      </c>
      <c r="T10" s="57"/>
      <c r="U10" s="60"/>
      <c r="V10" s="62"/>
      <c r="W10" s="57" t="s">
        <v>57</v>
      </c>
      <c r="X10" s="57"/>
      <c r="Y10" s="60">
        <f>SUM(W10:X10)</f>
        <v>0</v>
      </c>
    </row>
    <row r="11" spans="1:25">
      <c r="A11" s="95" t="s">
        <v>111</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c r="A12" s="95"/>
      <c r="B12" s="56"/>
      <c r="C12" s="57"/>
      <c r="D12" s="57"/>
      <c r="E12" s="109"/>
      <c r="F12" s="55"/>
      <c r="G12" s="58"/>
      <c r="H12" s="58"/>
      <c r="I12" s="62"/>
      <c r="J12" s="62"/>
      <c r="K12" s="58"/>
      <c r="L12" s="58"/>
      <c r="M12" s="60" t="s">
        <v>57</v>
      </c>
      <c r="N12" s="62"/>
      <c r="O12" s="58"/>
      <c r="P12" s="58"/>
      <c r="Q12" s="60" t="s">
        <v>57</v>
      </c>
      <c r="R12" s="62"/>
      <c r="S12" s="58"/>
      <c r="T12" s="58"/>
      <c r="U12" s="60" t="s">
        <v>57</v>
      </c>
      <c r="V12" s="62"/>
      <c r="W12" s="58"/>
      <c r="X12" s="58"/>
      <c r="Y12" s="60" t="s">
        <v>57</v>
      </c>
    </row>
    <row r="13" spans="1:25" s="43" customFormat="1">
      <c r="A13" s="96" t="s">
        <v>109</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106</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c r="A17" s="589" t="s">
        <v>112</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c r="A18" s="99" t="s">
        <v>113</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c r="A20" s="100" t="s">
        <v>109</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c r="A22" s="96" t="s">
        <v>114</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c r="A25" s="101"/>
      <c r="B25" s="686" t="s">
        <v>60</v>
      </c>
      <c r="C25" s="686"/>
      <c r="D25" s="686"/>
      <c r="E25" s="686"/>
      <c r="F25" s="686" t="s">
        <v>75</v>
      </c>
      <c r="G25" s="686"/>
      <c r="H25" s="686"/>
      <c r="I25" s="686" t="s">
        <v>60</v>
      </c>
      <c r="J25" s="686" t="s">
        <v>76</v>
      </c>
      <c r="K25" s="686"/>
      <c r="L25" s="686"/>
      <c r="M25" s="686" t="s">
        <v>60</v>
      </c>
      <c r="N25" s="686" t="s">
        <v>62</v>
      </c>
      <c r="O25" s="686"/>
      <c r="P25" s="686"/>
      <c r="Q25" s="686" t="s">
        <v>60</v>
      </c>
      <c r="R25" s="686" t="s">
        <v>77</v>
      </c>
      <c r="S25" s="686"/>
      <c r="T25" s="686"/>
      <c r="U25" s="686" t="s">
        <v>60</v>
      </c>
      <c r="V25" s="686" t="s">
        <v>63</v>
      </c>
      <c r="W25" s="686"/>
      <c r="X25" s="686"/>
      <c r="Y25" s="686" t="s">
        <v>60</v>
      </c>
    </row>
    <row r="26" spans="1:25" ht="38.25">
      <c r="A26" s="589" t="s">
        <v>102</v>
      </c>
      <c r="B26" s="54" t="s">
        <v>103</v>
      </c>
      <c r="C26" s="54" t="s">
        <v>104</v>
      </c>
      <c r="D26" s="54" t="s">
        <v>105</v>
      </c>
      <c r="E26" s="54" t="s">
        <v>106</v>
      </c>
      <c r="F26" s="54" t="s">
        <v>103</v>
      </c>
      <c r="G26" s="54" t="s">
        <v>104</v>
      </c>
      <c r="H26" s="54" t="s">
        <v>105</v>
      </c>
      <c r="I26" s="54" t="s">
        <v>106</v>
      </c>
      <c r="J26" s="54" t="s">
        <v>103</v>
      </c>
      <c r="K26" s="54" t="s">
        <v>104</v>
      </c>
      <c r="L26" s="54" t="s">
        <v>105</v>
      </c>
      <c r="M26" s="54" t="s">
        <v>106</v>
      </c>
      <c r="N26" s="54" t="s">
        <v>103</v>
      </c>
      <c r="O26" s="54" t="s">
        <v>104</v>
      </c>
      <c r="P26" s="54" t="s">
        <v>105</v>
      </c>
      <c r="Q26" s="54" t="s">
        <v>106</v>
      </c>
      <c r="R26" s="54" t="s">
        <v>103</v>
      </c>
      <c r="S26" s="54" t="s">
        <v>104</v>
      </c>
      <c r="T26" s="54" t="s">
        <v>105</v>
      </c>
      <c r="U26" s="54" t="s">
        <v>106</v>
      </c>
      <c r="V26" s="54" t="s">
        <v>103</v>
      </c>
      <c r="W26" s="54" t="s">
        <v>104</v>
      </c>
      <c r="X26" s="54" t="s">
        <v>105</v>
      </c>
      <c r="Y26" s="54" t="s">
        <v>106</v>
      </c>
    </row>
    <row r="27" spans="1:25">
      <c r="A27" s="95" t="s">
        <v>115</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c r="A28" s="95" t="s">
        <v>108</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c r="A29" s="95" t="s">
        <v>116</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c r="A30" s="95" t="s">
        <v>117</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c r="A31" s="95" t="s">
        <v>118</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c r="A32" s="95" t="s">
        <v>119</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c r="A33" s="96" t="s">
        <v>109</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c r="A36" s="95" t="s">
        <v>110</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c r="A37" s="95" t="s">
        <v>120</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c r="A38" s="95" t="s">
        <v>111</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c r="A40" s="96" t="s">
        <v>109</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106</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c r="A44" s="589" t="s">
        <v>112</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c r="A45" s="99" t="s">
        <v>113</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c r="A47" s="100" t="s">
        <v>109</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c r="A49" s="96" t="s">
        <v>114</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c r="A51" s="43" t="s">
        <v>66</v>
      </c>
      <c r="B51" s="43"/>
      <c r="C51" s="45" t="s">
        <v>121</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c r="A53" s="43" t="s">
        <v>122</v>
      </c>
      <c r="B53" s="43" t="s">
        <v>123</v>
      </c>
      <c r="D53" s="45"/>
      <c r="G53" s="45"/>
      <c r="I53" s="43"/>
      <c r="K53" s="45"/>
      <c r="M53" s="43"/>
      <c r="O53" s="45"/>
      <c r="P53" s="45"/>
      <c r="S53" s="45"/>
      <c r="T53" s="45"/>
      <c r="W53" s="45"/>
      <c r="X53" s="45"/>
    </row>
    <row r="54" spans="1:25">
      <c r="A54" s="43" t="s">
        <v>124</v>
      </c>
      <c r="B54" s="43" t="s">
        <v>125</v>
      </c>
      <c r="D54" s="45"/>
      <c r="G54" s="45"/>
      <c r="I54" s="43"/>
      <c r="K54" s="45"/>
      <c r="M54" s="43"/>
      <c r="O54" s="45"/>
      <c r="P54" s="45"/>
      <c r="S54" s="45"/>
      <c r="T54" s="45"/>
    </row>
    <row r="55" spans="1:25">
      <c r="A55" s="43" t="s">
        <v>126</v>
      </c>
      <c r="B55" s="43" t="s">
        <v>127</v>
      </c>
      <c r="D55" s="45"/>
      <c r="G55" s="45"/>
      <c r="I55" s="43"/>
      <c r="K55" s="45"/>
      <c r="M55" s="43"/>
      <c r="U55" s="52"/>
      <c r="V55" s="52"/>
      <c r="Y55" s="52"/>
    </row>
    <row r="56" spans="1:25">
      <c r="A56" s="43" t="s">
        <v>128</v>
      </c>
      <c r="B56" s="43" t="s">
        <v>129</v>
      </c>
      <c r="D56" s="45"/>
      <c r="F56" s="52"/>
      <c r="I56" s="52"/>
      <c r="J56" s="52"/>
      <c r="M56" s="52"/>
      <c r="N56" s="52"/>
      <c r="Q56" s="52"/>
      <c r="R56" s="52"/>
      <c r="W56" s="45"/>
      <c r="X56" s="45"/>
    </row>
    <row r="57" spans="1:25">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9"/>
  <sheetViews>
    <sheetView showRuler="0" showWhiteSpace="0" zoomScale="80" zoomScaleNormal="80" workbookViewId="0">
      <selection activeCell="H22" sqref="H22"/>
    </sheetView>
  </sheetViews>
  <sheetFormatPr defaultColWidth="9.28515625" defaultRowHeight="12.75"/>
  <cols>
    <col min="1" max="1" width="48" style="44" customWidth="1"/>
    <col min="2" max="3" width="13" style="44" customWidth="1"/>
    <col min="4" max="13" width="13.42578125" style="44" customWidth="1"/>
    <col min="14" max="14" width="23.28515625" style="44" bestFit="1" customWidth="1"/>
    <col min="15" max="16384" width="9.28515625" style="44"/>
  </cols>
  <sheetData>
    <row r="2" spans="1:13" ht="20.25">
      <c r="B2" s="364" t="s">
        <v>39</v>
      </c>
      <c r="C2" s="43"/>
      <c r="D2" s="43"/>
      <c r="E2" s="365"/>
      <c r="F2" s="365"/>
      <c r="G2" s="365"/>
      <c r="H2" s="365"/>
      <c r="I2" s="365"/>
      <c r="J2" s="365"/>
      <c r="K2" s="365"/>
      <c r="L2" s="365"/>
      <c r="M2" s="365"/>
    </row>
    <row r="3" spans="1:13" ht="18">
      <c r="B3" s="687" t="s">
        <v>130</v>
      </c>
      <c r="C3" s="687"/>
      <c r="D3" s="687"/>
      <c r="E3" s="687"/>
      <c r="F3" s="687"/>
      <c r="G3" s="687"/>
      <c r="H3" s="687"/>
      <c r="I3" s="687"/>
      <c r="J3" s="687"/>
      <c r="K3" s="687"/>
      <c r="L3" s="687"/>
      <c r="M3" s="687"/>
    </row>
    <row r="4" spans="1:13" ht="18">
      <c r="A4" s="165"/>
      <c r="B4" s="43"/>
      <c r="C4" s="43"/>
      <c r="D4" s="43"/>
      <c r="E4" s="43"/>
      <c r="F4" s="366"/>
      <c r="G4" s="688" t="str">
        <f>'Program MW '!H3</f>
        <v>August 2020</v>
      </c>
      <c r="H4" s="688"/>
      <c r="I4" s="366"/>
      <c r="J4" s="43"/>
      <c r="K4" s="43"/>
      <c r="L4" s="43"/>
      <c r="M4" s="43"/>
    </row>
    <row r="5" spans="1:13">
      <c r="B5" s="203"/>
      <c r="C5" s="203"/>
      <c r="D5" s="203"/>
    </row>
    <row r="7" spans="1:13" ht="21.75" customHeight="1">
      <c r="A7" s="94"/>
      <c r="B7" s="166" t="s">
        <v>10</v>
      </c>
      <c r="C7" s="166" t="s">
        <v>28</v>
      </c>
      <c r="D7" s="166" t="s">
        <v>43</v>
      </c>
      <c r="E7" s="166" t="s">
        <v>44</v>
      </c>
      <c r="F7" s="166" t="s">
        <v>131</v>
      </c>
      <c r="G7" s="166" t="s">
        <v>45</v>
      </c>
      <c r="H7" s="166" t="s">
        <v>60</v>
      </c>
      <c r="I7" s="166" t="s">
        <v>75</v>
      </c>
      <c r="J7" s="166" t="s">
        <v>76</v>
      </c>
      <c r="K7" s="166" t="s">
        <v>62</v>
      </c>
      <c r="L7" s="166" t="s">
        <v>77</v>
      </c>
      <c r="M7" s="167" t="s">
        <v>63</v>
      </c>
    </row>
    <row r="8" spans="1:13" ht="38.25">
      <c r="A8" s="290" t="s">
        <v>132</v>
      </c>
      <c r="B8" s="317" t="s">
        <v>104</v>
      </c>
      <c r="C8" s="128" t="s">
        <v>104</v>
      </c>
      <c r="D8" s="128" t="s">
        <v>104</v>
      </c>
      <c r="E8" s="128" t="s">
        <v>104</v>
      </c>
      <c r="F8" s="128" t="s">
        <v>104</v>
      </c>
      <c r="G8" s="128" t="s">
        <v>104</v>
      </c>
      <c r="H8" s="128" t="s">
        <v>104</v>
      </c>
      <c r="I8" s="128" t="s">
        <v>104</v>
      </c>
      <c r="J8" s="128" t="s">
        <v>104</v>
      </c>
      <c r="K8" s="128" t="s">
        <v>104</v>
      </c>
      <c r="L8" s="128" t="s">
        <v>133</v>
      </c>
      <c r="M8" s="128" t="s">
        <v>133</v>
      </c>
    </row>
    <row r="9" spans="1:13">
      <c r="A9" s="316" t="s">
        <v>107</v>
      </c>
      <c r="B9" s="318">
        <v>1.23E-2</v>
      </c>
      <c r="C9" s="318">
        <v>1.23E-2</v>
      </c>
      <c r="D9" s="318">
        <v>1.23E-2</v>
      </c>
      <c r="E9" s="318">
        <v>1.23E-2</v>
      </c>
      <c r="F9" s="318">
        <v>1.23E-2</v>
      </c>
      <c r="G9" s="318">
        <v>1.23E-2</v>
      </c>
      <c r="H9" s="318">
        <v>1.23E-2</v>
      </c>
      <c r="I9" s="318">
        <v>1.23E-2</v>
      </c>
      <c r="J9" s="318">
        <v>0</v>
      </c>
      <c r="K9" s="318">
        <v>0</v>
      </c>
      <c r="L9" s="318">
        <v>0</v>
      </c>
      <c r="M9" s="318">
        <v>1.23E-2</v>
      </c>
    </row>
    <row r="10" spans="1:13">
      <c r="A10" s="316" t="s">
        <v>108</v>
      </c>
      <c r="B10" s="318">
        <v>0</v>
      </c>
      <c r="C10" s="318">
        <v>0</v>
      </c>
      <c r="D10" s="318">
        <v>0</v>
      </c>
      <c r="E10" s="318">
        <v>0</v>
      </c>
      <c r="F10" s="318">
        <v>0</v>
      </c>
      <c r="G10" s="318">
        <v>0</v>
      </c>
      <c r="H10" s="318">
        <v>0</v>
      </c>
      <c r="I10" s="318">
        <v>0</v>
      </c>
      <c r="J10" s="318">
        <v>0</v>
      </c>
      <c r="K10" s="318">
        <v>0</v>
      </c>
      <c r="L10" s="318">
        <v>0</v>
      </c>
      <c r="M10" s="318">
        <v>0</v>
      </c>
    </row>
    <row r="11" spans="1:13">
      <c r="A11" s="169" t="s">
        <v>134</v>
      </c>
      <c r="B11" s="318">
        <v>0</v>
      </c>
      <c r="C11" s="318">
        <v>0</v>
      </c>
      <c r="D11" s="318">
        <v>0</v>
      </c>
      <c r="E11" s="318">
        <v>0</v>
      </c>
      <c r="F11" s="318">
        <v>0</v>
      </c>
      <c r="G11" s="318">
        <v>0</v>
      </c>
      <c r="H11" s="318">
        <v>0</v>
      </c>
      <c r="I11" s="318">
        <v>0</v>
      </c>
      <c r="J11" s="318">
        <v>0</v>
      </c>
      <c r="K11" s="318">
        <v>0</v>
      </c>
      <c r="L11" s="318">
        <v>0</v>
      </c>
      <c r="M11" s="57">
        <v>0</v>
      </c>
    </row>
    <row r="12" spans="1:13">
      <c r="A12" s="169" t="s">
        <v>135</v>
      </c>
      <c r="B12" s="318">
        <v>0</v>
      </c>
      <c r="C12" s="318">
        <v>0</v>
      </c>
      <c r="D12" s="318">
        <v>0</v>
      </c>
      <c r="E12" s="318">
        <v>0</v>
      </c>
      <c r="F12" s="318">
        <v>0</v>
      </c>
      <c r="G12" s="318">
        <v>0</v>
      </c>
      <c r="H12" s="318">
        <v>0</v>
      </c>
      <c r="I12" s="318">
        <v>0</v>
      </c>
      <c r="J12" s="318">
        <v>0</v>
      </c>
      <c r="K12" s="318">
        <v>0</v>
      </c>
      <c r="L12" s="318">
        <v>0</v>
      </c>
      <c r="M12" s="104">
        <v>0</v>
      </c>
    </row>
    <row r="13" spans="1:13" s="43" customFormat="1">
      <c r="A13" s="168" t="s">
        <v>109</v>
      </c>
      <c r="B13" s="106">
        <f t="shared" ref="B13:G13" si="0">SUM(B9:B12)</f>
        <v>1.23E-2</v>
      </c>
      <c r="C13" s="106">
        <f t="shared" si="0"/>
        <v>1.23E-2</v>
      </c>
      <c r="D13" s="106">
        <f t="shared" si="0"/>
        <v>1.23E-2</v>
      </c>
      <c r="E13" s="106">
        <f t="shared" si="0"/>
        <v>1.23E-2</v>
      </c>
      <c r="F13" s="106">
        <f t="shared" si="0"/>
        <v>1.23E-2</v>
      </c>
      <c r="G13" s="106">
        <f t="shared" si="0"/>
        <v>1.23E-2</v>
      </c>
      <c r="H13" s="60">
        <f t="shared" ref="H13" si="1">SUM(H9:H12)</f>
        <v>1.23E-2</v>
      </c>
      <c r="I13" s="60">
        <f t="shared" ref="I13:M13" si="2">SUM(I9:I12)</f>
        <v>1.23E-2</v>
      </c>
      <c r="J13" s="458">
        <f t="shared" si="2"/>
        <v>0</v>
      </c>
      <c r="K13" s="458">
        <f t="shared" si="2"/>
        <v>0</v>
      </c>
      <c r="L13" s="458">
        <f t="shared" si="2"/>
        <v>0</v>
      </c>
      <c r="M13" s="60">
        <f t="shared" si="2"/>
        <v>1.23E-2</v>
      </c>
    </row>
    <row r="14" spans="1:13" s="51" customFormat="1">
      <c r="A14" s="43"/>
      <c r="B14" s="47"/>
      <c r="C14" s="49"/>
      <c r="D14" s="49"/>
      <c r="E14" s="49"/>
      <c r="F14" s="49"/>
      <c r="G14" s="49"/>
    </row>
    <row r="15" spans="1:13" ht="15">
      <c r="A15" s="262" t="s">
        <v>66</v>
      </c>
      <c r="G15" s="45"/>
    </row>
    <row r="16" spans="1:13" ht="15">
      <c r="A16" s="405" t="s">
        <v>136</v>
      </c>
      <c r="B16" s="203"/>
      <c r="C16" s="203"/>
      <c r="D16" s="300"/>
      <c r="E16" s="300"/>
      <c r="F16" s="300"/>
      <c r="G16" s="203"/>
      <c r="H16" s="203"/>
      <c r="I16" s="203"/>
      <c r="J16" s="203"/>
      <c r="K16" s="203"/>
    </row>
    <row r="17" spans="1:14" ht="15">
      <c r="A17" s="404"/>
    </row>
    <row r="20" spans="1:14" ht="21.75" customHeight="1">
      <c r="A20" s="94"/>
      <c r="B20" s="166" t="s">
        <v>10</v>
      </c>
      <c r="C20" s="166" t="s">
        <v>28</v>
      </c>
      <c r="D20" s="166" t="s">
        <v>43</v>
      </c>
      <c r="E20" s="166" t="s">
        <v>44</v>
      </c>
      <c r="F20" s="166" t="s">
        <v>131</v>
      </c>
      <c r="G20" s="166" t="s">
        <v>45</v>
      </c>
      <c r="H20" s="166" t="s">
        <v>60</v>
      </c>
      <c r="I20" s="166" t="s">
        <v>75</v>
      </c>
      <c r="J20" s="166" t="s">
        <v>76</v>
      </c>
      <c r="K20" s="166" t="s">
        <v>62</v>
      </c>
      <c r="L20" s="166" t="s">
        <v>77</v>
      </c>
      <c r="M20" s="167" t="s">
        <v>63</v>
      </c>
      <c r="N20" s="369"/>
    </row>
    <row r="21" spans="1:14" ht="51">
      <c r="A21" s="289" t="s">
        <v>132</v>
      </c>
      <c r="B21" s="128" t="s">
        <v>137</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69"/>
    </row>
    <row r="22" spans="1:14">
      <c r="A22" s="169" t="s">
        <v>17</v>
      </c>
      <c r="B22" s="57">
        <f>'Program MW '!D15</f>
        <v>3.0827200000000001</v>
      </c>
      <c r="C22" s="57">
        <f>'Program MW '!G15</f>
        <v>3.1022400000000001</v>
      </c>
      <c r="D22" s="57">
        <f>'Program MW '!J15</f>
        <v>4.2930799999999998</v>
      </c>
      <c r="E22" s="57">
        <f>'Program MW '!M15</f>
        <v>3.3770000000000002</v>
      </c>
      <c r="F22" s="57">
        <f>'Program MW '!P15</f>
        <v>3.4425600000000003</v>
      </c>
      <c r="G22" s="57">
        <f>'Program MW '!S15</f>
        <v>3.2876799999999999</v>
      </c>
      <c r="H22" s="57">
        <f>'Program MW '!D38</f>
        <v>3.3235399999999999</v>
      </c>
      <c r="I22" s="57">
        <f>'Program MW '!G38</f>
        <v>3.3682000000000003</v>
      </c>
      <c r="J22" s="57">
        <v>0</v>
      </c>
      <c r="K22" s="57">
        <v>0</v>
      </c>
      <c r="L22" s="57">
        <v>0</v>
      </c>
      <c r="M22" s="57">
        <v>0</v>
      </c>
      <c r="N22" s="369"/>
    </row>
    <row r="23" spans="1:14">
      <c r="A23" s="169" t="s">
        <v>27</v>
      </c>
      <c r="B23" s="57">
        <f>'Ex post LI &amp; Eligibility Stats'!B11*1008/1000</f>
        <v>0.16128000000000001</v>
      </c>
      <c r="C23" s="57">
        <f>'Ex post LI &amp; Eligibility Stats'!C11*1014/1000</f>
        <v>0.16224</v>
      </c>
      <c r="D23" s="57">
        <f>'Ex post LI &amp; Eligibility Stats'!D11*1015/1000</f>
        <v>0.2233</v>
      </c>
      <c r="E23" s="57">
        <f>'Ex post LI &amp; Eligibility Stats'!E11*960/1000</f>
        <v>0.2112</v>
      </c>
      <c r="F23" s="57">
        <f>'Ex post LI &amp; Eligibility Stats'!F11*994/1000</f>
        <v>0.21868000000000001</v>
      </c>
      <c r="G23" s="57">
        <f>'Ex post LI &amp; Eligibility Stats'!G11*980/1000</f>
        <v>0.21559999999999999</v>
      </c>
      <c r="H23" s="57">
        <f>'Ex post LI &amp; Eligibility Stats'!H11*977/1000</f>
        <v>0.21493999999999999</v>
      </c>
      <c r="I23" s="57">
        <f>'Ex post LI &amp; Eligibility Stats'!I11*960/1000</f>
        <v>0.2112</v>
      </c>
      <c r="J23" s="57">
        <v>0</v>
      </c>
      <c r="K23" s="57">
        <v>0</v>
      </c>
      <c r="L23" s="57">
        <v>0</v>
      </c>
      <c r="M23" s="57">
        <v>0</v>
      </c>
    </row>
    <row r="24" spans="1:14">
      <c r="A24" s="169" t="s">
        <v>135</v>
      </c>
      <c r="B24" s="57">
        <f>'Ex post LI &amp; Eligibility Stats'!B11*1489/1000</f>
        <v>0.23824000000000001</v>
      </c>
      <c r="C24" s="57">
        <f>'Ex post LI &amp; Eligibility Stats'!C11*1487/1000</f>
        <v>0.23792000000000002</v>
      </c>
      <c r="D24" s="57">
        <f>'Ex post LI &amp; Eligibility Stats'!D11*1490/1000</f>
        <v>0.32780000000000004</v>
      </c>
      <c r="E24" s="57">
        <f>'Ex post LI &amp; Eligibility Stats'!E11*1442/1000</f>
        <v>0.31724000000000002</v>
      </c>
      <c r="F24" s="57">
        <f>'Ex post LI &amp; Eligibility Stats'!F11*1513/1000</f>
        <v>0.33285999999999999</v>
      </c>
      <c r="G24" s="57">
        <f>'Ex post LI &amp; Eligibility Stats'!G11*1511/1000</f>
        <v>0.33241999999999999</v>
      </c>
      <c r="H24" s="57">
        <f>'Ex post LI &amp; Eligibility Stats'!H11*1574/1000</f>
        <v>0.34628000000000003</v>
      </c>
      <c r="I24" s="57">
        <f>'Ex post LI &amp; Eligibility Stats'!I11*1877/1000</f>
        <v>0.41293999999999997</v>
      </c>
      <c r="J24" s="57">
        <v>0</v>
      </c>
      <c r="K24" s="57">
        <v>0</v>
      </c>
      <c r="L24" s="57">
        <v>0</v>
      </c>
      <c r="M24" s="57">
        <v>0</v>
      </c>
    </row>
    <row r="25" spans="1:14" s="43" customFormat="1">
      <c r="A25" s="168" t="s">
        <v>109</v>
      </c>
      <c r="B25" s="106">
        <f t="shared" ref="B25:L25" si="4">SUM(B22:B24)</f>
        <v>3.48224</v>
      </c>
      <c r="C25" s="60">
        <f t="shared" si="4"/>
        <v>3.5024000000000002</v>
      </c>
      <c r="D25" s="60">
        <f t="shared" si="4"/>
        <v>4.8441799999999997</v>
      </c>
      <c r="E25" s="60">
        <f t="shared" si="4"/>
        <v>3.90544</v>
      </c>
      <c r="F25" s="60">
        <f t="shared" ref="F25" si="5">SUM(F22:F24)</f>
        <v>3.9941000000000004</v>
      </c>
      <c r="G25" s="60">
        <f t="shared" si="4"/>
        <v>3.8356999999999997</v>
      </c>
      <c r="H25" s="60">
        <f t="shared" si="4"/>
        <v>3.88476</v>
      </c>
      <c r="I25" s="60">
        <f t="shared" ref="I25" si="6">SUM(I22:I24)</f>
        <v>3.99234</v>
      </c>
      <c r="J25" s="60">
        <f t="shared" si="4"/>
        <v>0</v>
      </c>
      <c r="K25" s="60">
        <f t="shared" si="4"/>
        <v>0</v>
      </c>
      <c r="L25" s="60">
        <f t="shared" si="4"/>
        <v>0</v>
      </c>
      <c r="M25" s="60">
        <f t="shared" ref="M25" si="7">SUM(M22:M24)</f>
        <v>0</v>
      </c>
    </row>
    <row r="26" spans="1:14" s="51" customFormat="1">
      <c r="A26" s="43"/>
      <c r="B26" s="47"/>
      <c r="C26" s="49"/>
      <c r="D26" s="49"/>
      <c r="E26" s="49"/>
      <c r="F26" s="49"/>
      <c r="G26" s="49"/>
    </row>
    <row r="27" spans="1:14" ht="15">
      <c r="A27" s="262" t="s">
        <v>66</v>
      </c>
      <c r="G27" s="45"/>
    </row>
    <row r="28" spans="1:14" ht="15">
      <c r="A28" s="403" t="s">
        <v>138</v>
      </c>
      <c r="G28" s="45"/>
    </row>
    <row r="29" spans="1:14" ht="15">
      <c r="A29" s="404"/>
      <c r="C29" s="45"/>
      <c r="D29" s="45"/>
      <c r="E29" s="45"/>
      <c r="F29" s="45"/>
      <c r="G29" s="45"/>
    </row>
    <row r="30" spans="1:14">
      <c r="C30" s="45"/>
      <c r="D30" s="45"/>
      <c r="E30" s="45"/>
      <c r="F30" s="45"/>
      <c r="G30" s="45"/>
    </row>
    <row r="31" spans="1:14" ht="21.75" customHeight="1">
      <c r="A31" s="94"/>
      <c r="B31" s="166" t="s">
        <v>10</v>
      </c>
      <c r="C31" s="166" t="s">
        <v>28</v>
      </c>
      <c r="D31" s="166" t="s">
        <v>43</v>
      </c>
      <c r="E31" s="166" t="s">
        <v>44</v>
      </c>
      <c r="F31" s="166" t="s">
        <v>131</v>
      </c>
      <c r="G31" s="166" t="s">
        <v>45</v>
      </c>
      <c r="H31" s="166" t="s">
        <v>60</v>
      </c>
      <c r="I31" s="166" t="s">
        <v>75</v>
      </c>
      <c r="J31" s="166" t="s">
        <v>76</v>
      </c>
      <c r="K31" s="166" t="s">
        <v>62</v>
      </c>
      <c r="L31" s="166" t="s">
        <v>77</v>
      </c>
      <c r="M31" s="167" t="s">
        <v>63</v>
      </c>
    </row>
    <row r="32" spans="1:14" ht="51">
      <c r="A32" s="289" t="s">
        <v>132</v>
      </c>
      <c r="B32" s="128" t="s">
        <v>139</v>
      </c>
      <c r="C32" s="128" t="str">
        <f>B32</f>
        <v>Technology Deployment- Commercial MWs</v>
      </c>
      <c r="D32" s="128" t="str">
        <f>B32</f>
        <v>Technology Deployment- Commercial MWs</v>
      </c>
      <c r="E32" s="128" t="str">
        <f t="shared" ref="E32" si="8">C32</f>
        <v>Technology Deployment- Commercial MWs</v>
      </c>
      <c r="F32" s="128" t="str">
        <f t="shared" ref="F32" si="9">D32</f>
        <v>Technology Deployment- Commercial MWs</v>
      </c>
      <c r="G32" s="128" t="str">
        <f t="shared" ref="G32" si="10">E32</f>
        <v>Technology Deployment- Commercial MWs</v>
      </c>
      <c r="H32" s="128" t="str">
        <f t="shared" ref="H32" si="11">F32</f>
        <v>Technology Deployment- Commercial MWs</v>
      </c>
      <c r="I32" s="128" t="s">
        <v>140</v>
      </c>
      <c r="J32" s="128" t="str">
        <f t="shared" ref="J32" si="12">H32</f>
        <v>Technology Deployment- Commercial MWs</v>
      </c>
      <c r="K32" s="128" t="str">
        <f>B32</f>
        <v>Technology Deployment- Commercial MWs</v>
      </c>
      <c r="L32" s="128" t="s">
        <v>140</v>
      </c>
      <c r="M32" s="128" t="str">
        <f t="shared" ref="M32" si="13">K32</f>
        <v>Technology Deployment- Commercial MWs</v>
      </c>
    </row>
    <row r="33" spans="1:13">
      <c r="A33" s="169" t="s">
        <v>20</v>
      </c>
      <c r="B33" s="57">
        <f>'Program MW '!D18</f>
        <v>0.37775999999999998</v>
      </c>
      <c r="C33" s="57">
        <f>'Program MW '!G16</f>
        <v>0.76703999999999994</v>
      </c>
      <c r="D33" s="57">
        <f>'Program MW '!J16</f>
        <v>0.58787999999999996</v>
      </c>
      <c r="E33" s="57">
        <f>'Program MW '!M16</f>
        <v>0.34559999999999996</v>
      </c>
      <c r="F33" s="57">
        <f>'Program MW '!P16</f>
        <v>0.34991999999999995</v>
      </c>
      <c r="G33" s="57">
        <f>'Program MW '!S16</f>
        <v>0.35279999999999995</v>
      </c>
      <c r="H33" s="57">
        <f>'Program MW '!D39</f>
        <v>0.35495999999999994</v>
      </c>
      <c r="I33" s="57">
        <f>'Program MW '!G39</f>
        <v>0.37475999999999998</v>
      </c>
      <c r="J33" s="57">
        <v>0</v>
      </c>
      <c r="K33" s="57">
        <v>0</v>
      </c>
      <c r="L33" s="57">
        <v>0</v>
      </c>
      <c r="M33" s="57">
        <v>0</v>
      </c>
    </row>
    <row r="34" spans="1:13">
      <c r="A34" s="169" t="s">
        <v>26</v>
      </c>
      <c r="B34" s="57">
        <f>'Ex post LI &amp; Eligibility Stats'!B12*1165/1000</f>
        <v>0.54754999999999998</v>
      </c>
      <c r="C34" s="57">
        <f>'Ex post LI &amp; Eligibility Stats'!C12*1151/1000</f>
        <v>0.54096999999999995</v>
      </c>
      <c r="D34" s="57">
        <f>'Ex post LI &amp; Eligibility Stats'!D12*727/1000</f>
        <v>0.26171999999999995</v>
      </c>
      <c r="E34" s="57">
        <f>'Ex post LI &amp; Eligibility Stats'!E12*1152/1000</f>
        <v>0.41471999999999998</v>
      </c>
      <c r="F34" s="57">
        <f>'Ex post LI &amp; Eligibility Stats'!F12*774/1000</f>
        <v>0.27864</v>
      </c>
      <c r="G34" s="57">
        <f>'Ex post LI &amp; Eligibility Stats'!G12*709/1000</f>
        <v>0.25523999999999997</v>
      </c>
      <c r="H34" s="57">
        <f>'Ex post LI &amp; Eligibility Stats'!H12*698/1000</f>
        <v>0.25128</v>
      </c>
      <c r="I34" s="57">
        <f>'Ex post LI &amp; Eligibility Stats'!I12*687/1000</f>
        <v>0.24731999999999998</v>
      </c>
      <c r="J34" s="57">
        <v>0</v>
      </c>
      <c r="K34" s="57">
        <v>0</v>
      </c>
      <c r="L34" s="57">
        <v>0</v>
      </c>
      <c r="M34" s="57">
        <v>0</v>
      </c>
    </row>
    <row r="35" spans="1:13">
      <c r="A35" s="501" t="s">
        <v>56</v>
      </c>
      <c r="B35" s="473">
        <v>0</v>
      </c>
      <c r="C35" s="473">
        <v>0</v>
      </c>
      <c r="D35" s="473">
        <v>0</v>
      </c>
      <c r="E35" s="473">
        <v>0</v>
      </c>
      <c r="F35" s="473">
        <v>0</v>
      </c>
      <c r="G35" s="473">
        <v>0</v>
      </c>
      <c r="H35" s="473">
        <v>0</v>
      </c>
      <c r="I35" s="473">
        <v>0</v>
      </c>
      <c r="J35" s="57">
        <v>0</v>
      </c>
      <c r="K35" s="57">
        <v>0</v>
      </c>
      <c r="L35" s="57">
        <v>0</v>
      </c>
      <c r="M35" s="57">
        <v>0</v>
      </c>
    </row>
    <row r="36" spans="1:13">
      <c r="A36" s="169" t="s">
        <v>107</v>
      </c>
      <c r="B36" s="57">
        <f>'Ex post LI &amp; Eligibility Stats'!B12*570/1000</f>
        <v>0.26789999999999997</v>
      </c>
      <c r="C36" s="57">
        <f>'Ex post LI &amp; Eligibility Stats'!C12*569/1000</f>
        <v>0.26743</v>
      </c>
      <c r="D36" s="57">
        <f>'Ex post LI &amp; Eligibility Stats'!D12*466/1000</f>
        <v>0.16775999999999999</v>
      </c>
      <c r="E36" s="57">
        <f>'Ex post LI &amp; Eligibility Stats'!E12*569/1000</f>
        <v>0.20483999999999999</v>
      </c>
      <c r="F36" s="57">
        <f>'Ex post LI &amp; Eligibility Stats'!F12*457/1000</f>
        <v>0.16451999999999997</v>
      </c>
      <c r="G36" s="57">
        <f>'Ex post LI &amp; Eligibility Stats'!G12*447/1000</f>
        <v>0.16091999999999998</v>
      </c>
      <c r="H36" s="57">
        <f>'Ex post LI &amp; Eligibility Stats'!H12*440/1000</f>
        <v>0.15840000000000001</v>
      </c>
      <c r="I36" s="57">
        <f>'Ex post LI &amp; Eligibility Stats'!I12*388/1000</f>
        <v>0.13968</v>
      </c>
      <c r="J36" s="57">
        <v>0</v>
      </c>
      <c r="K36" s="57">
        <v>0</v>
      </c>
      <c r="L36" s="57">
        <v>0</v>
      </c>
      <c r="M36" s="57">
        <v>0</v>
      </c>
    </row>
    <row r="37" spans="1:13">
      <c r="A37" s="169" t="s">
        <v>108</v>
      </c>
      <c r="B37" s="57">
        <f>'Ex post LI &amp; Eligibility Stats'!B13*570/1000</f>
        <v>0.14249999999999999</v>
      </c>
      <c r="C37" s="57">
        <f>'Program MW '!E19</f>
        <v>0</v>
      </c>
      <c r="D37" s="57">
        <f>'Program MW '!F19</f>
        <v>0</v>
      </c>
      <c r="E37" s="57">
        <v>0</v>
      </c>
      <c r="F37" s="57">
        <v>0</v>
      </c>
      <c r="G37" s="57">
        <v>0</v>
      </c>
      <c r="H37" s="57">
        <v>0</v>
      </c>
      <c r="I37" s="57">
        <v>0</v>
      </c>
      <c r="J37" s="57">
        <v>0</v>
      </c>
      <c r="K37" s="57">
        <v>0</v>
      </c>
      <c r="L37" s="57">
        <v>0</v>
      </c>
      <c r="M37" s="57">
        <v>0</v>
      </c>
    </row>
    <row r="38" spans="1:13">
      <c r="A38" s="169" t="s">
        <v>134</v>
      </c>
      <c r="B38" s="57">
        <f>'Ex post LI &amp; Eligibility Stats'!B14*570/1000</f>
        <v>6.8399999999999989E-2</v>
      </c>
      <c r="C38" s="57">
        <f>'Program MW '!E20</f>
        <v>0</v>
      </c>
      <c r="D38" s="57">
        <f>'Program MW '!F20</f>
        <v>0</v>
      </c>
      <c r="E38" s="57">
        <v>0</v>
      </c>
      <c r="F38" s="57">
        <v>0</v>
      </c>
      <c r="G38" s="57">
        <v>0</v>
      </c>
      <c r="H38" s="57">
        <v>0</v>
      </c>
      <c r="I38" s="57">
        <v>0</v>
      </c>
      <c r="J38" s="57">
        <v>0</v>
      </c>
      <c r="K38" s="57">
        <v>0</v>
      </c>
      <c r="L38" s="57">
        <v>0</v>
      </c>
      <c r="M38" s="57">
        <v>0</v>
      </c>
    </row>
    <row r="39" spans="1:13">
      <c r="A39" s="169" t="s">
        <v>135</v>
      </c>
      <c r="B39" s="57">
        <f>'Ex post LI &amp; Eligibility Stats'!B15*1/1000</f>
        <v>6.9500000000000004E-3</v>
      </c>
      <c r="C39" s="57">
        <f>'Ex post LI &amp; Eligibility Stats'!C15*1/1000</f>
        <v>6.9500000000000004E-3</v>
      </c>
      <c r="D39" s="57">
        <f>'Ex post LI &amp; Eligibility Stats'!D15*1/1000</f>
        <v>2.63E-2</v>
      </c>
      <c r="E39" s="57">
        <v>0</v>
      </c>
      <c r="F39" s="57">
        <v>0</v>
      </c>
      <c r="G39" s="57">
        <v>0</v>
      </c>
      <c r="H39" s="57">
        <v>0</v>
      </c>
      <c r="I39" s="57">
        <v>0</v>
      </c>
      <c r="J39" s="57">
        <v>0</v>
      </c>
      <c r="K39" s="57">
        <v>0</v>
      </c>
      <c r="L39" s="57">
        <v>0</v>
      </c>
      <c r="M39" s="57">
        <v>0</v>
      </c>
    </row>
    <row r="40" spans="1:13" s="43" customFormat="1">
      <c r="A40" s="168" t="s">
        <v>109</v>
      </c>
      <c r="B40" s="106">
        <f t="shared" ref="B40:C40" si="14">SUM(B33:B39)</f>
        <v>1.41106</v>
      </c>
      <c r="C40" s="106">
        <f t="shared" si="14"/>
        <v>1.58239</v>
      </c>
      <c r="D40" s="106">
        <f t="shared" ref="D40:M40" si="15">SUM(D33:D39)</f>
        <v>1.0436599999999998</v>
      </c>
      <c r="E40" s="106">
        <f t="shared" si="15"/>
        <v>0.96515999999999991</v>
      </c>
      <c r="F40" s="106">
        <f t="shared" ref="F40" si="16">SUM(F33:F39)</f>
        <v>0.79308000000000001</v>
      </c>
      <c r="G40" s="106">
        <f t="shared" si="15"/>
        <v>0.76895999999999987</v>
      </c>
      <c r="H40" s="106">
        <f t="shared" si="15"/>
        <v>0.76463999999999988</v>
      </c>
      <c r="I40" s="106">
        <f t="shared" si="15"/>
        <v>0.76175999999999999</v>
      </c>
      <c r="J40" s="106">
        <f t="shared" si="15"/>
        <v>0</v>
      </c>
      <c r="K40" s="106">
        <f t="shared" si="15"/>
        <v>0</v>
      </c>
      <c r="L40" s="106">
        <f t="shared" si="15"/>
        <v>0</v>
      </c>
      <c r="M40" s="106">
        <f t="shared" si="15"/>
        <v>0</v>
      </c>
    </row>
    <row r="41" spans="1:13">
      <c r="C41" s="45"/>
      <c r="D41" s="45"/>
      <c r="E41" s="45"/>
      <c r="F41" s="45"/>
      <c r="G41" s="45"/>
    </row>
    <row r="42" spans="1:13" ht="15">
      <c r="A42" s="262" t="s">
        <v>66</v>
      </c>
      <c r="G42" s="45"/>
    </row>
    <row r="43" spans="1:13" ht="14.25">
      <c r="A43" s="504" t="s">
        <v>138</v>
      </c>
      <c r="B43" s="203"/>
      <c r="C43" s="203"/>
      <c r="D43" s="300"/>
      <c r="E43" s="300"/>
      <c r="F43" s="300"/>
      <c r="G43" s="203"/>
      <c r="H43" s="203"/>
      <c r="I43" s="203"/>
      <c r="J43" s="203"/>
      <c r="K43" s="203"/>
    </row>
    <row r="44" spans="1:13" ht="14.25">
      <c r="A44" s="511"/>
      <c r="B44" s="203"/>
      <c r="C44" s="203"/>
      <c r="D44" s="300"/>
      <c r="E44" s="300"/>
      <c r="F44" s="300"/>
      <c r="G44" s="203"/>
      <c r="H44" s="203"/>
      <c r="I44" s="203"/>
      <c r="J44" s="203"/>
      <c r="K44" s="203"/>
    </row>
    <row r="45" spans="1:13" ht="15">
      <c r="A45" s="263" t="s">
        <v>73</v>
      </c>
    </row>
    <row r="47" spans="1:13" ht="15">
      <c r="A47" s="148" t="s">
        <v>57</v>
      </c>
    </row>
    <row r="49" spans="1:1">
      <c r="A49" s="212"/>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11" activePane="bottomRight" state="frozen"/>
      <selection pane="topRight" activeCell="V16" sqref="V16"/>
      <selection pane="bottomLeft" activeCell="V16" sqref="V16"/>
      <selection pane="bottomRight" activeCell="F27" sqref="F27"/>
    </sheetView>
  </sheetViews>
  <sheetFormatPr defaultRowHeight="12"/>
  <cols>
    <col min="1" max="1" width="84.28515625" style="278" customWidth="1"/>
    <col min="2" max="3" width="12.7109375" style="278" customWidth="1"/>
    <col min="4" max="4" width="9.42578125" style="278" bestFit="1" customWidth="1"/>
    <col min="5" max="10" width="12.7109375" style="278" customWidth="1"/>
    <col min="11" max="11" width="10.7109375" style="278" customWidth="1"/>
    <col min="12" max="13" width="12.7109375" style="278" customWidth="1"/>
    <col min="14" max="14" width="17.28515625" style="278" customWidth="1"/>
    <col min="15" max="15" width="11.7109375" style="278" customWidth="1"/>
    <col min="16" max="16" width="13.28515625" style="278" hidden="1" customWidth="1"/>
    <col min="17" max="17" width="11.7109375" style="278" customWidth="1"/>
    <col min="18" max="256" width="9.28515625" style="278"/>
    <col min="257" max="257" width="70" style="278" customWidth="1"/>
    <col min="258" max="269" width="12.7109375" style="278" customWidth="1"/>
    <col min="270" max="270" width="11" style="278" customWidth="1"/>
    <col min="271" max="271" width="0" style="278" hidden="1" customWidth="1"/>
    <col min="272" max="273" width="11.7109375" style="278" customWidth="1"/>
    <col min="274" max="512" width="9.28515625" style="278"/>
    <col min="513" max="513" width="70" style="278" customWidth="1"/>
    <col min="514" max="525" width="12.7109375" style="278" customWidth="1"/>
    <col min="526" max="526" width="11" style="278" customWidth="1"/>
    <col min="527" max="527" width="0" style="278" hidden="1" customWidth="1"/>
    <col min="528" max="529" width="11.7109375" style="278" customWidth="1"/>
    <col min="530" max="768" width="9.28515625" style="278"/>
    <col min="769" max="769" width="70" style="278" customWidth="1"/>
    <col min="770" max="781" width="12.7109375" style="278" customWidth="1"/>
    <col min="782" max="782" width="11" style="278" customWidth="1"/>
    <col min="783" max="783" width="0" style="278" hidden="1" customWidth="1"/>
    <col min="784" max="785" width="11.7109375" style="278" customWidth="1"/>
    <col min="786" max="1024" width="9.28515625" style="278"/>
    <col min="1025" max="1025" width="70" style="278" customWidth="1"/>
    <col min="1026" max="1037" width="12.7109375" style="278" customWidth="1"/>
    <col min="1038" max="1038" width="11" style="278" customWidth="1"/>
    <col min="1039" max="1039" width="0" style="278" hidden="1" customWidth="1"/>
    <col min="1040" max="1041" width="11.7109375" style="278" customWidth="1"/>
    <col min="1042" max="1280" width="9.28515625" style="278"/>
    <col min="1281" max="1281" width="70" style="278" customWidth="1"/>
    <col min="1282" max="1293" width="12.7109375" style="278" customWidth="1"/>
    <col min="1294" max="1294" width="11" style="278" customWidth="1"/>
    <col min="1295" max="1295" width="0" style="278" hidden="1" customWidth="1"/>
    <col min="1296" max="1297" width="11.7109375" style="278" customWidth="1"/>
    <col min="1298" max="1536" width="9.28515625" style="278"/>
    <col min="1537" max="1537" width="70" style="278" customWidth="1"/>
    <col min="1538" max="1549" width="12.7109375" style="278" customWidth="1"/>
    <col min="1550" max="1550" width="11" style="278" customWidth="1"/>
    <col min="1551" max="1551" width="0" style="278" hidden="1" customWidth="1"/>
    <col min="1552" max="1553" width="11.7109375" style="278" customWidth="1"/>
    <col min="1554" max="1792" width="9.28515625" style="278"/>
    <col min="1793" max="1793" width="70" style="278" customWidth="1"/>
    <col min="1794" max="1805" width="12.7109375" style="278" customWidth="1"/>
    <col min="1806" max="1806" width="11" style="278" customWidth="1"/>
    <col min="1807" max="1807" width="0" style="278" hidden="1" customWidth="1"/>
    <col min="1808" max="1809" width="11.7109375" style="278" customWidth="1"/>
    <col min="1810" max="2048" width="9.28515625" style="278"/>
    <col min="2049" max="2049" width="70" style="278" customWidth="1"/>
    <col min="2050" max="2061" width="12.7109375" style="278" customWidth="1"/>
    <col min="2062" max="2062" width="11" style="278" customWidth="1"/>
    <col min="2063" max="2063" width="0" style="278" hidden="1" customWidth="1"/>
    <col min="2064" max="2065" width="11.7109375" style="278" customWidth="1"/>
    <col min="2066" max="2304" width="9.28515625" style="278"/>
    <col min="2305" max="2305" width="70" style="278" customWidth="1"/>
    <col min="2306" max="2317" width="12.7109375" style="278" customWidth="1"/>
    <col min="2318" max="2318" width="11" style="278" customWidth="1"/>
    <col min="2319" max="2319" width="0" style="278" hidden="1" customWidth="1"/>
    <col min="2320" max="2321" width="11.7109375" style="278" customWidth="1"/>
    <col min="2322" max="2560" width="9.28515625" style="278"/>
    <col min="2561" max="2561" width="70" style="278" customWidth="1"/>
    <col min="2562" max="2573" width="12.7109375" style="278" customWidth="1"/>
    <col min="2574" max="2574" width="11" style="278" customWidth="1"/>
    <col min="2575" max="2575" width="0" style="278" hidden="1" customWidth="1"/>
    <col min="2576" max="2577" width="11.7109375" style="278" customWidth="1"/>
    <col min="2578" max="2816" width="9.28515625" style="278"/>
    <col min="2817" max="2817" width="70" style="278" customWidth="1"/>
    <col min="2818" max="2829" width="12.7109375" style="278" customWidth="1"/>
    <col min="2830" max="2830" width="11" style="278" customWidth="1"/>
    <col min="2831" max="2831" width="0" style="278" hidden="1" customWidth="1"/>
    <col min="2832" max="2833" width="11.7109375" style="278" customWidth="1"/>
    <col min="2834" max="3072" width="9.28515625" style="278"/>
    <col min="3073" max="3073" width="70" style="278" customWidth="1"/>
    <col min="3074" max="3085" width="12.7109375" style="278" customWidth="1"/>
    <col min="3086" max="3086" width="11" style="278" customWidth="1"/>
    <col min="3087" max="3087" width="0" style="278" hidden="1" customWidth="1"/>
    <col min="3088" max="3089" width="11.7109375" style="278" customWidth="1"/>
    <col min="3090" max="3328" width="9.28515625" style="278"/>
    <col min="3329" max="3329" width="70" style="278" customWidth="1"/>
    <col min="3330" max="3341" width="12.7109375" style="278" customWidth="1"/>
    <col min="3342" max="3342" width="11" style="278" customWidth="1"/>
    <col min="3343" max="3343" width="0" style="278" hidden="1" customWidth="1"/>
    <col min="3344" max="3345" width="11.7109375" style="278" customWidth="1"/>
    <col min="3346" max="3584" width="9.28515625" style="278"/>
    <col min="3585" max="3585" width="70" style="278" customWidth="1"/>
    <col min="3586" max="3597" width="12.7109375" style="278" customWidth="1"/>
    <col min="3598" max="3598" width="11" style="278" customWidth="1"/>
    <col min="3599" max="3599" width="0" style="278" hidden="1" customWidth="1"/>
    <col min="3600" max="3601" width="11.7109375" style="278" customWidth="1"/>
    <col min="3602" max="3840" width="9.28515625" style="278"/>
    <col min="3841" max="3841" width="70" style="278" customWidth="1"/>
    <col min="3842" max="3853" width="12.7109375" style="278" customWidth="1"/>
    <col min="3854" max="3854" width="11" style="278" customWidth="1"/>
    <col min="3855" max="3855" width="0" style="278" hidden="1" customWidth="1"/>
    <col min="3856" max="3857" width="11.7109375" style="278" customWidth="1"/>
    <col min="3858" max="4096" width="9.28515625" style="278"/>
    <col min="4097" max="4097" width="70" style="278" customWidth="1"/>
    <col min="4098" max="4109" width="12.7109375" style="278" customWidth="1"/>
    <col min="4110" max="4110" width="11" style="278" customWidth="1"/>
    <col min="4111" max="4111" width="0" style="278" hidden="1" customWidth="1"/>
    <col min="4112" max="4113" width="11.7109375" style="278" customWidth="1"/>
    <col min="4114" max="4352" width="9.28515625" style="278"/>
    <col min="4353" max="4353" width="70" style="278" customWidth="1"/>
    <col min="4354" max="4365" width="12.7109375" style="278" customWidth="1"/>
    <col min="4366" max="4366" width="11" style="278" customWidth="1"/>
    <col min="4367" max="4367" width="0" style="278" hidden="1" customWidth="1"/>
    <col min="4368" max="4369" width="11.7109375" style="278" customWidth="1"/>
    <col min="4370" max="4608" width="9.28515625" style="278"/>
    <col min="4609" max="4609" width="70" style="278" customWidth="1"/>
    <col min="4610" max="4621" width="12.7109375" style="278" customWidth="1"/>
    <col min="4622" max="4622" width="11" style="278" customWidth="1"/>
    <col min="4623" max="4623" width="0" style="278" hidden="1" customWidth="1"/>
    <col min="4624" max="4625" width="11.7109375" style="278" customWidth="1"/>
    <col min="4626" max="4864" width="9.28515625" style="278"/>
    <col min="4865" max="4865" width="70" style="278" customWidth="1"/>
    <col min="4866" max="4877" width="12.7109375" style="278" customWidth="1"/>
    <col min="4878" max="4878" width="11" style="278" customWidth="1"/>
    <col min="4879" max="4879" width="0" style="278" hidden="1" customWidth="1"/>
    <col min="4880" max="4881" width="11.7109375" style="278" customWidth="1"/>
    <col min="4882" max="5120" width="9.28515625" style="278"/>
    <col min="5121" max="5121" width="70" style="278" customWidth="1"/>
    <col min="5122" max="5133" width="12.7109375" style="278" customWidth="1"/>
    <col min="5134" max="5134" width="11" style="278" customWidth="1"/>
    <col min="5135" max="5135" width="0" style="278" hidden="1" customWidth="1"/>
    <col min="5136" max="5137" width="11.7109375" style="278" customWidth="1"/>
    <col min="5138" max="5376" width="9.28515625" style="278"/>
    <col min="5377" max="5377" width="70" style="278" customWidth="1"/>
    <col min="5378" max="5389" width="12.7109375" style="278" customWidth="1"/>
    <col min="5390" max="5390" width="11" style="278" customWidth="1"/>
    <col min="5391" max="5391" width="0" style="278" hidden="1" customWidth="1"/>
    <col min="5392" max="5393" width="11.7109375" style="278" customWidth="1"/>
    <col min="5394" max="5632" width="9.28515625" style="278"/>
    <col min="5633" max="5633" width="70" style="278" customWidth="1"/>
    <col min="5634" max="5645" width="12.7109375" style="278" customWidth="1"/>
    <col min="5646" max="5646" width="11" style="278" customWidth="1"/>
    <col min="5647" max="5647" width="0" style="278" hidden="1" customWidth="1"/>
    <col min="5648" max="5649" width="11.7109375" style="278" customWidth="1"/>
    <col min="5650" max="5888" width="9.28515625" style="278"/>
    <col min="5889" max="5889" width="70" style="278" customWidth="1"/>
    <col min="5890" max="5901" width="12.7109375" style="278" customWidth="1"/>
    <col min="5902" max="5902" width="11" style="278" customWidth="1"/>
    <col min="5903" max="5903" width="0" style="278" hidden="1" customWidth="1"/>
    <col min="5904" max="5905" width="11.7109375" style="278" customWidth="1"/>
    <col min="5906" max="6144" width="9.28515625" style="278"/>
    <col min="6145" max="6145" width="70" style="278" customWidth="1"/>
    <col min="6146" max="6157" width="12.7109375" style="278" customWidth="1"/>
    <col min="6158" max="6158" width="11" style="278" customWidth="1"/>
    <col min="6159" max="6159" width="0" style="278" hidden="1" customWidth="1"/>
    <col min="6160" max="6161" width="11.7109375" style="278" customWidth="1"/>
    <col min="6162" max="6400" width="9.28515625" style="278"/>
    <col min="6401" max="6401" width="70" style="278" customWidth="1"/>
    <col min="6402" max="6413" width="12.7109375" style="278" customWidth="1"/>
    <col min="6414" max="6414" width="11" style="278" customWidth="1"/>
    <col min="6415" max="6415" width="0" style="278" hidden="1" customWidth="1"/>
    <col min="6416" max="6417" width="11.7109375" style="278" customWidth="1"/>
    <col min="6418" max="6656" width="9.28515625" style="278"/>
    <col min="6657" max="6657" width="70" style="278" customWidth="1"/>
    <col min="6658" max="6669" width="12.7109375" style="278" customWidth="1"/>
    <col min="6670" max="6670" width="11" style="278" customWidth="1"/>
    <col min="6671" max="6671" width="0" style="278" hidden="1" customWidth="1"/>
    <col min="6672" max="6673" width="11.7109375" style="278" customWidth="1"/>
    <col min="6674" max="6912" width="9.28515625" style="278"/>
    <col min="6913" max="6913" width="70" style="278" customWidth="1"/>
    <col min="6914" max="6925" width="12.7109375" style="278" customWidth="1"/>
    <col min="6926" max="6926" width="11" style="278" customWidth="1"/>
    <col min="6927" max="6927" width="0" style="278" hidden="1" customWidth="1"/>
    <col min="6928" max="6929" width="11.7109375" style="278" customWidth="1"/>
    <col min="6930" max="7168" width="9.28515625" style="278"/>
    <col min="7169" max="7169" width="70" style="278" customWidth="1"/>
    <col min="7170" max="7181" width="12.7109375" style="278" customWidth="1"/>
    <col min="7182" max="7182" width="11" style="278" customWidth="1"/>
    <col min="7183" max="7183" width="0" style="278" hidden="1" customWidth="1"/>
    <col min="7184" max="7185" width="11.7109375" style="278" customWidth="1"/>
    <col min="7186" max="7424" width="9.28515625" style="278"/>
    <col min="7425" max="7425" width="70" style="278" customWidth="1"/>
    <col min="7426" max="7437" width="12.7109375" style="278" customWidth="1"/>
    <col min="7438" max="7438" width="11" style="278" customWidth="1"/>
    <col min="7439" max="7439" width="0" style="278" hidden="1" customWidth="1"/>
    <col min="7440" max="7441" width="11.7109375" style="278" customWidth="1"/>
    <col min="7442" max="7680" width="9.28515625" style="278"/>
    <col min="7681" max="7681" width="70" style="278" customWidth="1"/>
    <col min="7682" max="7693" width="12.7109375" style="278" customWidth="1"/>
    <col min="7694" max="7694" width="11" style="278" customWidth="1"/>
    <col min="7695" max="7695" width="0" style="278" hidden="1" customWidth="1"/>
    <col min="7696" max="7697" width="11.7109375" style="278" customWidth="1"/>
    <col min="7698" max="7936" width="9.28515625" style="278"/>
    <col min="7937" max="7937" width="70" style="278" customWidth="1"/>
    <col min="7938" max="7949" width="12.7109375" style="278" customWidth="1"/>
    <col min="7950" max="7950" width="11" style="278" customWidth="1"/>
    <col min="7951" max="7951" width="0" style="278" hidden="1" customWidth="1"/>
    <col min="7952" max="7953" width="11.7109375" style="278" customWidth="1"/>
    <col min="7954" max="8192" width="9.28515625" style="278"/>
    <col min="8193" max="8193" width="70" style="278" customWidth="1"/>
    <col min="8194" max="8205" width="12.7109375" style="278" customWidth="1"/>
    <col min="8206" max="8206" width="11" style="278" customWidth="1"/>
    <col min="8207" max="8207" width="0" style="278" hidden="1" customWidth="1"/>
    <col min="8208" max="8209" width="11.7109375" style="278" customWidth="1"/>
    <col min="8210" max="8448" width="9.28515625" style="278"/>
    <col min="8449" max="8449" width="70" style="278" customWidth="1"/>
    <col min="8450" max="8461" width="12.7109375" style="278" customWidth="1"/>
    <col min="8462" max="8462" width="11" style="278" customWidth="1"/>
    <col min="8463" max="8463" width="0" style="278" hidden="1" customWidth="1"/>
    <col min="8464" max="8465" width="11.7109375" style="278" customWidth="1"/>
    <col min="8466" max="8704" width="9.28515625" style="278"/>
    <col min="8705" max="8705" width="70" style="278" customWidth="1"/>
    <col min="8706" max="8717" width="12.7109375" style="278" customWidth="1"/>
    <col min="8718" max="8718" width="11" style="278" customWidth="1"/>
    <col min="8719" max="8719" width="0" style="278" hidden="1" customWidth="1"/>
    <col min="8720" max="8721" width="11.7109375" style="278" customWidth="1"/>
    <col min="8722" max="8960" width="9.28515625" style="278"/>
    <col min="8961" max="8961" width="70" style="278" customWidth="1"/>
    <col min="8962" max="8973" width="12.7109375" style="278" customWidth="1"/>
    <col min="8974" max="8974" width="11" style="278" customWidth="1"/>
    <col min="8975" max="8975" width="0" style="278" hidden="1" customWidth="1"/>
    <col min="8976" max="8977" width="11.7109375" style="278" customWidth="1"/>
    <col min="8978" max="9216" width="9.28515625" style="278"/>
    <col min="9217" max="9217" width="70" style="278" customWidth="1"/>
    <col min="9218" max="9229" width="12.7109375" style="278" customWidth="1"/>
    <col min="9230" max="9230" width="11" style="278" customWidth="1"/>
    <col min="9231" max="9231" width="0" style="278" hidden="1" customWidth="1"/>
    <col min="9232" max="9233" width="11.7109375" style="278" customWidth="1"/>
    <col min="9234" max="9472" width="9.28515625" style="278"/>
    <col min="9473" max="9473" width="70" style="278" customWidth="1"/>
    <col min="9474" max="9485" width="12.7109375" style="278" customWidth="1"/>
    <col min="9486" max="9486" width="11" style="278" customWidth="1"/>
    <col min="9487" max="9487" width="0" style="278" hidden="1" customWidth="1"/>
    <col min="9488" max="9489" width="11.7109375" style="278" customWidth="1"/>
    <col min="9490" max="9728" width="9.28515625" style="278"/>
    <col min="9729" max="9729" width="70" style="278" customWidth="1"/>
    <col min="9730" max="9741" width="12.7109375" style="278" customWidth="1"/>
    <col min="9742" max="9742" width="11" style="278" customWidth="1"/>
    <col min="9743" max="9743" width="0" style="278" hidden="1" customWidth="1"/>
    <col min="9744" max="9745" width="11.7109375" style="278" customWidth="1"/>
    <col min="9746" max="9984" width="9.28515625" style="278"/>
    <col min="9985" max="9985" width="70" style="278" customWidth="1"/>
    <col min="9986" max="9997" width="12.7109375" style="278" customWidth="1"/>
    <col min="9998" max="9998" width="11" style="278" customWidth="1"/>
    <col min="9999" max="9999" width="0" style="278" hidden="1" customWidth="1"/>
    <col min="10000" max="10001" width="11.7109375" style="278" customWidth="1"/>
    <col min="10002" max="10240" width="9.28515625" style="278"/>
    <col min="10241" max="10241" width="70" style="278" customWidth="1"/>
    <col min="10242" max="10253" width="12.7109375" style="278" customWidth="1"/>
    <col min="10254" max="10254" width="11" style="278" customWidth="1"/>
    <col min="10255" max="10255" width="0" style="278" hidden="1" customWidth="1"/>
    <col min="10256" max="10257" width="11.7109375" style="278" customWidth="1"/>
    <col min="10258" max="10496" width="9.28515625" style="278"/>
    <col min="10497" max="10497" width="70" style="278" customWidth="1"/>
    <col min="10498" max="10509" width="12.7109375" style="278" customWidth="1"/>
    <col min="10510" max="10510" width="11" style="278" customWidth="1"/>
    <col min="10511" max="10511" width="0" style="278" hidden="1" customWidth="1"/>
    <col min="10512" max="10513" width="11.7109375" style="278" customWidth="1"/>
    <col min="10514" max="10752" width="9.28515625" style="278"/>
    <col min="10753" max="10753" width="70" style="278" customWidth="1"/>
    <col min="10754" max="10765" width="12.7109375" style="278" customWidth="1"/>
    <col min="10766" max="10766" width="11" style="278" customWidth="1"/>
    <col min="10767" max="10767" width="0" style="278" hidden="1" customWidth="1"/>
    <col min="10768" max="10769" width="11.7109375" style="278" customWidth="1"/>
    <col min="10770" max="11008" width="9.28515625" style="278"/>
    <col min="11009" max="11009" width="70" style="278" customWidth="1"/>
    <col min="11010" max="11021" width="12.7109375" style="278" customWidth="1"/>
    <col min="11022" max="11022" width="11" style="278" customWidth="1"/>
    <col min="11023" max="11023" width="0" style="278" hidden="1" customWidth="1"/>
    <col min="11024" max="11025" width="11.7109375" style="278" customWidth="1"/>
    <col min="11026" max="11264" width="9.28515625" style="278"/>
    <col min="11265" max="11265" width="70" style="278" customWidth="1"/>
    <col min="11266" max="11277" width="12.7109375" style="278" customWidth="1"/>
    <col min="11278" max="11278" width="11" style="278" customWidth="1"/>
    <col min="11279" max="11279" width="0" style="278" hidden="1" customWidth="1"/>
    <col min="11280" max="11281" width="11.7109375" style="278" customWidth="1"/>
    <col min="11282" max="11520" width="9.28515625" style="278"/>
    <col min="11521" max="11521" width="70" style="278" customWidth="1"/>
    <col min="11522" max="11533" width="12.7109375" style="278" customWidth="1"/>
    <col min="11534" max="11534" width="11" style="278" customWidth="1"/>
    <col min="11535" max="11535" width="0" style="278" hidden="1" customWidth="1"/>
    <col min="11536" max="11537" width="11.7109375" style="278" customWidth="1"/>
    <col min="11538" max="11776" width="9.28515625" style="278"/>
    <col min="11777" max="11777" width="70" style="278" customWidth="1"/>
    <col min="11778" max="11789" width="12.7109375" style="278" customWidth="1"/>
    <col min="11790" max="11790" width="11" style="278" customWidth="1"/>
    <col min="11791" max="11791" width="0" style="278" hidden="1" customWidth="1"/>
    <col min="11792" max="11793" width="11.7109375" style="278" customWidth="1"/>
    <col min="11794" max="12032" width="9.28515625" style="278"/>
    <col min="12033" max="12033" width="70" style="278" customWidth="1"/>
    <col min="12034" max="12045" width="12.7109375" style="278" customWidth="1"/>
    <col min="12046" max="12046" width="11" style="278" customWidth="1"/>
    <col min="12047" max="12047" width="0" style="278" hidden="1" customWidth="1"/>
    <col min="12048" max="12049" width="11.7109375" style="278" customWidth="1"/>
    <col min="12050" max="12288" width="9.28515625" style="278"/>
    <col min="12289" max="12289" width="70" style="278" customWidth="1"/>
    <col min="12290" max="12301" width="12.7109375" style="278" customWidth="1"/>
    <col min="12302" max="12302" width="11" style="278" customWidth="1"/>
    <col min="12303" max="12303" width="0" style="278" hidden="1" customWidth="1"/>
    <col min="12304" max="12305" width="11.7109375" style="278" customWidth="1"/>
    <col min="12306" max="12544" width="9.28515625" style="278"/>
    <col min="12545" max="12545" width="70" style="278" customWidth="1"/>
    <col min="12546" max="12557" width="12.7109375" style="278" customWidth="1"/>
    <col min="12558" max="12558" width="11" style="278" customWidth="1"/>
    <col min="12559" max="12559" width="0" style="278" hidden="1" customWidth="1"/>
    <col min="12560" max="12561" width="11.7109375" style="278" customWidth="1"/>
    <col min="12562" max="12800" width="9.28515625" style="278"/>
    <col min="12801" max="12801" width="70" style="278" customWidth="1"/>
    <col min="12802" max="12813" width="12.7109375" style="278" customWidth="1"/>
    <col min="12814" max="12814" width="11" style="278" customWidth="1"/>
    <col min="12815" max="12815" width="0" style="278" hidden="1" customWidth="1"/>
    <col min="12816" max="12817" width="11.7109375" style="278" customWidth="1"/>
    <col min="12818" max="13056" width="9.28515625" style="278"/>
    <col min="13057" max="13057" width="70" style="278" customWidth="1"/>
    <col min="13058" max="13069" width="12.7109375" style="278" customWidth="1"/>
    <col min="13070" max="13070" width="11" style="278" customWidth="1"/>
    <col min="13071" max="13071" width="0" style="278" hidden="1" customWidth="1"/>
    <col min="13072" max="13073" width="11.7109375" style="278" customWidth="1"/>
    <col min="13074" max="13312" width="9.28515625" style="278"/>
    <col min="13313" max="13313" width="70" style="278" customWidth="1"/>
    <col min="13314" max="13325" width="12.7109375" style="278" customWidth="1"/>
    <col min="13326" max="13326" width="11" style="278" customWidth="1"/>
    <col min="13327" max="13327" width="0" style="278" hidden="1" customWidth="1"/>
    <col min="13328" max="13329" width="11.7109375" style="278" customWidth="1"/>
    <col min="13330" max="13568" width="9.28515625" style="278"/>
    <col min="13569" max="13569" width="70" style="278" customWidth="1"/>
    <col min="13570" max="13581" width="12.7109375" style="278" customWidth="1"/>
    <col min="13582" max="13582" width="11" style="278" customWidth="1"/>
    <col min="13583" max="13583" width="0" style="278" hidden="1" customWidth="1"/>
    <col min="13584" max="13585" width="11.7109375" style="278" customWidth="1"/>
    <col min="13586" max="13824" width="9.28515625" style="278"/>
    <col min="13825" max="13825" width="70" style="278" customWidth="1"/>
    <col min="13826" max="13837" width="12.7109375" style="278" customWidth="1"/>
    <col min="13838" max="13838" width="11" style="278" customWidth="1"/>
    <col min="13839" max="13839" width="0" style="278" hidden="1" customWidth="1"/>
    <col min="13840" max="13841" width="11.7109375" style="278" customWidth="1"/>
    <col min="13842" max="14080" width="9.28515625" style="278"/>
    <col min="14081" max="14081" width="70" style="278" customWidth="1"/>
    <col min="14082" max="14093" width="12.7109375" style="278" customWidth="1"/>
    <col min="14094" max="14094" width="11" style="278" customWidth="1"/>
    <col min="14095" max="14095" width="0" style="278" hidden="1" customWidth="1"/>
    <col min="14096" max="14097" width="11.7109375" style="278" customWidth="1"/>
    <col min="14098" max="14336" width="9.28515625" style="278"/>
    <col min="14337" max="14337" width="70" style="278" customWidth="1"/>
    <col min="14338" max="14349" width="12.7109375" style="278" customWidth="1"/>
    <col min="14350" max="14350" width="11" style="278" customWidth="1"/>
    <col min="14351" max="14351" width="0" style="278" hidden="1" customWidth="1"/>
    <col min="14352" max="14353" width="11.7109375" style="278" customWidth="1"/>
    <col min="14354" max="14592" width="9.28515625" style="278"/>
    <col min="14593" max="14593" width="70" style="278" customWidth="1"/>
    <col min="14594" max="14605" width="12.7109375" style="278" customWidth="1"/>
    <col min="14606" max="14606" width="11" style="278" customWidth="1"/>
    <col min="14607" max="14607" width="0" style="278" hidden="1" customWidth="1"/>
    <col min="14608" max="14609" width="11.7109375" style="278" customWidth="1"/>
    <col min="14610" max="14848" width="9.28515625" style="278"/>
    <col min="14849" max="14849" width="70" style="278" customWidth="1"/>
    <col min="14850" max="14861" width="12.7109375" style="278" customWidth="1"/>
    <col min="14862" max="14862" width="11" style="278" customWidth="1"/>
    <col min="14863" max="14863" width="0" style="278" hidden="1" customWidth="1"/>
    <col min="14864" max="14865" width="11.7109375" style="278" customWidth="1"/>
    <col min="14866" max="15104" width="9.28515625" style="278"/>
    <col min="15105" max="15105" width="70" style="278" customWidth="1"/>
    <col min="15106" max="15117" width="12.7109375" style="278" customWidth="1"/>
    <col min="15118" max="15118" width="11" style="278" customWidth="1"/>
    <col min="15119" max="15119" width="0" style="278" hidden="1" customWidth="1"/>
    <col min="15120" max="15121" width="11.7109375" style="278" customWidth="1"/>
    <col min="15122" max="15360" width="9.28515625" style="278"/>
    <col min="15361" max="15361" width="70" style="278" customWidth="1"/>
    <col min="15362" max="15373" width="12.7109375" style="278" customWidth="1"/>
    <col min="15374" max="15374" width="11" style="278" customWidth="1"/>
    <col min="15375" max="15375" width="0" style="278" hidden="1" customWidth="1"/>
    <col min="15376" max="15377" width="11.7109375" style="278" customWidth="1"/>
    <col min="15378" max="15616" width="9.28515625" style="278"/>
    <col min="15617" max="15617" width="70" style="278" customWidth="1"/>
    <col min="15618" max="15629" width="12.7109375" style="278" customWidth="1"/>
    <col min="15630" max="15630" width="11" style="278" customWidth="1"/>
    <col min="15631" max="15631" width="0" style="278" hidden="1" customWidth="1"/>
    <col min="15632" max="15633" width="11.7109375" style="278" customWidth="1"/>
    <col min="15634" max="15872" width="9.28515625" style="278"/>
    <col min="15873" max="15873" width="70" style="278" customWidth="1"/>
    <col min="15874" max="15885" width="12.7109375" style="278" customWidth="1"/>
    <col min="15886" max="15886" width="11" style="278" customWidth="1"/>
    <col min="15887" max="15887" width="0" style="278" hidden="1" customWidth="1"/>
    <col min="15888" max="15889" width="11.7109375" style="278" customWidth="1"/>
    <col min="15890" max="16128" width="9.28515625" style="278"/>
    <col min="16129" max="16129" width="70" style="278" customWidth="1"/>
    <col min="16130" max="16141" width="12.7109375" style="278" customWidth="1"/>
    <col min="16142" max="16142" width="11" style="278" customWidth="1"/>
    <col min="16143" max="16143" width="0" style="278" hidden="1" customWidth="1"/>
    <col min="16144" max="16145" width="11.7109375" style="278" customWidth="1"/>
    <col min="16146" max="16384" width="9.28515625" style="278"/>
  </cols>
  <sheetData>
    <row r="1" spans="1:17" ht="13.5" customHeight="1">
      <c r="L1" s="279"/>
      <c r="O1" s="279"/>
      <c r="P1" s="279"/>
      <c r="Q1" s="279"/>
    </row>
    <row r="2" spans="1:17" ht="13.5" customHeight="1">
      <c r="C2" s="408" t="s">
        <v>39</v>
      </c>
      <c r="L2" s="279"/>
      <c r="O2" s="279"/>
      <c r="P2" s="279"/>
      <c r="Q2" s="279"/>
    </row>
    <row r="3" spans="1:17" ht="13.5" customHeight="1">
      <c r="C3" s="408" t="s">
        <v>141</v>
      </c>
      <c r="F3" s="280"/>
      <c r="G3" s="280"/>
      <c r="H3" s="280"/>
      <c r="I3" s="280"/>
      <c r="L3" s="279"/>
      <c r="O3" s="279"/>
      <c r="P3" s="279"/>
      <c r="Q3" s="279"/>
    </row>
    <row r="4" spans="1:17" ht="13.5" customHeight="1">
      <c r="B4" s="280"/>
      <c r="C4" s="409" t="str">
        <f>'Program MW '!H3</f>
        <v>August 2020</v>
      </c>
      <c r="D4" s="280"/>
      <c r="L4" s="279"/>
      <c r="O4" s="279"/>
      <c r="P4" s="279"/>
      <c r="Q4" s="279"/>
    </row>
    <row r="5" spans="1:17" ht="13.5" customHeight="1">
      <c r="L5" s="279"/>
      <c r="O5" s="279"/>
      <c r="P5" s="279"/>
      <c r="Q5" s="279"/>
    </row>
    <row r="6" spans="1:17" s="292" customFormat="1" ht="13.5" customHeight="1"/>
    <row r="7" spans="1:17" s="292" customFormat="1" ht="18" customHeight="1">
      <c r="A7" s="329"/>
      <c r="B7" s="410" t="s">
        <v>142</v>
      </c>
      <c r="C7" s="329"/>
      <c r="D7" s="329"/>
      <c r="E7" s="329"/>
      <c r="F7" s="329"/>
      <c r="G7" s="329"/>
      <c r="H7" s="329"/>
      <c r="I7" s="329"/>
      <c r="J7" s="329"/>
      <c r="K7" s="329"/>
      <c r="L7" s="329"/>
      <c r="M7" s="330"/>
      <c r="N7" s="691" t="s">
        <v>143</v>
      </c>
      <c r="O7" s="689" t="s">
        <v>144</v>
      </c>
      <c r="P7" s="293"/>
      <c r="Q7" s="691" t="s">
        <v>145</v>
      </c>
    </row>
    <row r="8" spans="1:17" s="292" customFormat="1" ht="39" customHeight="1">
      <c r="A8" s="398"/>
      <c r="B8" s="411" t="s">
        <v>41</v>
      </c>
      <c r="C8" s="412" t="s">
        <v>42</v>
      </c>
      <c r="D8" s="412" t="s">
        <v>43</v>
      </c>
      <c r="E8" s="412" t="s">
        <v>44</v>
      </c>
      <c r="F8" s="412" t="s">
        <v>31</v>
      </c>
      <c r="G8" s="412" t="s">
        <v>45</v>
      </c>
      <c r="H8" s="412" t="s">
        <v>60</v>
      </c>
      <c r="I8" s="412" t="s">
        <v>75</v>
      </c>
      <c r="J8" s="412" t="s">
        <v>76</v>
      </c>
      <c r="K8" s="454" t="s">
        <v>146</v>
      </c>
      <c r="L8" s="412" t="s">
        <v>77</v>
      </c>
      <c r="M8" s="413" t="s">
        <v>63</v>
      </c>
      <c r="N8" s="692"/>
      <c r="O8" s="690"/>
      <c r="P8" s="294" t="s">
        <v>147</v>
      </c>
      <c r="Q8" s="692"/>
    </row>
    <row r="9" spans="1:17" s="292" customFormat="1" ht="15.75">
      <c r="A9" s="418" t="s">
        <v>148</v>
      </c>
      <c r="B9" s="396"/>
      <c r="N9" s="337"/>
      <c r="Q9" s="301"/>
    </row>
    <row r="10" spans="1:17" s="292" customFormat="1" ht="12.75">
      <c r="A10" s="414" t="s">
        <v>149</v>
      </c>
      <c r="B10" s="396"/>
      <c r="C10" s="396"/>
      <c r="D10" s="396"/>
      <c r="E10" s="396"/>
      <c r="F10" s="396"/>
      <c r="G10" s="396"/>
      <c r="H10" s="396"/>
      <c r="I10" s="396"/>
      <c r="J10" s="396"/>
      <c r="K10" s="396"/>
      <c r="L10" s="396"/>
      <c r="M10" s="396"/>
      <c r="N10" s="337"/>
      <c r="O10" s="395"/>
      <c r="P10" s="296"/>
      <c r="Q10" s="302"/>
    </row>
    <row r="11" spans="1:17" s="292" customFormat="1" ht="12.75">
      <c r="A11" s="415" t="s">
        <v>150</v>
      </c>
      <c r="B11" s="593">
        <v>14260.61</v>
      </c>
      <c r="C11" s="593">
        <v>38618.559999999998</v>
      </c>
      <c r="D11" s="593">
        <v>65925.58</v>
      </c>
      <c r="E11" s="593">
        <v>60546.049999999996</v>
      </c>
      <c r="F11" s="593">
        <v>28183</v>
      </c>
      <c r="G11" s="593">
        <v>27409.63</v>
      </c>
      <c r="H11" s="593">
        <v>29410.42</v>
      </c>
      <c r="I11" s="593">
        <v>24717.63</v>
      </c>
      <c r="J11" s="593">
        <v>0</v>
      </c>
      <c r="K11" s="593">
        <v>0</v>
      </c>
      <c r="L11" s="593">
        <v>0</v>
      </c>
      <c r="M11" s="593">
        <v>0</v>
      </c>
      <c r="N11" s="601">
        <f>SUM(B11:M11)</f>
        <v>289071.48</v>
      </c>
      <c r="O11" s="602">
        <f>707141+443068+N11</f>
        <v>1439280.48</v>
      </c>
      <c r="P11" s="603"/>
      <c r="Q11" s="597">
        <f>857842+424005+425005</f>
        <v>1706852</v>
      </c>
    </row>
    <row r="12" spans="1:17" s="292" customFormat="1" ht="14.25">
      <c r="A12" s="415" t="s">
        <v>151</v>
      </c>
      <c r="B12" s="593">
        <v>0</v>
      </c>
      <c r="C12" s="593">
        <v>0</v>
      </c>
      <c r="D12" s="593">
        <v>0</v>
      </c>
      <c r="E12" s="593">
        <v>105.33</v>
      </c>
      <c r="F12" s="593">
        <v>47.64</v>
      </c>
      <c r="G12" s="593">
        <v>1049.6499999999999</v>
      </c>
      <c r="H12" s="593">
        <v>-156.18</v>
      </c>
      <c r="I12" s="593">
        <v>1720.7199999999998</v>
      </c>
      <c r="J12" s="593">
        <v>0</v>
      </c>
      <c r="K12" s="593">
        <v>0</v>
      </c>
      <c r="L12" s="593">
        <v>0</v>
      </c>
      <c r="M12" s="593">
        <v>0</v>
      </c>
      <c r="N12" s="594">
        <f t="shared" ref="N12:N22" si="0">SUM(B12:M12)</f>
        <v>2767.16</v>
      </c>
      <c r="O12" s="595">
        <f>7806+9482+N12</f>
        <v>20055.16</v>
      </c>
      <c r="P12" s="596"/>
      <c r="Q12" s="597">
        <v>35302</v>
      </c>
    </row>
    <row r="13" spans="1:17" s="292" customFormat="1" ht="12.75">
      <c r="A13" s="415" t="s">
        <v>152</v>
      </c>
      <c r="B13" s="593">
        <v>0</v>
      </c>
      <c r="C13" s="593">
        <v>0</v>
      </c>
      <c r="D13" s="593">
        <v>0</v>
      </c>
      <c r="E13" s="593">
        <v>0</v>
      </c>
      <c r="F13" s="593">
        <v>0</v>
      </c>
      <c r="G13" s="593">
        <v>0</v>
      </c>
      <c r="H13" s="593">
        <v>0</v>
      </c>
      <c r="I13" s="593">
        <v>0</v>
      </c>
      <c r="J13" s="593">
        <v>0</v>
      </c>
      <c r="K13" s="593">
        <v>0</v>
      </c>
      <c r="L13" s="593">
        <v>0</v>
      </c>
      <c r="M13" s="593">
        <v>0</v>
      </c>
      <c r="N13" s="594">
        <f t="shared" si="0"/>
        <v>0</v>
      </c>
      <c r="O13" s="595">
        <f>0+N13</f>
        <v>0</v>
      </c>
      <c r="P13" s="598"/>
      <c r="Q13" s="599">
        <v>1000</v>
      </c>
    </row>
    <row r="14" spans="1:17" s="292" customFormat="1" ht="14.25">
      <c r="A14" s="415" t="s">
        <v>153</v>
      </c>
      <c r="B14" s="593">
        <v>0</v>
      </c>
      <c r="C14" s="593">
        <v>0</v>
      </c>
      <c r="D14" s="593">
        <v>0</v>
      </c>
      <c r="E14" s="593">
        <v>209.39</v>
      </c>
      <c r="F14" s="593">
        <v>478.83</v>
      </c>
      <c r="G14" s="593">
        <v>2086.67</v>
      </c>
      <c r="H14" s="593">
        <v>-310.49</v>
      </c>
      <c r="I14" s="593">
        <v>3420.71</v>
      </c>
      <c r="J14" s="593">
        <v>0</v>
      </c>
      <c r="K14" s="593">
        <v>0</v>
      </c>
      <c r="L14" s="593">
        <v>0</v>
      </c>
      <c r="M14" s="593">
        <v>0</v>
      </c>
      <c r="N14" s="594">
        <f t="shared" si="0"/>
        <v>5885.1100000000006</v>
      </c>
      <c r="O14" s="595">
        <f>4890+16665+N14</f>
        <v>27440.11</v>
      </c>
      <c r="P14" s="598"/>
      <c r="Q14" s="599">
        <v>78149</v>
      </c>
    </row>
    <row r="15" spans="1:17" s="292" customFormat="1" ht="14.25">
      <c r="A15" s="415" t="s">
        <v>154</v>
      </c>
      <c r="B15" s="593">
        <v>0</v>
      </c>
      <c r="C15" s="593">
        <v>0</v>
      </c>
      <c r="D15" s="593">
        <v>0</v>
      </c>
      <c r="E15" s="593">
        <v>519.02</v>
      </c>
      <c r="F15" s="593">
        <v>1186.9199999999998</v>
      </c>
      <c r="G15" s="593">
        <v>5168.42</v>
      </c>
      <c r="H15" s="593">
        <v>-769.66000000000008</v>
      </c>
      <c r="I15" s="593">
        <v>15279.8</v>
      </c>
      <c r="J15" s="593">
        <v>0</v>
      </c>
      <c r="K15" s="593">
        <v>0</v>
      </c>
      <c r="L15" s="593">
        <v>0</v>
      </c>
      <c r="M15" s="593">
        <v>0</v>
      </c>
      <c r="N15" s="594">
        <f t="shared" si="0"/>
        <v>21384.5</v>
      </c>
      <c r="O15" s="595">
        <f>49397+43752+N15</f>
        <v>114533.5</v>
      </c>
      <c r="P15" s="596"/>
      <c r="Q15" s="597">
        <f>606299/2</f>
        <v>303149.5</v>
      </c>
    </row>
    <row r="16" spans="1:17" s="292" customFormat="1" ht="14.25">
      <c r="A16" s="415" t="s">
        <v>155</v>
      </c>
      <c r="B16" s="593">
        <v>0</v>
      </c>
      <c r="C16" s="593">
        <v>0</v>
      </c>
      <c r="D16" s="593">
        <v>0</v>
      </c>
      <c r="E16" s="593">
        <v>1211.9000000000001</v>
      </c>
      <c r="F16" s="593">
        <v>5021.41</v>
      </c>
      <c r="G16" s="593">
        <v>16592.310000000001</v>
      </c>
      <c r="H16" s="593">
        <v>-1797.0600000000002</v>
      </c>
      <c r="I16" s="593">
        <v>19798.63</v>
      </c>
      <c r="J16" s="593">
        <v>0</v>
      </c>
      <c r="K16" s="593">
        <v>0</v>
      </c>
      <c r="L16" s="593">
        <v>0</v>
      </c>
      <c r="M16" s="593">
        <v>0</v>
      </c>
      <c r="N16" s="594">
        <f t="shared" si="0"/>
        <v>40827.19</v>
      </c>
      <c r="O16" s="595">
        <f>30844+118853+N16</f>
        <v>190524.19</v>
      </c>
      <c r="P16" s="598"/>
      <c r="Q16" s="599">
        <v>303150</v>
      </c>
    </row>
    <row r="17" spans="1:122" s="292" customFormat="1" ht="14.25">
      <c r="A17" s="415" t="s">
        <v>156</v>
      </c>
      <c r="B17" s="593">
        <v>0</v>
      </c>
      <c r="C17" s="593">
        <v>0</v>
      </c>
      <c r="D17" s="593">
        <v>0</v>
      </c>
      <c r="E17" s="593">
        <v>1834.97</v>
      </c>
      <c r="F17" s="593">
        <v>4196.3</v>
      </c>
      <c r="G17" s="593">
        <v>18286.830000000002</v>
      </c>
      <c r="H17" s="593">
        <v>-2721.01</v>
      </c>
      <c r="I17" s="593">
        <v>29977.850000000002</v>
      </c>
      <c r="J17" s="593">
        <v>0</v>
      </c>
      <c r="K17" s="593">
        <v>0</v>
      </c>
      <c r="L17" s="593">
        <v>0</v>
      </c>
      <c r="M17" s="593">
        <v>0</v>
      </c>
      <c r="N17" s="594">
        <f t="shared" si="0"/>
        <v>51574.94</v>
      </c>
      <c r="O17" s="595">
        <f>73279+155232+N17</f>
        <v>280085.94</v>
      </c>
      <c r="P17" s="598"/>
      <c r="Q17" s="599">
        <v>643043</v>
      </c>
    </row>
    <row r="18" spans="1:122" s="292" customFormat="1" ht="14.25">
      <c r="A18" s="416" t="s">
        <v>157</v>
      </c>
      <c r="B18" s="593">
        <v>0</v>
      </c>
      <c r="C18" s="593">
        <v>0</v>
      </c>
      <c r="D18" s="593">
        <v>0</v>
      </c>
      <c r="E18" s="593">
        <v>944.13000000000011</v>
      </c>
      <c r="F18" s="593">
        <v>2352.33</v>
      </c>
      <c r="G18" s="593">
        <v>9408.9700000000012</v>
      </c>
      <c r="H18" s="593">
        <v>-1400.01</v>
      </c>
      <c r="I18" s="593">
        <v>15424.27</v>
      </c>
      <c r="J18" s="593">
        <v>0</v>
      </c>
      <c r="K18" s="593">
        <v>0</v>
      </c>
      <c r="L18" s="593">
        <v>0</v>
      </c>
      <c r="M18" s="593">
        <v>0</v>
      </c>
      <c r="N18" s="594">
        <f t="shared" si="0"/>
        <v>26729.690000000002</v>
      </c>
      <c r="O18" s="595">
        <f>21090+92048+N18</f>
        <v>139867.69</v>
      </c>
      <c r="P18" s="598"/>
      <c r="Q18" s="599">
        <v>383701</v>
      </c>
    </row>
    <row r="19" spans="1:122" s="292" customFormat="1" ht="16.5">
      <c r="A19" s="416" t="s">
        <v>158</v>
      </c>
      <c r="B19" s="593">
        <v>385</v>
      </c>
      <c r="C19" s="593">
        <v>5068</v>
      </c>
      <c r="D19" s="593">
        <v>-1050</v>
      </c>
      <c r="E19" s="593">
        <v>3145.85</v>
      </c>
      <c r="F19" s="593">
        <v>7194.05</v>
      </c>
      <c r="G19" s="593">
        <v>31405.890000000003</v>
      </c>
      <c r="H19" s="593">
        <v>-1194.8400000000001</v>
      </c>
      <c r="I19" s="593">
        <v>44666.89</v>
      </c>
      <c r="J19" s="593">
        <v>0</v>
      </c>
      <c r="K19" s="593">
        <v>0</v>
      </c>
      <c r="L19" s="593">
        <v>0</v>
      </c>
      <c r="M19" s="593">
        <v>0</v>
      </c>
      <c r="N19" s="594">
        <f t="shared" si="0"/>
        <v>89620.840000000011</v>
      </c>
      <c r="O19" s="595">
        <f>107380+332447+N19</f>
        <v>529447.84</v>
      </c>
      <c r="P19" s="598"/>
      <c r="Q19" s="599">
        <v>1102357</v>
      </c>
    </row>
    <row r="20" spans="1:122" s="292" customFormat="1" ht="16.5">
      <c r="A20" s="416" t="s">
        <v>159</v>
      </c>
      <c r="B20" s="593">
        <v>5222.442</v>
      </c>
      <c r="C20" s="593">
        <v>0</v>
      </c>
      <c r="D20" s="593">
        <v>-244.96</v>
      </c>
      <c r="E20" s="593">
        <v>4719.42</v>
      </c>
      <c r="F20" s="593">
        <v>10792.54</v>
      </c>
      <c r="G20" s="593">
        <v>47032.25</v>
      </c>
      <c r="H20" s="593">
        <v>-4333.2599999999993</v>
      </c>
      <c r="I20" s="593">
        <v>115956.73999999999</v>
      </c>
      <c r="J20" s="593">
        <v>0</v>
      </c>
      <c r="K20" s="593">
        <v>0</v>
      </c>
      <c r="L20" s="593">
        <v>0</v>
      </c>
      <c r="M20" s="593">
        <v>0</v>
      </c>
      <c r="N20" s="594">
        <f t="shared" si="0"/>
        <v>179145.17199999999</v>
      </c>
      <c r="O20" s="595">
        <f>210841+454256+N20</f>
        <v>844242.17200000002</v>
      </c>
      <c r="P20" s="598"/>
      <c r="Q20" s="599">
        <v>1653537</v>
      </c>
    </row>
    <row r="21" spans="1:122" s="292" customFormat="1" ht="12.75">
      <c r="A21" s="416" t="s">
        <v>160</v>
      </c>
      <c r="B21" s="593">
        <v>0</v>
      </c>
      <c r="C21" s="593">
        <v>0</v>
      </c>
      <c r="D21" s="593">
        <v>0</v>
      </c>
      <c r="E21" s="593">
        <v>0</v>
      </c>
      <c r="F21" s="593">
        <v>0</v>
      </c>
      <c r="G21" s="593">
        <v>0</v>
      </c>
      <c r="H21" s="593">
        <v>0</v>
      </c>
      <c r="I21" s="593">
        <v>0</v>
      </c>
      <c r="J21" s="593">
        <v>0</v>
      </c>
      <c r="K21" s="593">
        <v>0</v>
      </c>
      <c r="L21" s="593">
        <v>0</v>
      </c>
      <c r="M21" s="593">
        <v>0</v>
      </c>
      <c r="N21" s="594">
        <f t="shared" si="0"/>
        <v>0</v>
      </c>
      <c r="O21" s="595">
        <f>2329+N21</f>
        <v>2329</v>
      </c>
      <c r="P21" s="598"/>
      <c r="Q21" s="599">
        <v>0</v>
      </c>
    </row>
    <row r="22" spans="1:122" s="292" customFormat="1" ht="12.75">
      <c r="A22" s="417" t="s">
        <v>161</v>
      </c>
      <c r="B22" s="593">
        <v>0</v>
      </c>
      <c r="C22" s="593">
        <v>0</v>
      </c>
      <c r="D22" s="593">
        <v>0</v>
      </c>
      <c r="E22" s="593">
        <v>0</v>
      </c>
      <c r="F22" s="593">
        <v>0</v>
      </c>
      <c r="G22" s="593">
        <v>0</v>
      </c>
      <c r="H22" s="593">
        <v>0</v>
      </c>
      <c r="I22" s="593">
        <v>0</v>
      </c>
      <c r="J22" s="593">
        <v>0</v>
      </c>
      <c r="K22" s="593">
        <v>0</v>
      </c>
      <c r="L22" s="593">
        <v>0</v>
      </c>
      <c r="M22" s="593">
        <v>0</v>
      </c>
      <c r="N22" s="600">
        <f t="shared" si="0"/>
        <v>0</v>
      </c>
      <c r="O22" s="595">
        <f>530.37+N22</f>
        <v>530.37</v>
      </c>
      <c r="P22" s="598"/>
      <c r="Q22" s="599">
        <v>50000</v>
      </c>
    </row>
    <row r="23" spans="1:122" s="297" customFormat="1" ht="15.75">
      <c r="A23" s="419" t="s">
        <v>162</v>
      </c>
      <c r="B23" s="604">
        <f t="shared" ref="B23:O23" si="1">SUM(B11:B22)</f>
        <v>19868.052</v>
      </c>
      <c r="C23" s="604">
        <f t="shared" si="1"/>
        <v>43686.559999999998</v>
      </c>
      <c r="D23" s="604">
        <f t="shared" si="1"/>
        <v>64630.62</v>
      </c>
      <c r="E23" s="604">
        <f t="shared" si="1"/>
        <v>73236.06</v>
      </c>
      <c r="F23" s="604">
        <f t="shared" si="1"/>
        <v>59453.020000000011</v>
      </c>
      <c r="G23" s="604">
        <f t="shared" si="1"/>
        <v>158440.62</v>
      </c>
      <c r="H23" s="604">
        <f t="shared" si="1"/>
        <v>16727.91</v>
      </c>
      <c r="I23" s="604">
        <f t="shared" si="1"/>
        <v>270963.24</v>
      </c>
      <c r="J23" s="604">
        <f t="shared" si="1"/>
        <v>0</v>
      </c>
      <c r="K23" s="604">
        <f t="shared" si="1"/>
        <v>0</v>
      </c>
      <c r="L23" s="604">
        <f t="shared" si="1"/>
        <v>0</v>
      </c>
      <c r="M23" s="604">
        <f t="shared" si="1"/>
        <v>0</v>
      </c>
      <c r="N23" s="605">
        <f>SUM(N11:N22)</f>
        <v>707006.08199999994</v>
      </c>
      <c r="O23" s="606">
        <f t="shared" si="1"/>
        <v>3588336.4519999996</v>
      </c>
      <c r="P23" s="607"/>
      <c r="Q23" s="606">
        <f>SUM(Q11:Q22)</f>
        <v>6260240.5</v>
      </c>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row>
    <row r="24" spans="1:122" s="292" customFormat="1" ht="12.75">
      <c r="A24" s="303"/>
      <c r="B24" s="608"/>
      <c r="C24" s="609"/>
      <c r="D24" s="609"/>
      <c r="E24" s="609"/>
      <c r="F24" s="609"/>
      <c r="G24" s="609"/>
      <c r="H24" s="609"/>
      <c r="I24" s="609"/>
      <c r="J24" s="609"/>
      <c r="K24" s="609"/>
      <c r="L24" s="609"/>
      <c r="M24" s="609"/>
      <c r="N24" s="609"/>
      <c r="O24" s="609"/>
      <c r="P24" s="609"/>
      <c r="Q24" s="610"/>
    </row>
    <row r="25" spans="1:122" s="292" customFormat="1" ht="15.75">
      <c r="A25" s="420" t="s">
        <v>163</v>
      </c>
      <c r="B25" s="608"/>
      <c r="C25" s="611"/>
      <c r="D25" s="611"/>
      <c r="E25" s="611"/>
      <c r="F25" s="611"/>
      <c r="G25" s="611"/>
      <c r="H25" s="611"/>
      <c r="I25" s="611"/>
      <c r="J25" s="611"/>
      <c r="K25" s="611"/>
      <c r="L25" s="611"/>
      <c r="M25" s="611"/>
      <c r="N25" s="612"/>
      <c r="O25" s="611"/>
      <c r="P25" s="609"/>
      <c r="Q25" s="613"/>
    </row>
    <row r="26" spans="1:122" s="292" customFormat="1" ht="12.75">
      <c r="A26" s="416" t="s">
        <v>164</v>
      </c>
      <c r="B26" s="614">
        <v>0</v>
      </c>
      <c r="C26" s="615">
        <v>0</v>
      </c>
      <c r="D26" s="615">
        <v>0</v>
      </c>
      <c r="E26" s="615">
        <v>0</v>
      </c>
      <c r="F26" s="615">
        <v>0</v>
      </c>
      <c r="G26" s="615">
        <v>0</v>
      </c>
      <c r="H26" s="615">
        <v>0</v>
      </c>
      <c r="I26" s="615">
        <v>0</v>
      </c>
      <c r="J26" s="615">
        <v>0</v>
      </c>
      <c r="K26" s="615">
        <v>0</v>
      </c>
      <c r="L26" s="615">
        <v>0</v>
      </c>
      <c r="M26" s="616">
        <v>0</v>
      </c>
      <c r="N26" s="599">
        <f t="shared" ref="N26:N30" si="2">SUM(B26:M26)</f>
        <v>0</v>
      </c>
      <c r="O26" s="617">
        <f>0+N26</f>
        <v>0</v>
      </c>
      <c r="P26" s="609"/>
      <c r="Q26" s="610"/>
    </row>
    <row r="27" spans="1:122" s="292" customFormat="1" ht="16.5">
      <c r="A27" s="415" t="s">
        <v>165</v>
      </c>
      <c r="B27" s="618">
        <v>400.64</v>
      </c>
      <c r="C27" s="593">
        <v>0</v>
      </c>
      <c r="D27" s="593">
        <v>-1294.95</v>
      </c>
      <c r="E27" s="593">
        <v>0</v>
      </c>
      <c r="F27" s="593">
        <v>2250</v>
      </c>
      <c r="G27" s="593">
        <v>0</v>
      </c>
      <c r="H27" s="593">
        <v>6134.95</v>
      </c>
      <c r="I27" s="593">
        <v>19265.82</v>
      </c>
      <c r="J27" s="593">
        <v>0</v>
      </c>
      <c r="K27" s="593">
        <v>0</v>
      </c>
      <c r="L27" s="593">
        <v>0</v>
      </c>
      <c r="M27" s="599">
        <v>0</v>
      </c>
      <c r="N27" s="599">
        <f t="shared" si="2"/>
        <v>26756.46</v>
      </c>
      <c r="O27" s="595">
        <f>79345+33670+N27</f>
        <v>139771.46</v>
      </c>
      <c r="P27" s="609"/>
      <c r="Q27" s="610"/>
    </row>
    <row r="28" spans="1:122" s="292" customFormat="1" ht="12.75">
      <c r="A28" s="415" t="s">
        <v>166</v>
      </c>
      <c r="B28" s="618">
        <v>14249.57</v>
      </c>
      <c r="C28" s="593">
        <v>23788.179999999993</v>
      </c>
      <c r="D28" s="593">
        <v>23213.869999999992</v>
      </c>
      <c r="E28" s="593">
        <v>28825.01999999999</v>
      </c>
      <c r="F28" s="593">
        <v>23882.450000000004</v>
      </c>
      <c r="G28" s="593">
        <v>24572.129999999997</v>
      </c>
      <c r="H28" s="593">
        <v>24822.92</v>
      </c>
      <c r="I28" s="593">
        <v>12835.38</v>
      </c>
      <c r="J28" s="593">
        <v>0</v>
      </c>
      <c r="K28" s="593">
        <v>0</v>
      </c>
      <c r="L28" s="593">
        <v>0</v>
      </c>
      <c r="M28" s="599">
        <v>0</v>
      </c>
      <c r="N28" s="599">
        <f t="shared" si="2"/>
        <v>176189.51999999996</v>
      </c>
      <c r="O28" s="595">
        <f>426331+346126+N28</f>
        <v>948646.52</v>
      </c>
      <c r="P28" s="609"/>
      <c r="Q28" s="610"/>
    </row>
    <row r="29" spans="1:122" s="292" customFormat="1" ht="14.25">
      <c r="A29" s="415" t="s">
        <v>167</v>
      </c>
      <c r="B29" s="618">
        <v>0</v>
      </c>
      <c r="C29" s="593">
        <v>10843</v>
      </c>
      <c r="D29" s="593">
        <v>0</v>
      </c>
      <c r="E29" s="593">
        <v>12690</v>
      </c>
      <c r="F29" s="593">
        <v>29432.5</v>
      </c>
      <c r="G29" s="593">
        <v>131030.98999999999</v>
      </c>
      <c r="H29" s="593">
        <v>-18817.43</v>
      </c>
      <c r="I29" s="593">
        <v>226979.71000000002</v>
      </c>
      <c r="J29" s="593">
        <v>0</v>
      </c>
      <c r="K29" s="593">
        <v>0</v>
      </c>
      <c r="L29" s="593">
        <v>0</v>
      </c>
      <c r="M29" s="599">
        <v>0</v>
      </c>
      <c r="N29" s="599">
        <f t="shared" si="2"/>
        <v>392158.77</v>
      </c>
      <c r="O29" s="595">
        <f>377868+1193883+N29</f>
        <v>1963909.77</v>
      </c>
      <c r="P29" s="609"/>
      <c r="Q29" s="610"/>
    </row>
    <row r="30" spans="1:122" s="292" customFormat="1" ht="12.75">
      <c r="A30" s="415" t="s">
        <v>168</v>
      </c>
      <c r="B30" s="619">
        <v>5217.82</v>
      </c>
      <c r="C30" s="620">
        <v>9055.380000000001</v>
      </c>
      <c r="D30" s="620">
        <v>42711.71</v>
      </c>
      <c r="E30" s="620">
        <v>31721</v>
      </c>
      <c r="F30" s="620">
        <v>3888.0299999999997</v>
      </c>
      <c r="G30" s="620">
        <v>2837.5</v>
      </c>
      <c r="H30" s="620">
        <v>4587.5</v>
      </c>
      <c r="I30" s="620">
        <v>11882.25</v>
      </c>
      <c r="J30" s="620">
        <v>0</v>
      </c>
      <c r="K30" s="620">
        <v>0</v>
      </c>
      <c r="L30" s="620">
        <v>0</v>
      </c>
      <c r="M30" s="621">
        <v>0</v>
      </c>
      <c r="N30" s="599">
        <f t="shared" si="2"/>
        <v>111901.19</v>
      </c>
      <c r="O30" s="622">
        <f>331980+92124+N30</f>
        <v>536005.18999999994</v>
      </c>
      <c r="P30" s="609"/>
      <c r="Q30" s="610"/>
    </row>
    <row r="31" spans="1:122" s="292" customFormat="1" ht="15.75">
      <c r="A31" s="419" t="s">
        <v>169</v>
      </c>
      <c r="B31" s="623">
        <f>SUM(B26:B30)</f>
        <v>19868.03</v>
      </c>
      <c r="C31" s="624">
        <f t="shared" ref="C31:M31" si="3">SUM(C26:C30)</f>
        <v>43686.559999999998</v>
      </c>
      <c r="D31" s="624">
        <f t="shared" si="3"/>
        <v>64630.62999999999</v>
      </c>
      <c r="E31" s="624">
        <f t="shared" si="3"/>
        <v>73236.01999999999</v>
      </c>
      <c r="F31" s="624">
        <f t="shared" si="3"/>
        <v>59452.98</v>
      </c>
      <c r="G31" s="624">
        <f t="shared" si="3"/>
        <v>158440.62</v>
      </c>
      <c r="H31" s="624">
        <f t="shared" si="3"/>
        <v>16727.939999999999</v>
      </c>
      <c r="I31" s="624">
        <f t="shared" si="3"/>
        <v>270963.16000000003</v>
      </c>
      <c r="J31" s="624">
        <f t="shared" si="3"/>
        <v>0</v>
      </c>
      <c r="K31" s="624">
        <f t="shared" si="3"/>
        <v>0</v>
      </c>
      <c r="L31" s="624">
        <f t="shared" si="3"/>
        <v>0</v>
      </c>
      <c r="M31" s="624">
        <f t="shared" si="3"/>
        <v>0</v>
      </c>
      <c r="N31" s="604">
        <f>SUM(N26:N30)</f>
        <v>707005.94</v>
      </c>
      <c r="O31" s="624">
        <f>SUM(O26:O30)</f>
        <v>3588332.94</v>
      </c>
      <c r="P31" s="607"/>
      <c r="Q31" s="625"/>
    </row>
    <row r="32" spans="1:122" s="292" customFormat="1" ht="12.75">
      <c r="A32" s="304"/>
      <c r="B32" s="626"/>
      <c r="C32" s="627"/>
      <c r="D32" s="627"/>
      <c r="E32" s="627"/>
      <c r="F32" s="627"/>
      <c r="G32" s="627"/>
      <c r="H32" s="627"/>
      <c r="I32" s="627"/>
      <c r="J32" s="627"/>
      <c r="K32" s="627"/>
      <c r="L32" s="627"/>
      <c r="M32" s="627"/>
      <c r="N32" s="627"/>
      <c r="O32" s="627"/>
      <c r="P32" s="628"/>
      <c r="Q32" s="629"/>
    </row>
    <row r="33" spans="1:17" s="292" customFormat="1" ht="15.75">
      <c r="A33" s="420" t="s">
        <v>170</v>
      </c>
      <c r="B33" s="608"/>
      <c r="C33" s="611"/>
      <c r="D33" s="611"/>
      <c r="E33" s="611"/>
      <c r="F33" s="611"/>
      <c r="G33" s="611"/>
      <c r="H33" s="611"/>
      <c r="I33" s="611"/>
      <c r="J33" s="611"/>
      <c r="K33" s="611"/>
      <c r="L33" s="611"/>
      <c r="M33" s="611"/>
      <c r="N33" s="612"/>
      <c r="O33" s="612"/>
      <c r="P33" s="609"/>
      <c r="Q33" s="613"/>
    </row>
    <row r="34" spans="1:17" s="292" customFormat="1" ht="14.25">
      <c r="A34" s="415" t="s">
        <v>171</v>
      </c>
      <c r="B34" s="614">
        <v>0</v>
      </c>
      <c r="C34" s="615">
        <v>0</v>
      </c>
      <c r="D34" s="615">
        <v>0</v>
      </c>
      <c r="E34" s="615">
        <v>0</v>
      </c>
      <c r="F34" s="615">
        <v>0</v>
      </c>
      <c r="G34" s="615">
        <v>0</v>
      </c>
      <c r="H34" s="615">
        <v>0</v>
      </c>
      <c r="I34" s="615">
        <v>0</v>
      </c>
      <c r="J34" s="615">
        <v>0</v>
      </c>
      <c r="K34" s="615">
        <v>0</v>
      </c>
      <c r="L34" s="615">
        <v>0</v>
      </c>
      <c r="M34" s="616">
        <v>0</v>
      </c>
      <c r="N34" s="599">
        <f t="shared" ref="N34:N37" si="4">SUM(B34:M34)</f>
        <v>0</v>
      </c>
      <c r="O34" s="630">
        <f>0+N34</f>
        <v>0</v>
      </c>
      <c r="P34" s="609"/>
      <c r="Q34" s="610"/>
    </row>
    <row r="35" spans="1:17" s="292" customFormat="1" ht="12.75">
      <c r="A35" s="416" t="s">
        <v>172</v>
      </c>
      <c r="B35" s="618">
        <v>4699.5</v>
      </c>
      <c r="C35" s="593">
        <v>16866.929999999993</v>
      </c>
      <c r="D35" s="593">
        <v>18398.279999999995</v>
      </c>
      <c r="E35" s="593">
        <v>22848</v>
      </c>
      <c r="F35" s="593">
        <v>17380.620000000003</v>
      </c>
      <c r="G35" s="593">
        <v>51766.670000000006</v>
      </c>
      <c r="H35" s="593">
        <v>3992.7499999999973</v>
      </c>
      <c r="I35" s="593">
        <v>75082.179999999993</v>
      </c>
      <c r="J35" s="593">
        <v>0</v>
      </c>
      <c r="K35" s="593">
        <v>0</v>
      </c>
      <c r="L35" s="593">
        <v>0</v>
      </c>
      <c r="M35" s="599">
        <v>0</v>
      </c>
      <c r="N35" s="599">
        <f t="shared" si="4"/>
        <v>211034.93</v>
      </c>
      <c r="O35" s="631">
        <f>344661+585375+N35</f>
        <v>1141070.93</v>
      </c>
      <c r="P35" s="609"/>
      <c r="Q35" s="610"/>
    </row>
    <row r="36" spans="1:17" s="292" customFormat="1" ht="14.25" customHeight="1">
      <c r="A36" s="415" t="s">
        <v>173</v>
      </c>
      <c r="B36" s="618">
        <v>6925.72</v>
      </c>
      <c r="C36" s="593">
        <v>11798.960000000001</v>
      </c>
      <c r="D36" s="593">
        <v>19325.809999999998</v>
      </c>
      <c r="E36" s="593">
        <v>21012.579999999994</v>
      </c>
      <c r="F36" s="593">
        <v>13182.89</v>
      </c>
      <c r="G36" s="593">
        <v>33418.259999999995</v>
      </c>
      <c r="H36" s="593">
        <v>4577.16</v>
      </c>
      <c r="I36" s="593">
        <v>71248.67</v>
      </c>
      <c r="J36" s="593">
        <v>0</v>
      </c>
      <c r="K36" s="593">
        <v>0</v>
      </c>
      <c r="L36" s="593">
        <v>0</v>
      </c>
      <c r="M36" s="599">
        <v>0</v>
      </c>
      <c r="N36" s="599">
        <f t="shared" si="4"/>
        <v>181490.05</v>
      </c>
      <c r="O36" s="631">
        <f>314335+384699+N36</f>
        <v>880524.05</v>
      </c>
      <c r="P36" s="609"/>
      <c r="Q36" s="610"/>
    </row>
    <row r="37" spans="1:17" s="292" customFormat="1" ht="12.75">
      <c r="A37" s="415" t="s">
        <v>174</v>
      </c>
      <c r="B37" s="619">
        <v>8242.81</v>
      </c>
      <c r="C37" s="620">
        <v>15020.67</v>
      </c>
      <c r="D37" s="620">
        <v>26906.529999999995</v>
      </c>
      <c r="E37" s="620">
        <v>29375.899999999991</v>
      </c>
      <c r="F37" s="620">
        <v>28889.49</v>
      </c>
      <c r="G37" s="620">
        <v>73255.69</v>
      </c>
      <c r="H37" s="620">
        <v>8158.0000000000036</v>
      </c>
      <c r="I37" s="620">
        <v>124632.39</v>
      </c>
      <c r="J37" s="620">
        <v>0</v>
      </c>
      <c r="K37" s="620">
        <v>0</v>
      </c>
      <c r="L37" s="620">
        <v>0</v>
      </c>
      <c r="M37" s="621">
        <v>0</v>
      </c>
      <c r="N37" s="599">
        <f t="shared" si="4"/>
        <v>314481.48</v>
      </c>
      <c r="O37" s="632">
        <f>556528+695729+N37</f>
        <v>1566738.48</v>
      </c>
      <c r="P37" s="609"/>
      <c r="Q37" s="610"/>
    </row>
    <row r="38" spans="1:17" s="292" customFormat="1" ht="15.75">
      <c r="A38" s="419" t="s">
        <v>175</v>
      </c>
      <c r="B38" s="623">
        <f t="shared" ref="B38:M38" si="5">SUM(B34:B37)</f>
        <v>19868.03</v>
      </c>
      <c r="C38" s="624">
        <f t="shared" si="5"/>
        <v>43686.55999999999</v>
      </c>
      <c r="D38" s="624">
        <f>SUM(D34:D37)</f>
        <v>64630.619999999995</v>
      </c>
      <c r="E38" s="624">
        <f t="shared" si="5"/>
        <v>73236.479999999981</v>
      </c>
      <c r="F38" s="624">
        <f t="shared" si="5"/>
        <v>59453</v>
      </c>
      <c r="G38" s="624">
        <f t="shared" si="5"/>
        <v>158440.62</v>
      </c>
      <c r="H38" s="624">
        <f t="shared" si="5"/>
        <v>16727.91</v>
      </c>
      <c r="I38" s="624">
        <f t="shared" si="5"/>
        <v>270963.24</v>
      </c>
      <c r="J38" s="624">
        <f t="shared" si="5"/>
        <v>0</v>
      </c>
      <c r="K38" s="624">
        <f t="shared" si="5"/>
        <v>0</v>
      </c>
      <c r="L38" s="624">
        <f t="shared" si="5"/>
        <v>0</v>
      </c>
      <c r="M38" s="624">
        <f t="shared" si="5"/>
        <v>0</v>
      </c>
      <c r="N38" s="604">
        <f>SUM(N34:N37)</f>
        <v>707006.46</v>
      </c>
      <c r="O38" s="604">
        <f>SUM(O34:O37)</f>
        <v>3588333.46</v>
      </c>
      <c r="P38" s="607">
        <f>SUM(P34:P37)</f>
        <v>0</v>
      </c>
      <c r="Q38" s="625"/>
    </row>
    <row r="39" spans="1:17" s="292" customFormat="1" ht="12.75">
      <c r="B39" s="295"/>
      <c r="C39" s="295"/>
      <c r="D39" s="295"/>
      <c r="E39" s="295"/>
      <c r="F39" s="295"/>
      <c r="G39" s="295"/>
      <c r="H39" s="295"/>
      <c r="I39" s="295"/>
      <c r="J39" s="295"/>
      <c r="K39" s="295"/>
      <c r="L39" s="295"/>
      <c r="M39" s="295"/>
      <c r="O39" s="295"/>
      <c r="P39" s="295"/>
      <c r="Q39" s="295"/>
    </row>
    <row r="40" spans="1:17" s="292" customFormat="1" ht="15">
      <c r="A40" s="512" t="s">
        <v>66</v>
      </c>
      <c r="B40" s="299"/>
      <c r="C40" s="299"/>
      <c r="D40" s="299"/>
      <c r="E40" s="299"/>
      <c r="F40" s="299"/>
      <c r="G40" s="299"/>
      <c r="H40" s="299"/>
      <c r="I40" s="299"/>
      <c r="J40" s="299"/>
      <c r="K40" s="299"/>
      <c r="L40" s="299"/>
      <c r="M40" s="299"/>
      <c r="N40" s="298"/>
      <c r="O40" s="299"/>
      <c r="P40" s="299"/>
      <c r="Q40" s="299"/>
    </row>
    <row r="41" spans="1:17" ht="16.5">
      <c r="A41" s="338" t="s">
        <v>176</v>
      </c>
      <c r="D41" s="276"/>
      <c r="E41" s="214"/>
      <c r="F41" s="276"/>
      <c r="N41" s="338"/>
    </row>
    <row r="42" spans="1:17" ht="16.5">
      <c r="A42" s="338" t="s">
        <v>177</v>
      </c>
      <c r="D42" s="276"/>
      <c r="E42" s="214"/>
      <c r="F42" s="276"/>
      <c r="N42" s="338"/>
    </row>
    <row r="43" spans="1:17" ht="16.5">
      <c r="A43" s="338" t="s">
        <v>178</v>
      </c>
      <c r="D43" s="276"/>
      <c r="E43" s="214"/>
      <c r="F43" s="276"/>
      <c r="N43" s="338"/>
    </row>
    <row r="44" spans="1:17" ht="16.5">
      <c r="A44" s="243" t="s">
        <v>73</v>
      </c>
      <c r="D44" s="276"/>
      <c r="E44" s="214"/>
      <c r="F44" s="276"/>
      <c r="N44" s="354"/>
    </row>
    <row r="45" spans="1:17">
      <c r="E45" s="281"/>
      <c r="F45" s="276"/>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3"/>
  <sheetViews>
    <sheetView showGridLines="0" zoomScale="110" zoomScaleNormal="110" zoomScaleSheetLayoutView="80" workbookViewId="0">
      <pane xSplit="1" ySplit="9" topLeftCell="B10" activePane="bottomRight" state="frozen"/>
      <selection pane="topRight" activeCell="V16" sqref="V16"/>
      <selection pane="bottomLeft" activeCell="V16" sqref="V16"/>
      <selection pane="bottomRight" activeCell="P48" sqref="P48"/>
    </sheetView>
  </sheetViews>
  <sheetFormatPr defaultColWidth="9.28515625" defaultRowHeight="12.75"/>
  <cols>
    <col min="1" max="1" width="77.140625" style="130" customWidth="1"/>
    <col min="2" max="2" width="13" style="130" customWidth="1"/>
    <col min="3" max="3" width="11.42578125" style="130" customWidth="1"/>
    <col min="4" max="4" width="15.5703125" style="130" customWidth="1"/>
    <col min="5" max="5" width="12" style="130" customWidth="1"/>
    <col min="6" max="6" width="11.28515625" style="130" bestFit="1" customWidth="1"/>
    <col min="7" max="7" width="12.7109375" style="130" customWidth="1"/>
    <col min="8" max="8" width="11.7109375" style="130" bestFit="1" customWidth="1"/>
    <col min="9" max="9" width="11.7109375" style="130" customWidth="1"/>
    <col min="10" max="10" width="12" style="130" customWidth="1"/>
    <col min="11" max="11" width="10.7109375" style="130" customWidth="1"/>
    <col min="12" max="13" width="11.7109375" style="130" customWidth="1"/>
    <col min="14" max="14" width="23.28515625" style="130" bestFit="1" customWidth="1"/>
    <col min="15" max="15" width="16" style="130" customWidth="1"/>
    <col min="16" max="16" width="17.28515625" style="130" customWidth="1"/>
    <col min="17" max="17" width="14.7109375" style="130" customWidth="1"/>
    <col min="18" max="18" width="13.42578125" style="130" bestFit="1" customWidth="1"/>
    <col min="19" max="16384" width="9.28515625" style="130"/>
  </cols>
  <sheetData>
    <row r="2" spans="1:18">
      <c r="A2" s="129"/>
      <c r="G2" s="149" t="s">
        <v>179</v>
      </c>
    </row>
    <row r="3" spans="1:18">
      <c r="A3" s="129"/>
      <c r="G3" s="149" t="s">
        <v>180</v>
      </c>
    </row>
    <row r="4" spans="1:18">
      <c r="A4" s="129"/>
      <c r="F4" s="201"/>
      <c r="G4" s="202" t="str">
        <f>'Program MW '!H3</f>
        <v>August 2020</v>
      </c>
      <c r="H4" s="201"/>
      <c r="I4" s="201"/>
    </row>
    <row r="5" spans="1:18">
      <c r="A5" s="129"/>
      <c r="B5" s="201"/>
      <c r="C5" s="201"/>
      <c r="D5" s="201"/>
    </row>
    <row r="6" spans="1:18" ht="13.5" thickBot="1"/>
    <row r="7" spans="1:18">
      <c r="A7" s="319"/>
      <c r="B7" s="131"/>
      <c r="C7" s="131"/>
      <c r="D7" s="131"/>
      <c r="E7" s="131"/>
      <c r="F7" s="131"/>
      <c r="G7" s="131"/>
      <c r="H7" s="131"/>
      <c r="I7" s="131"/>
      <c r="J7" s="131"/>
      <c r="K7" s="131"/>
      <c r="L7" s="131"/>
      <c r="M7" s="132"/>
      <c r="N7" s="132"/>
      <c r="O7" s="132"/>
      <c r="P7" s="133"/>
      <c r="Q7" s="133"/>
      <c r="R7" s="305"/>
    </row>
    <row r="8" spans="1:18" ht="9" customHeight="1">
      <c r="A8" s="320"/>
      <c r="B8" s="134"/>
      <c r="C8" s="134"/>
      <c r="D8" s="134"/>
      <c r="E8" s="134"/>
      <c r="F8" s="134"/>
      <c r="G8" s="134"/>
      <c r="H8" s="134"/>
      <c r="I8" s="134"/>
      <c r="J8" s="134"/>
      <c r="K8" s="134"/>
      <c r="L8" s="134"/>
      <c r="M8" s="135"/>
      <c r="N8" s="135"/>
      <c r="O8" s="135"/>
      <c r="P8" s="136"/>
      <c r="Q8" s="136"/>
      <c r="R8" s="306"/>
    </row>
    <row r="9" spans="1:18" ht="57.75" customHeight="1">
      <c r="A9" s="394" t="s">
        <v>181</v>
      </c>
      <c r="B9" s="406" t="s">
        <v>41</v>
      </c>
      <c r="C9" s="274" t="s">
        <v>42</v>
      </c>
      <c r="D9" s="274" t="s">
        <v>43</v>
      </c>
      <c r="E9" s="274" t="s">
        <v>44</v>
      </c>
      <c r="F9" s="274" t="s">
        <v>31</v>
      </c>
      <c r="G9" s="274" t="s">
        <v>45</v>
      </c>
      <c r="H9" s="274" t="s">
        <v>60</v>
      </c>
      <c r="I9" s="275" t="s">
        <v>61</v>
      </c>
      <c r="J9" s="275" t="s">
        <v>76</v>
      </c>
      <c r="K9" s="274" t="s">
        <v>62</v>
      </c>
      <c r="L9" s="274" t="s">
        <v>77</v>
      </c>
      <c r="M9" s="274" t="s">
        <v>63</v>
      </c>
      <c r="N9" s="137" t="s">
        <v>143</v>
      </c>
      <c r="O9" s="137" t="s">
        <v>182</v>
      </c>
      <c r="P9" s="137" t="s">
        <v>183</v>
      </c>
      <c r="Q9" s="137" t="s">
        <v>184</v>
      </c>
      <c r="R9" s="307" t="s">
        <v>185</v>
      </c>
    </row>
    <row r="10" spans="1:18">
      <c r="A10" s="321" t="s">
        <v>186</v>
      </c>
      <c r="B10" s="407"/>
      <c r="C10" s="15"/>
      <c r="D10" s="15"/>
      <c r="E10" s="15"/>
      <c r="F10" s="138"/>
      <c r="G10" s="271"/>
      <c r="H10" s="138"/>
      <c r="I10" s="138"/>
      <c r="J10" s="138"/>
      <c r="K10" s="138"/>
      <c r="L10" s="138"/>
      <c r="M10" s="463"/>
      <c r="N10" s="462"/>
      <c r="O10" s="139" t="s">
        <v>57</v>
      </c>
      <c r="P10" s="336"/>
      <c r="Q10" s="140"/>
      <c r="R10" s="308"/>
    </row>
    <row r="11" spans="1:18">
      <c r="A11" s="322" t="s">
        <v>187</v>
      </c>
      <c r="B11" s="633">
        <v>2420.3000000000002</v>
      </c>
      <c r="C11" s="634">
        <v>4071.44</v>
      </c>
      <c r="D11" s="634">
        <v>10975.180000000002</v>
      </c>
      <c r="E11" s="634">
        <v>10144.85</v>
      </c>
      <c r="F11" s="634">
        <v>10202.710000000001</v>
      </c>
      <c r="G11" s="634">
        <v>10280.720000000001</v>
      </c>
      <c r="H11" s="634">
        <v>13167.74</v>
      </c>
      <c r="I11" s="634">
        <v>4980.5</v>
      </c>
      <c r="J11" s="634">
        <v>0</v>
      </c>
      <c r="K11" s="634">
        <v>0</v>
      </c>
      <c r="L11" s="634">
        <v>0</v>
      </c>
      <c r="M11" s="635">
        <v>0</v>
      </c>
      <c r="N11" s="635">
        <f>SUM(B11:M11)</f>
        <v>66243.44</v>
      </c>
      <c r="O11" s="636">
        <f>665232.07+N11</f>
        <v>731475.51</v>
      </c>
      <c r="P11" s="637">
        <v>2869200</v>
      </c>
      <c r="Q11" s="638">
        <v>0</v>
      </c>
      <c r="R11" s="309">
        <f>+O11/P11</f>
        <v>0.25494057925554164</v>
      </c>
    </row>
    <row r="12" spans="1:18">
      <c r="A12" s="322" t="s">
        <v>188</v>
      </c>
      <c r="B12" s="633">
        <v>40192.76</v>
      </c>
      <c r="C12" s="634">
        <v>45716.240000000005</v>
      </c>
      <c r="D12" s="634">
        <v>46109.96</v>
      </c>
      <c r="E12" s="634">
        <v>47099.759999999995</v>
      </c>
      <c r="F12" s="634">
        <v>13054.750000000002</v>
      </c>
      <c r="G12" s="634">
        <v>78294</v>
      </c>
      <c r="H12" s="634">
        <v>48556.43</v>
      </c>
      <c r="I12" s="634">
        <v>37691.759999999995</v>
      </c>
      <c r="J12" s="634">
        <v>0</v>
      </c>
      <c r="K12" s="634">
        <v>0</v>
      </c>
      <c r="L12" s="634">
        <v>0</v>
      </c>
      <c r="M12" s="635">
        <v>0</v>
      </c>
      <c r="N12" s="635">
        <f t="shared" ref="N12:N15" si="0">SUM(B12:M12)</f>
        <v>356715.66</v>
      </c>
      <c r="O12" s="636">
        <f>2788267.14+N12</f>
        <v>3144982.8000000003</v>
      </c>
      <c r="P12" s="637">
        <v>9020700</v>
      </c>
      <c r="Q12" s="638">
        <v>0</v>
      </c>
      <c r="R12" s="309">
        <f t="shared" ref="R12:R15" si="1">+O12/P12</f>
        <v>0.34864065981575715</v>
      </c>
    </row>
    <row r="13" spans="1:18">
      <c r="A13" s="322" t="s">
        <v>189</v>
      </c>
      <c r="B13" s="633">
        <v>9050.1</v>
      </c>
      <c r="C13" s="634">
        <v>16667.080000000002</v>
      </c>
      <c r="D13" s="634">
        <v>20819.95</v>
      </c>
      <c r="E13" s="634">
        <v>15177.59</v>
      </c>
      <c r="F13" s="634">
        <v>11172.62</v>
      </c>
      <c r="G13" s="634">
        <v>13547.25</v>
      </c>
      <c r="H13" s="634">
        <v>19907.77</v>
      </c>
      <c r="I13" s="634">
        <v>7304.97</v>
      </c>
      <c r="J13" s="634">
        <v>0</v>
      </c>
      <c r="K13" s="634">
        <v>0</v>
      </c>
      <c r="L13" s="634">
        <v>0</v>
      </c>
      <c r="M13" s="635">
        <v>0</v>
      </c>
      <c r="N13" s="635">
        <f t="shared" si="0"/>
        <v>113647.33</v>
      </c>
      <c r="O13" s="636">
        <f>361425.18+N13</f>
        <v>475072.51</v>
      </c>
      <c r="P13" s="637">
        <v>4664400</v>
      </c>
      <c r="Q13" s="638">
        <v>0</v>
      </c>
      <c r="R13" s="309">
        <f t="shared" si="1"/>
        <v>0.1018507224937827</v>
      </c>
    </row>
    <row r="14" spans="1:18" ht="14.25">
      <c r="A14" s="322" t="s">
        <v>190</v>
      </c>
      <c r="B14" s="633">
        <v>12636.34</v>
      </c>
      <c r="C14" s="634">
        <v>12249.720000000001</v>
      </c>
      <c r="D14" s="634">
        <v>11862.43</v>
      </c>
      <c r="E14" s="634">
        <v>12099.63</v>
      </c>
      <c r="F14" s="634">
        <v>11029.05</v>
      </c>
      <c r="G14" s="634">
        <v>10163.5</v>
      </c>
      <c r="H14" s="634">
        <v>42620</v>
      </c>
      <c r="I14" s="634">
        <v>7527.2400000000007</v>
      </c>
      <c r="J14" s="634">
        <v>0</v>
      </c>
      <c r="K14" s="634">
        <v>0</v>
      </c>
      <c r="L14" s="634">
        <v>0</v>
      </c>
      <c r="M14" s="635">
        <v>0</v>
      </c>
      <c r="N14" s="635">
        <f t="shared" si="0"/>
        <v>120187.91</v>
      </c>
      <c r="O14" s="636">
        <f>610344+N14</f>
        <v>730531.91</v>
      </c>
      <c r="P14" s="638">
        <v>10301202</v>
      </c>
      <c r="Q14" s="638">
        <v>0</v>
      </c>
      <c r="R14" s="309">
        <f t="shared" si="1"/>
        <v>7.0917152192530544E-2</v>
      </c>
    </row>
    <row r="15" spans="1:18" ht="14.25">
      <c r="A15" s="323" t="s">
        <v>191</v>
      </c>
      <c r="B15" s="639">
        <v>0</v>
      </c>
      <c r="C15" s="640">
        <v>0</v>
      </c>
      <c r="D15" s="640">
        <v>0</v>
      </c>
      <c r="E15" s="640">
        <v>0</v>
      </c>
      <c r="F15" s="640">
        <v>0</v>
      </c>
      <c r="G15" s="640">
        <v>0</v>
      </c>
      <c r="H15" s="640">
        <v>0</v>
      </c>
      <c r="I15" s="640">
        <v>0</v>
      </c>
      <c r="J15" s="640">
        <v>0</v>
      </c>
      <c r="K15" s="640">
        <v>0</v>
      </c>
      <c r="L15" s="640">
        <v>0</v>
      </c>
      <c r="M15" s="641">
        <v>0</v>
      </c>
      <c r="N15" s="635">
        <f t="shared" si="0"/>
        <v>0</v>
      </c>
      <c r="O15" s="636">
        <f>15326.45+N15</f>
        <v>15326.45</v>
      </c>
      <c r="P15" s="637">
        <v>20000</v>
      </c>
      <c r="Q15" s="638">
        <v>0</v>
      </c>
      <c r="R15" s="309">
        <f t="shared" si="1"/>
        <v>0.76632250000000002</v>
      </c>
    </row>
    <row r="16" spans="1:18">
      <c r="A16" s="324" t="s">
        <v>192</v>
      </c>
      <c r="B16" s="642">
        <f>SUM(B11:B15)</f>
        <v>64299.5</v>
      </c>
      <c r="C16" s="643">
        <f t="shared" ref="C16:M16" si="2">SUM(C11:C15)</f>
        <v>78704.48000000001</v>
      </c>
      <c r="D16" s="643">
        <f t="shared" si="2"/>
        <v>89767.51999999999</v>
      </c>
      <c r="E16" s="643">
        <f t="shared" si="2"/>
        <v>84521.83</v>
      </c>
      <c r="F16" s="643">
        <f t="shared" si="2"/>
        <v>45459.130000000005</v>
      </c>
      <c r="G16" s="643">
        <f t="shared" si="2"/>
        <v>112285.47</v>
      </c>
      <c r="H16" s="643">
        <f t="shared" si="2"/>
        <v>124251.94</v>
      </c>
      <c r="I16" s="643">
        <f t="shared" si="2"/>
        <v>57504.469999999994</v>
      </c>
      <c r="J16" s="643">
        <f t="shared" si="2"/>
        <v>0</v>
      </c>
      <c r="K16" s="643">
        <f>SUM(K11:K15)</f>
        <v>0</v>
      </c>
      <c r="L16" s="643">
        <f t="shared" si="2"/>
        <v>0</v>
      </c>
      <c r="M16" s="643">
        <f t="shared" si="2"/>
        <v>0</v>
      </c>
      <c r="N16" s="644">
        <f>SUM(N11:N15)</f>
        <v>656794.34</v>
      </c>
      <c r="O16" s="644">
        <f>SUM(O11:O15)</f>
        <v>5097389.1800000006</v>
      </c>
      <c r="P16" s="645">
        <f>SUM(P11:P15)</f>
        <v>26875502</v>
      </c>
      <c r="Q16" s="646">
        <f>SUM(Q11:Q15)</f>
        <v>0</v>
      </c>
      <c r="R16" s="310">
        <f>O16/P16</f>
        <v>0.18966675227126922</v>
      </c>
    </row>
    <row r="17" spans="1:18">
      <c r="A17" s="323"/>
      <c r="B17" s="633"/>
      <c r="C17" s="636"/>
      <c r="D17" s="636"/>
      <c r="E17" s="636"/>
      <c r="F17" s="647"/>
      <c r="G17" s="648"/>
      <c r="H17" s="647"/>
      <c r="I17" s="647"/>
      <c r="J17" s="647"/>
      <c r="K17" s="647"/>
      <c r="L17" s="647"/>
      <c r="M17" s="647"/>
      <c r="N17" s="649"/>
      <c r="O17" s="649"/>
      <c r="P17" s="637"/>
      <c r="Q17" s="638"/>
      <c r="R17" s="309"/>
    </row>
    <row r="18" spans="1:18">
      <c r="A18" s="321" t="s">
        <v>193</v>
      </c>
      <c r="B18" s="633"/>
      <c r="C18" s="636"/>
      <c r="D18" s="636"/>
      <c r="E18" s="636"/>
      <c r="F18" s="647"/>
      <c r="G18" s="648"/>
      <c r="H18" s="647"/>
      <c r="I18" s="647"/>
      <c r="J18" s="647"/>
      <c r="K18" s="647"/>
      <c r="L18" s="647"/>
      <c r="M18" s="647"/>
      <c r="N18" s="649"/>
      <c r="O18" s="649"/>
      <c r="P18" s="637"/>
      <c r="Q18" s="638"/>
      <c r="R18" s="309"/>
    </row>
    <row r="19" spans="1:18">
      <c r="A19" s="322"/>
      <c r="B19" s="633">
        <v>0</v>
      </c>
      <c r="C19" s="636">
        <v>0</v>
      </c>
      <c r="D19" s="636">
        <v>0</v>
      </c>
      <c r="E19" s="636">
        <v>0</v>
      </c>
      <c r="F19" s="636">
        <v>0</v>
      </c>
      <c r="G19" s="636">
        <v>0</v>
      </c>
      <c r="H19" s="636">
        <v>0</v>
      </c>
      <c r="I19" s="636">
        <v>0</v>
      </c>
      <c r="J19" s="636">
        <v>0</v>
      </c>
      <c r="K19" s="636">
        <v>0</v>
      </c>
      <c r="L19" s="636">
        <v>0</v>
      </c>
      <c r="M19" s="636">
        <v>0</v>
      </c>
      <c r="N19" s="649">
        <f>SUM(B19:M19)</f>
        <v>0</v>
      </c>
      <c r="O19" s="636">
        <f>0+N19</f>
        <v>0</v>
      </c>
      <c r="P19" s="650">
        <v>0</v>
      </c>
      <c r="Q19" s="649">
        <v>0</v>
      </c>
      <c r="R19" s="309">
        <v>0</v>
      </c>
    </row>
    <row r="20" spans="1:18">
      <c r="A20" s="324" t="s">
        <v>194</v>
      </c>
      <c r="B20" s="651">
        <f t="shared" ref="B20:M20" si="3">SUM(B19:B19)</f>
        <v>0</v>
      </c>
      <c r="C20" s="644">
        <f t="shared" si="3"/>
        <v>0</v>
      </c>
      <c r="D20" s="644">
        <f t="shared" si="3"/>
        <v>0</v>
      </c>
      <c r="E20" s="644">
        <f t="shared" si="3"/>
        <v>0</v>
      </c>
      <c r="F20" s="644">
        <f t="shared" si="3"/>
        <v>0</v>
      </c>
      <c r="G20" s="652">
        <f t="shared" si="3"/>
        <v>0</v>
      </c>
      <c r="H20" s="644">
        <f t="shared" si="3"/>
        <v>0</v>
      </c>
      <c r="I20" s="644">
        <f t="shared" si="3"/>
        <v>0</v>
      </c>
      <c r="J20" s="644">
        <f t="shared" si="3"/>
        <v>0</v>
      </c>
      <c r="K20" s="644">
        <f t="shared" si="3"/>
        <v>0</v>
      </c>
      <c r="L20" s="644">
        <f t="shared" si="3"/>
        <v>0</v>
      </c>
      <c r="M20" s="644">
        <f t="shared" si="3"/>
        <v>0</v>
      </c>
      <c r="N20" s="646">
        <f>SUM(N19:N19)</f>
        <v>0</v>
      </c>
      <c r="O20" s="646">
        <f>SUM(O19:O19)</f>
        <v>0</v>
      </c>
      <c r="P20" s="645">
        <f>SUM(P19:P19)</f>
        <v>0</v>
      </c>
      <c r="Q20" s="646">
        <f>SUM(Q19:Q19)</f>
        <v>0</v>
      </c>
      <c r="R20" s="311">
        <v>0</v>
      </c>
    </row>
    <row r="21" spans="1:18">
      <c r="A21" s="325"/>
      <c r="B21" s="633"/>
      <c r="C21" s="636"/>
      <c r="D21" s="636"/>
      <c r="E21" s="636"/>
      <c r="F21" s="636"/>
      <c r="G21" s="648"/>
      <c r="H21" s="636"/>
      <c r="I21" s="636"/>
      <c r="J21" s="636"/>
      <c r="K21" s="636"/>
      <c r="L21" s="636"/>
      <c r="M21" s="636"/>
      <c r="N21" s="649"/>
      <c r="O21" s="649"/>
      <c r="P21" s="650"/>
      <c r="Q21" s="649"/>
      <c r="R21" s="312"/>
    </row>
    <row r="22" spans="1:18">
      <c r="A22" s="321" t="s">
        <v>195</v>
      </c>
      <c r="B22" s="633"/>
      <c r="C22" s="636"/>
      <c r="D22" s="636"/>
      <c r="E22" s="636"/>
      <c r="F22" s="647"/>
      <c r="G22" s="648"/>
      <c r="H22" s="647"/>
      <c r="I22" s="647"/>
      <c r="J22" s="647"/>
      <c r="K22" s="647"/>
      <c r="L22" s="647"/>
      <c r="M22" s="647"/>
      <c r="N22" s="649"/>
      <c r="O22" s="649"/>
      <c r="P22" s="637"/>
      <c r="Q22" s="638"/>
      <c r="R22" s="309"/>
    </row>
    <row r="23" spans="1:18" ht="14.25">
      <c r="A23" s="322" t="s">
        <v>196</v>
      </c>
      <c r="B23" s="639">
        <v>25434.629999999997</v>
      </c>
      <c r="C23" s="640">
        <v>140465.22</v>
      </c>
      <c r="D23" s="640">
        <v>157673.19000000003</v>
      </c>
      <c r="E23" s="640">
        <v>147762.50999999995</v>
      </c>
      <c r="F23" s="640">
        <v>15596.34</v>
      </c>
      <c r="G23" s="640">
        <v>40691.949999999997</v>
      </c>
      <c r="H23" s="640">
        <v>-28855.239999999998</v>
      </c>
      <c r="I23" s="640">
        <v>204241.09</v>
      </c>
      <c r="J23" s="640">
        <v>0</v>
      </c>
      <c r="K23" s="640">
        <v>0</v>
      </c>
      <c r="L23" s="640">
        <v>0</v>
      </c>
      <c r="M23" s="641">
        <v>0</v>
      </c>
      <c r="N23" s="653">
        <f>SUM(B23:M23)</f>
        <v>703009.69</v>
      </c>
      <c r="O23" s="636">
        <f>2336825.61+N23</f>
        <v>3039835.3</v>
      </c>
      <c r="P23" s="650">
        <v>8320000</v>
      </c>
      <c r="Q23" s="649">
        <v>0</v>
      </c>
      <c r="R23" s="309">
        <f t="shared" ref="R23" si="4">+O23/P23</f>
        <v>0.36536481971153845</v>
      </c>
    </row>
    <row r="24" spans="1:18">
      <c r="A24" s="324" t="s">
        <v>197</v>
      </c>
      <c r="B24" s="639">
        <f t="shared" ref="B24:M24" si="5">SUM(B23:B23)</f>
        <v>25434.629999999997</v>
      </c>
      <c r="C24" s="643">
        <f t="shared" si="5"/>
        <v>140465.22</v>
      </c>
      <c r="D24" s="643">
        <f t="shared" si="5"/>
        <v>157673.19000000003</v>
      </c>
      <c r="E24" s="643">
        <f t="shared" si="5"/>
        <v>147762.50999999995</v>
      </c>
      <c r="F24" s="643">
        <f t="shared" si="5"/>
        <v>15596.34</v>
      </c>
      <c r="G24" s="640">
        <f t="shared" si="5"/>
        <v>40691.949999999997</v>
      </c>
      <c r="H24" s="643">
        <f t="shared" si="5"/>
        <v>-28855.239999999998</v>
      </c>
      <c r="I24" s="643">
        <f t="shared" si="5"/>
        <v>204241.09</v>
      </c>
      <c r="J24" s="643">
        <f t="shared" si="5"/>
        <v>0</v>
      </c>
      <c r="K24" s="643">
        <f t="shared" si="5"/>
        <v>0</v>
      </c>
      <c r="L24" s="643">
        <f t="shared" si="5"/>
        <v>0</v>
      </c>
      <c r="M24" s="643">
        <f t="shared" si="5"/>
        <v>0</v>
      </c>
      <c r="N24" s="646">
        <f>SUM(N23:N23)</f>
        <v>703009.69</v>
      </c>
      <c r="O24" s="646">
        <f>O23</f>
        <v>3039835.3</v>
      </c>
      <c r="P24" s="645">
        <f>SUM(P23:P23)</f>
        <v>8320000</v>
      </c>
      <c r="Q24" s="646">
        <f>SUM(Q23:Q23)</f>
        <v>0</v>
      </c>
      <c r="R24" s="311">
        <f>O24/P24</f>
        <v>0.36536481971153845</v>
      </c>
    </row>
    <row r="25" spans="1:18">
      <c r="A25" s="321"/>
      <c r="B25" s="633"/>
      <c r="C25" s="636"/>
      <c r="D25" s="636"/>
      <c r="E25" s="636"/>
      <c r="F25" s="647"/>
      <c r="G25" s="648"/>
      <c r="H25" s="647"/>
      <c r="I25" s="647"/>
      <c r="J25" s="647"/>
      <c r="K25" s="647"/>
      <c r="L25" s="647"/>
      <c r="M25" s="647"/>
      <c r="N25" s="649"/>
      <c r="O25" s="649"/>
      <c r="P25" s="637"/>
      <c r="Q25" s="638"/>
      <c r="R25" s="309"/>
    </row>
    <row r="26" spans="1:18">
      <c r="A26" s="321" t="s">
        <v>198</v>
      </c>
      <c r="B26" s="633"/>
      <c r="C26" s="636"/>
      <c r="D26" s="636"/>
      <c r="E26" s="636"/>
      <c r="F26" s="647"/>
      <c r="G26" s="648"/>
      <c r="H26" s="647"/>
      <c r="I26" s="647"/>
      <c r="J26" s="647"/>
      <c r="K26" s="647"/>
      <c r="L26" s="647"/>
      <c r="M26" s="647"/>
      <c r="N26" s="649"/>
      <c r="O26" s="649"/>
      <c r="P26" s="637"/>
      <c r="Q26" s="638"/>
      <c r="R26" s="309"/>
    </row>
    <row r="27" spans="1:18">
      <c r="A27" s="322" t="s">
        <v>199</v>
      </c>
      <c r="B27" s="654">
        <v>40100.240000000005</v>
      </c>
      <c r="C27" s="655">
        <v>64044.32</v>
      </c>
      <c r="D27" s="655">
        <v>6594.79</v>
      </c>
      <c r="E27" s="655">
        <v>6966.230000000005</v>
      </c>
      <c r="F27" s="655">
        <v>11639.820000000005</v>
      </c>
      <c r="G27" s="655">
        <v>67467.72</v>
      </c>
      <c r="H27" s="655">
        <v>29909.47</v>
      </c>
      <c r="I27" s="655">
        <v>16457.23</v>
      </c>
      <c r="J27" s="655">
        <v>0</v>
      </c>
      <c r="K27" s="655">
        <v>0</v>
      </c>
      <c r="L27" s="655">
        <v>0</v>
      </c>
      <c r="M27" s="656">
        <v>0</v>
      </c>
      <c r="N27" s="653">
        <f>SUM(B27:M27)</f>
        <v>243179.82</v>
      </c>
      <c r="O27" s="636">
        <f>876453.01+N27</f>
        <v>1119632.83</v>
      </c>
      <c r="P27" s="650">
        <v>3483000</v>
      </c>
      <c r="Q27" s="649">
        <v>0</v>
      </c>
      <c r="R27" s="309">
        <f t="shared" ref="R27:R29" si="6">+O27/P27</f>
        <v>0.32145645420614416</v>
      </c>
    </row>
    <row r="28" spans="1:18">
      <c r="A28" s="322" t="s">
        <v>200</v>
      </c>
      <c r="B28" s="633">
        <v>32236.809999999998</v>
      </c>
      <c r="C28" s="634">
        <v>34720.53</v>
      </c>
      <c r="D28" s="634">
        <v>24027.439999999999</v>
      </c>
      <c r="E28" s="634">
        <v>30223.21</v>
      </c>
      <c r="F28" s="634">
        <v>42039.67</v>
      </c>
      <c r="G28" s="634">
        <v>45971.29</v>
      </c>
      <c r="H28" s="634">
        <v>46349.860000000008</v>
      </c>
      <c r="I28" s="634">
        <v>38138.93</v>
      </c>
      <c r="J28" s="634">
        <v>0</v>
      </c>
      <c r="K28" s="634">
        <v>0</v>
      </c>
      <c r="L28" s="634">
        <v>0</v>
      </c>
      <c r="M28" s="635">
        <v>0</v>
      </c>
      <c r="N28" s="653">
        <f>SUM(B28:M28)</f>
        <v>293707.74</v>
      </c>
      <c r="O28" s="636">
        <f>1065210.38+N28</f>
        <v>1358918.1199999999</v>
      </c>
      <c r="P28" s="650">
        <v>3794000</v>
      </c>
      <c r="Q28" s="649">
        <v>0</v>
      </c>
      <c r="R28" s="309">
        <f t="shared" si="6"/>
        <v>0.35817557195571953</v>
      </c>
    </row>
    <row r="29" spans="1:18">
      <c r="A29" s="326" t="s">
        <v>201</v>
      </c>
      <c r="B29" s="639">
        <v>19221.389999999996</v>
      </c>
      <c r="C29" s="640">
        <v>19881.62</v>
      </c>
      <c r="D29" s="640">
        <v>19473.639999999992</v>
      </c>
      <c r="E29" s="640">
        <v>98066.9</v>
      </c>
      <c r="F29" s="640">
        <v>65554.180000000008</v>
      </c>
      <c r="G29" s="640">
        <v>16421.170000000006</v>
      </c>
      <c r="H29" s="640">
        <v>25366.35</v>
      </c>
      <c r="I29" s="640">
        <v>43205.62000000001</v>
      </c>
      <c r="J29" s="640">
        <v>0</v>
      </c>
      <c r="K29" s="640">
        <v>0</v>
      </c>
      <c r="L29" s="640">
        <v>0</v>
      </c>
      <c r="M29" s="641">
        <v>0</v>
      </c>
      <c r="N29" s="653">
        <f>SUM(B29:M29)</f>
        <v>307190.87</v>
      </c>
      <c r="O29" s="636">
        <f>591946.07+N29</f>
        <v>899136.94</v>
      </c>
      <c r="P29" s="649">
        <v>11267000</v>
      </c>
      <c r="Q29" s="649">
        <v>0</v>
      </c>
      <c r="R29" s="309">
        <f t="shared" si="6"/>
        <v>7.9802692819739063E-2</v>
      </c>
    </row>
    <row r="30" spans="1:18">
      <c r="A30" s="324" t="s">
        <v>202</v>
      </c>
      <c r="B30" s="639">
        <f t="shared" ref="B30:I30" si="7">SUM(B27:B29)</f>
        <v>91558.44</v>
      </c>
      <c r="C30" s="643">
        <f t="shared" si="7"/>
        <v>118646.47</v>
      </c>
      <c r="D30" s="643">
        <f t="shared" si="7"/>
        <v>50095.869999999995</v>
      </c>
      <c r="E30" s="643">
        <f>SUM(E27:E29)</f>
        <v>135256.34</v>
      </c>
      <c r="F30" s="657">
        <f t="shared" si="7"/>
        <v>119233.67000000001</v>
      </c>
      <c r="G30" s="640">
        <f t="shared" si="7"/>
        <v>129860.18000000002</v>
      </c>
      <c r="H30" s="657">
        <f t="shared" si="7"/>
        <v>101625.68000000002</v>
      </c>
      <c r="I30" s="657">
        <f t="shared" si="7"/>
        <v>97801.780000000013</v>
      </c>
      <c r="J30" s="657">
        <f>SUM(J27:J29)</f>
        <v>0</v>
      </c>
      <c r="K30" s="657">
        <f>SUM(K27:K29)</f>
        <v>0</v>
      </c>
      <c r="L30" s="657">
        <f>SUM(L27:L29)</f>
        <v>0</v>
      </c>
      <c r="M30" s="657">
        <f t="shared" ref="M30:Q30" si="8">SUM(M27:M29)</f>
        <v>0</v>
      </c>
      <c r="N30" s="646">
        <f t="shared" si="8"/>
        <v>844078.43</v>
      </c>
      <c r="O30" s="646">
        <f t="shared" si="8"/>
        <v>3377687.89</v>
      </c>
      <c r="P30" s="645">
        <f>SUM(P27:P29)</f>
        <v>18544000</v>
      </c>
      <c r="Q30" s="646">
        <f t="shared" si="8"/>
        <v>0</v>
      </c>
      <c r="R30" s="311">
        <f>O30/P30</f>
        <v>0.18214451520707506</v>
      </c>
    </row>
    <row r="31" spans="1:18">
      <c r="A31" s="322"/>
      <c r="B31" s="633"/>
      <c r="C31" s="636"/>
      <c r="D31" s="636"/>
      <c r="E31" s="636"/>
      <c r="F31" s="647"/>
      <c r="G31" s="648"/>
      <c r="H31" s="647"/>
      <c r="I31" s="647"/>
      <c r="J31" s="647"/>
      <c r="K31" s="647"/>
      <c r="L31" s="647"/>
      <c r="M31" s="647"/>
      <c r="N31" s="649"/>
      <c r="O31" s="649"/>
      <c r="P31" s="650"/>
      <c r="Q31" s="649"/>
      <c r="R31" s="309"/>
    </row>
    <row r="32" spans="1:18">
      <c r="A32" s="321" t="s">
        <v>203</v>
      </c>
      <c r="B32" s="633"/>
      <c r="C32" s="636"/>
      <c r="D32" s="636"/>
      <c r="E32" s="636"/>
      <c r="F32" s="647"/>
      <c r="G32" s="648"/>
      <c r="H32" s="647"/>
      <c r="I32" s="647"/>
      <c r="J32" s="647"/>
      <c r="K32" s="647"/>
      <c r="L32" s="647"/>
      <c r="M32" s="647"/>
      <c r="N32" s="649"/>
      <c r="O32" s="649"/>
      <c r="P32" s="650"/>
      <c r="Q32" s="649"/>
      <c r="R32" s="309"/>
    </row>
    <row r="33" spans="1:18">
      <c r="A33" s="322" t="s">
        <v>204</v>
      </c>
      <c r="B33" s="654">
        <v>0</v>
      </c>
      <c r="C33" s="655">
        <v>0</v>
      </c>
      <c r="D33" s="655">
        <v>0</v>
      </c>
      <c r="E33" s="655">
        <v>0</v>
      </c>
      <c r="F33" s="655">
        <v>0</v>
      </c>
      <c r="G33" s="655">
        <v>0</v>
      </c>
      <c r="H33" s="655">
        <v>0</v>
      </c>
      <c r="I33" s="655">
        <v>0</v>
      </c>
      <c r="J33" s="655">
        <v>0</v>
      </c>
      <c r="K33" s="655">
        <v>0</v>
      </c>
      <c r="L33" s="655">
        <v>0</v>
      </c>
      <c r="M33" s="656">
        <v>0</v>
      </c>
      <c r="N33" s="653">
        <f>SUM(B33:M33)</f>
        <v>0</v>
      </c>
      <c r="O33" s="636">
        <f>8111.66+N33</f>
        <v>8111.66</v>
      </c>
      <c r="P33" s="650">
        <v>2507000</v>
      </c>
      <c r="Q33" s="649">
        <v>0</v>
      </c>
      <c r="R33" s="309">
        <f t="shared" ref="R33:R36" si="9">+O33/P33</f>
        <v>3.2356043079377742E-3</v>
      </c>
    </row>
    <row r="34" spans="1:18">
      <c r="A34" s="322" t="s">
        <v>205</v>
      </c>
      <c r="B34" s="633">
        <v>0</v>
      </c>
      <c r="C34" s="634">
        <v>256.56</v>
      </c>
      <c r="D34" s="634">
        <v>2131.08</v>
      </c>
      <c r="E34" s="634">
        <v>1943.22</v>
      </c>
      <c r="F34" s="634">
        <v>1669.8600000000001</v>
      </c>
      <c r="G34" s="634">
        <v>1846.42</v>
      </c>
      <c r="H34" s="634">
        <v>2226.34</v>
      </c>
      <c r="I34" s="634">
        <v>1283.73</v>
      </c>
      <c r="J34" s="634">
        <v>0</v>
      </c>
      <c r="K34" s="634">
        <v>0</v>
      </c>
      <c r="L34" s="634">
        <v>0</v>
      </c>
      <c r="M34" s="635">
        <v>0</v>
      </c>
      <c r="N34" s="653">
        <f>SUM(B34:M34)</f>
        <v>11357.21</v>
      </c>
      <c r="O34" s="636">
        <f>0+N34</f>
        <v>11357.21</v>
      </c>
      <c r="P34" s="649">
        <v>500000</v>
      </c>
      <c r="Q34" s="649">
        <v>0</v>
      </c>
      <c r="R34" s="309">
        <f t="shared" si="9"/>
        <v>2.2714419999999999E-2</v>
      </c>
    </row>
    <row r="35" spans="1:18">
      <c r="A35" s="339" t="s">
        <v>206</v>
      </c>
      <c r="B35" s="633">
        <v>1411.1</v>
      </c>
      <c r="C35" s="634">
        <v>1603.54</v>
      </c>
      <c r="D35" s="634">
        <v>74418.97</v>
      </c>
      <c r="E35" s="634">
        <v>3134.75</v>
      </c>
      <c r="F35" s="634">
        <v>3788.91</v>
      </c>
      <c r="G35" s="634">
        <v>3934.96</v>
      </c>
      <c r="H35" s="634">
        <v>5339.9500000000007</v>
      </c>
      <c r="I35" s="634">
        <v>3045.79</v>
      </c>
      <c r="J35" s="634">
        <v>0</v>
      </c>
      <c r="K35" s="634">
        <v>0</v>
      </c>
      <c r="L35" s="634">
        <v>0</v>
      </c>
      <c r="M35" s="635">
        <v>0</v>
      </c>
      <c r="N35" s="653">
        <f>SUM(B35:M35)</f>
        <v>96677.97</v>
      </c>
      <c r="O35" s="636">
        <f>389509.21+N35</f>
        <v>486187.18000000005</v>
      </c>
      <c r="P35" s="650">
        <v>2148000</v>
      </c>
      <c r="Q35" s="649">
        <v>0</v>
      </c>
      <c r="R35" s="309">
        <f t="shared" si="9"/>
        <v>0.22634412476722535</v>
      </c>
    </row>
    <row r="36" spans="1:18">
      <c r="A36" s="340" t="s">
        <v>207</v>
      </c>
      <c r="B36" s="639">
        <v>0</v>
      </c>
      <c r="C36" s="640">
        <v>0</v>
      </c>
      <c r="D36" s="640">
        <v>0</v>
      </c>
      <c r="E36" s="640">
        <v>0</v>
      </c>
      <c r="F36" s="640">
        <v>0</v>
      </c>
      <c r="G36" s="640">
        <v>0</v>
      </c>
      <c r="H36" s="640">
        <v>0</v>
      </c>
      <c r="I36" s="640">
        <v>0</v>
      </c>
      <c r="J36" s="640">
        <v>0</v>
      </c>
      <c r="K36" s="640">
        <v>0</v>
      </c>
      <c r="L36" s="640">
        <v>0</v>
      </c>
      <c r="M36" s="641">
        <v>0</v>
      </c>
      <c r="N36" s="653">
        <f>SUM(B36:M36)</f>
        <v>0</v>
      </c>
      <c r="O36" s="636">
        <f>36788.21+N36</f>
        <v>36788.21</v>
      </c>
      <c r="P36" s="649">
        <v>340000</v>
      </c>
      <c r="Q36" s="649">
        <v>0</v>
      </c>
      <c r="R36" s="309">
        <f t="shared" si="9"/>
        <v>0.10820061764705882</v>
      </c>
    </row>
    <row r="37" spans="1:18" ht="14.25">
      <c r="A37" s="324" t="s">
        <v>208</v>
      </c>
      <c r="B37" s="639">
        <f t="shared" ref="B37:Q37" si="10">SUM(B33:B36)</f>
        <v>1411.1</v>
      </c>
      <c r="C37" s="643">
        <f t="shared" si="10"/>
        <v>1860.1</v>
      </c>
      <c r="D37" s="643">
        <f t="shared" si="10"/>
        <v>76550.05</v>
      </c>
      <c r="E37" s="643">
        <f t="shared" si="10"/>
        <v>5077.97</v>
      </c>
      <c r="F37" s="643">
        <f t="shared" si="10"/>
        <v>5458.77</v>
      </c>
      <c r="G37" s="640">
        <f t="shared" si="10"/>
        <v>5781.38</v>
      </c>
      <c r="H37" s="643">
        <f t="shared" si="10"/>
        <v>7566.2900000000009</v>
      </c>
      <c r="I37" s="643">
        <f t="shared" si="10"/>
        <v>4329.5200000000004</v>
      </c>
      <c r="J37" s="643">
        <f t="shared" si="10"/>
        <v>0</v>
      </c>
      <c r="K37" s="643">
        <f t="shared" si="10"/>
        <v>0</v>
      </c>
      <c r="L37" s="643">
        <f t="shared" si="10"/>
        <v>0</v>
      </c>
      <c r="M37" s="658">
        <f t="shared" si="10"/>
        <v>0</v>
      </c>
      <c r="N37" s="659">
        <f>SUM(N33:N36)</f>
        <v>108035.18</v>
      </c>
      <c r="O37" s="646">
        <f>SUM(O33:O36)</f>
        <v>542444.26</v>
      </c>
      <c r="P37" s="645">
        <f t="shared" si="10"/>
        <v>5495000</v>
      </c>
      <c r="Q37" s="646">
        <f t="shared" si="10"/>
        <v>0</v>
      </c>
      <c r="R37" s="311">
        <f>O37/P37</f>
        <v>9.871597088262056E-2</v>
      </c>
    </row>
    <row r="38" spans="1:18">
      <c r="A38" s="322"/>
      <c r="B38" s="633"/>
      <c r="C38" s="636"/>
      <c r="D38" s="636"/>
      <c r="E38" s="636"/>
      <c r="F38" s="647"/>
      <c r="G38" s="648"/>
      <c r="H38" s="647"/>
      <c r="I38" s="647"/>
      <c r="J38" s="647"/>
      <c r="K38" s="647"/>
      <c r="L38" s="647"/>
      <c r="M38" s="647"/>
      <c r="N38" s="649"/>
      <c r="O38" s="649"/>
      <c r="P38" s="650"/>
      <c r="Q38" s="649"/>
      <c r="R38" s="309"/>
    </row>
    <row r="39" spans="1:18">
      <c r="A39" s="321" t="s">
        <v>209</v>
      </c>
      <c r="B39" s="633"/>
      <c r="C39" s="636"/>
      <c r="D39" s="636"/>
      <c r="E39" s="636"/>
      <c r="F39" s="647"/>
      <c r="G39" s="648"/>
      <c r="H39" s="647"/>
      <c r="I39" s="647"/>
      <c r="J39" s="647"/>
      <c r="K39" s="647"/>
      <c r="L39" s="647"/>
      <c r="M39" s="647"/>
      <c r="N39" s="649"/>
      <c r="O39" s="649"/>
      <c r="P39" s="650"/>
      <c r="Q39" s="649"/>
      <c r="R39" s="309"/>
    </row>
    <row r="40" spans="1:18" ht="14.25">
      <c r="A40" s="322" t="s">
        <v>210</v>
      </c>
      <c r="B40" s="660">
        <v>5607.42</v>
      </c>
      <c r="C40" s="661">
        <v>5068</v>
      </c>
      <c r="D40" s="661">
        <v>-1294.95</v>
      </c>
      <c r="E40" s="661">
        <v>12690</v>
      </c>
      <c r="F40" s="661">
        <v>31269.999999999996</v>
      </c>
      <c r="G40" s="661">
        <v>131030.98999999998</v>
      </c>
      <c r="H40" s="661">
        <v>-12682.48</v>
      </c>
      <c r="I40" s="661">
        <v>246245.53</v>
      </c>
      <c r="J40" s="661">
        <v>0</v>
      </c>
      <c r="K40" s="661">
        <v>0</v>
      </c>
      <c r="L40" s="661">
        <v>0</v>
      </c>
      <c r="M40" s="662">
        <v>0</v>
      </c>
      <c r="N40" s="653">
        <f>SUM(B40:M40)</f>
        <v>417934.50999999995</v>
      </c>
      <c r="O40" s="636">
        <f>1731120+N40</f>
        <v>2149054.5099999998</v>
      </c>
      <c r="P40" s="650">
        <v>4502000</v>
      </c>
      <c r="Q40" s="649">
        <v>0</v>
      </c>
      <c r="R40" s="309">
        <f t="shared" ref="R40" si="11">+O40/P40</f>
        <v>0.47735551088405148</v>
      </c>
    </row>
    <row r="41" spans="1:18">
      <c r="A41" s="324" t="s">
        <v>211</v>
      </c>
      <c r="B41" s="639">
        <f t="shared" ref="B41:N41" si="12">SUM(B40:B40)</f>
        <v>5607.42</v>
      </c>
      <c r="C41" s="643">
        <f t="shared" si="12"/>
        <v>5068</v>
      </c>
      <c r="D41" s="643">
        <f t="shared" si="12"/>
        <v>-1294.95</v>
      </c>
      <c r="E41" s="643">
        <f t="shared" si="12"/>
        <v>12690</v>
      </c>
      <c r="F41" s="657">
        <f t="shared" si="12"/>
        <v>31269.999999999996</v>
      </c>
      <c r="G41" s="640">
        <f t="shared" si="12"/>
        <v>131030.98999999998</v>
      </c>
      <c r="H41" s="657">
        <f t="shared" si="12"/>
        <v>-12682.48</v>
      </c>
      <c r="I41" s="657">
        <f t="shared" si="12"/>
        <v>246245.53</v>
      </c>
      <c r="J41" s="657">
        <f t="shared" si="12"/>
        <v>0</v>
      </c>
      <c r="K41" s="657">
        <f t="shared" si="12"/>
        <v>0</v>
      </c>
      <c r="L41" s="657">
        <f t="shared" si="12"/>
        <v>0</v>
      </c>
      <c r="M41" s="657">
        <f t="shared" si="12"/>
        <v>0</v>
      </c>
      <c r="N41" s="646">
        <f t="shared" si="12"/>
        <v>417934.50999999995</v>
      </c>
      <c r="O41" s="646">
        <f>O40</f>
        <v>2149054.5099999998</v>
      </c>
      <c r="P41" s="645">
        <f>SUM(P40)</f>
        <v>4502000</v>
      </c>
      <c r="Q41" s="646">
        <f>SUM(Q40:Q40)</f>
        <v>0</v>
      </c>
      <c r="R41" s="311">
        <f>O41/P41</f>
        <v>0.47735551088405148</v>
      </c>
    </row>
    <row r="42" spans="1:18">
      <c r="A42" s="321"/>
      <c r="B42" s="633"/>
      <c r="C42" s="636"/>
      <c r="D42" s="636"/>
      <c r="E42" s="636"/>
      <c r="F42" s="647"/>
      <c r="G42" s="648"/>
      <c r="H42" s="647"/>
      <c r="I42" s="647"/>
      <c r="J42" s="647"/>
      <c r="K42" s="647"/>
      <c r="L42" s="647"/>
      <c r="M42" s="647"/>
      <c r="N42" s="649"/>
      <c r="O42" s="663"/>
      <c r="P42" s="664"/>
      <c r="Q42" s="649"/>
      <c r="R42" s="309"/>
    </row>
    <row r="43" spans="1:18">
      <c r="A43" s="321" t="s">
        <v>212</v>
      </c>
      <c r="B43" s="633"/>
      <c r="C43" s="636"/>
      <c r="D43" s="636"/>
      <c r="E43" s="636"/>
      <c r="F43" s="647"/>
      <c r="G43" s="648"/>
      <c r="H43" s="647"/>
      <c r="I43" s="647"/>
      <c r="J43" s="647"/>
      <c r="K43" s="647"/>
      <c r="L43" s="647"/>
      <c r="M43" s="647"/>
      <c r="N43" s="649"/>
      <c r="O43" s="663"/>
      <c r="P43" s="650"/>
      <c r="Q43" s="649"/>
      <c r="R43" s="309"/>
    </row>
    <row r="44" spans="1:18" ht="14.25">
      <c r="A44" s="322" t="s">
        <v>333</v>
      </c>
      <c r="B44" s="633">
        <v>28658.379999999997</v>
      </c>
      <c r="C44" s="634">
        <v>29536.71</v>
      </c>
      <c r="D44" s="634">
        <v>49590.439999999995</v>
      </c>
      <c r="E44" s="634">
        <v>50044.15</v>
      </c>
      <c r="F44" s="634">
        <v>46539.71</v>
      </c>
      <c r="G44" s="634">
        <v>48785.2</v>
      </c>
      <c r="H44" s="634">
        <v>53306.070000000007</v>
      </c>
      <c r="I44" s="634">
        <v>23317.25</v>
      </c>
      <c r="J44" s="634">
        <v>0</v>
      </c>
      <c r="K44" s="634">
        <v>0</v>
      </c>
      <c r="L44" s="634">
        <v>0</v>
      </c>
      <c r="M44" s="634">
        <v>0</v>
      </c>
      <c r="N44" s="649">
        <f>SUM(B44:M44)</f>
        <v>329777.90999999997</v>
      </c>
      <c r="O44" s="636">
        <f>1022198.73+N44</f>
        <v>1351976.64</v>
      </c>
      <c r="P44" s="665">
        <f>4095000-166000</f>
        <v>3929000</v>
      </c>
      <c r="Q44" s="649">
        <v>-166000</v>
      </c>
      <c r="R44" s="309">
        <f t="shared" ref="R44:R47" si="13">+O44/P44</f>
        <v>0.34410196996691267</v>
      </c>
    </row>
    <row r="45" spans="1:18" s="201" customFormat="1" ht="14.25">
      <c r="A45" s="323" t="s">
        <v>334</v>
      </c>
      <c r="B45" s="633">
        <v>40093.299999999996</v>
      </c>
      <c r="C45" s="634">
        <v>309649.94</v>
      </c>
      <c r="D45" s="634">
        <v>241075.76</v>
      </c>
      <c r="E45" s="634">
        <v>-126678.38999999996</v>
      </c>
      <c r="F45" s="634">
        <v>120194.03</v>
      </c>
      <c r="G45" s="634">
        <v>321849.10000000003</v>
      </c>
      <c r="H45" s="634">
        <v>107305.69000000002</v>
      </c>
      <c r="I45" s="634">
        <v>137303.64000000001</v>
      </c>
      <c r="J45" s="634">
        <v>0</v>
      </c>
      <c r="K45" s="634">
        <v>0</v>
      </c>
      <c r="L45" s="634">
        <v>0</v>
      </c>
      <c r="M45" s="634">
        <v>0</v>
      </c>
      <c r="N45" s="650">
        <f>SUM(B45:M45)</f>
        <v>1150793.07</v>
      </c>
      <c r="O45" s="666">
        <f>3230727.24+N45</f>
        <v>4381520.3100000005</v>
      </c>
      <c r="P45" s="665">
        <f>7948000+566000</f>
        <v>8514000</v>
      </c>
      <c r="Q45" s="650">
        <v>566000</v>
      </c>
      <c r="R45" s="459">
        <f t="shared" si="13"/>
        <v>0.51462535940803389</v>
      </c>
    </row>
    <row r="46" spans="1:18" ht="14.25">
      <c r="A46" s="322" t="s">
        <v>335</v>
      </c>
      <c r="B46" s="633">
        <v>76793.719999999987</v>
      </c>
      <c r="C46" s="634">
        <v>100941.29999999999</v>
      </c>
      <c r="D46" s="634">
        <v>74772.52</v>
      </c>
      <c r="E46" s="634">
        <v>-10865.939999999999</v>
      </c>
      <c r="F46" s="634">
        <v>87840</v>
      </c>
      <c r="G46" s="634">
        <v>32978.149999999994</v>
      </c>
      <c r="H46" s="634">
        <v>38278.789999999994</v>
      </c>
      <c r="I46" s="634">
        <v>21383.010000000002</v>
      </c>
      <c r="J46" s="634">
        <v>0</v>
      </c>
      <c r="K46" s="634">
        <v>0</v>
      </c>
      <c r="L46" s="634">
        <v>0</v>
      </c>
      <c r="M46" s="634">
        <v>0</v>
      </c>
      <c r="N46" s="649">
        <f>SUM(B46:M46)</f>
        <v>422121.55</v>
      </c>
      <c r="O46" s="636">
        <f>1507881.71+N46</f>
        <v>1930003.26</v>
      </c>
      <c r="P46" s="667">
        <f>5600600-400000</f>
        <v>5200600</v>
      </c>
      <c r="Q46" s="649">
        <v>-400000</v>
      </c>
      <c r="R46" s="309">
        <f t="shared" si="13"/>
        <v>0.37111165250163441</v>
      </c>
    </row>
    <row r="47" spans="1:18">
      <c r="A47" s="322" t="s">
        <v>214</v>
      </c>
      <c r="B47" s="633">
        <v>0</v>
      </c>
      <c r="C47" s="634">
        <v>0</v>
      </c>
      <c r="D47" s="634">
        <v>0</v>
      </c>
      <c r="E47" s="634">
        <v>22346.01</v>
      </c>
      <c r="F47" s="634">
        <v>0</v>
      </c>
      <c r="G47" s="634">
        <v>0</v>
      </c>
      <c r="H47" s="634">
        <v>0</v>
      </c>
      <c r="I47" s="634">
        <v>0</v>
      </c>
      <c r="J47" s="634">
        <v>0</v>
      </c>
      <c r="K47" s="634">
        <v>0</v>
      </c>
      <c r="L47" s="634">
        <v>0</v>
      </c>
      <c r="M47" s="634">
        <v>0</v>
      </c>
      <c r="N47" s="649">
        <f>SUM(B47:M47)</f>
        <v>22346.01</v>
      </c>
      <c r="O47" s="636">
        <f>217109.79+N47</f>
        <v>239455.80000000002</v>
      </c>
      <c r="P47" s="668">
        <v>1000000</v>
      </c>
      <c r="Q47" s="649">
        <v>0</v>
      </c>
      <c r="R47" s="309">
        <f t="shared" si="13"/>
        <v>0.23945580000000002</v>
      </c>
    </row>
    <row r="48" spans="1:18">
      <c r="A48" s="324" t="s">
        <v>215</v>
      </c>
      <c r="B48" s="651">
        <f>SUM(B44:B47)</f>
        <v>145545.39999999997</v>
      </c>
      <c r="C48" s="652">
        <f t="shared" ref="C48:M48" si="14">SUM(C44:C47)</f>
        <v>440127.95</v>
      </c>
      <c r="D48" s="652">
        <f t="shared" si="14"/>
        <v>365438.72000000003</v>
      </c>
      <c r="E48" s="652">
        <f t="shared" si="14"/>
        <v>-65154.169999999969</v>
      </c>
      <c r="F48" s="652">
        <f t="shared" si="14"/>
        <v>254573.74</v>
      </c>
      <c r="G48" s="652">
        <f>SUM(G44:G47)</f>
        <v>403612.45000000007</v>
      </c>
      <c r="H48" s="652">
        <f t="shared" si="14"/>
        <v>198890.55</v>
      </c>
      <c r="I48" s="652">
        <f t="shared" si="14"/>
        <v>182003.90000000002</v>
      </c>
      <c r="J48" s="652">
        <f t="shared" si="14"/>
        <v>0</v>
      </c>
      <c r="K48" s="652">
        <f t="shared" si="14"/>
        <v>0</v>
      </c>
      <c r="L48" s="652">
        <f t="shared" si="14"/>
        <v>0</v>
      </c>
      <c r="M48" s="652">
        <f t="shared" si="14"/>
        <v>0</v>
      </c>
      <c r="N48" s="646">
        <f>N47+N46+N45+N44</f>
        <v>1925038.54</v>
      </c>
      <c r="O48" s="646">
        <f>SUM(O44:O47)</f>
        <v>7902956.0099999998</v>
      </c>
      <c r="P48" s="645">
        <f>SUM(P44:P47)</f>
        <v>18643600</v>
      </c>
      <c r="Q48" s="646">
        <f>SUM(Q44:Q47)</f>
        <v>0</v>
      </c>
      <c r="R48" s="311">
        <f>O48/P48</f>
        <v>0.42389645830204464</v>
      </c>
    </row>
    <row r="49" spans="1:18">
      <c r="A49" s="321"/>
      <c r="B49" s="633"/>
      <c r="C49" s="636"/>
      <c r="D49" s="636"/>
      <c r="E49" s="636"/>
      <c r="F49" s="647"/>
      <c r="G49" s="648"/>
      <c r="H49" s="647"/>
      <c r="I49" s="647"/>
      <c r="J49" s="647"/>
      <c r="K49" s="647"/>
      <c r="L49" s="647"/>
      <c r="M49" s="647"/>
      <c r="N49" s="649"/>
      <c r="O49" s="649"/>
      <c r="P49" s="650"/>
      <c r="Q49" s="649"/>
      <c r="R49" s="309"/>
    </row>
    <row r="50" spans="1:18" ht="15" customHeight="1" thickBot="1">
      <c r="A50" s="327" t="s">
        <v>216</v>
      </c>
      <c r="B50" s="651">
        <f>B48+B41+B37+B30+B24+B20+B16</f>
        <v>333856.49</v>
      </c>
      <c r="C50" s="652">
        <f>C48+C41+C37+C30+C24+C20+C16</f>
        <v>784872.22</v>
      </c>
      <c r="D50" s="652">
        <f t="shared" ref="D50:M50" si="15">D48+D41+D37+D30+D24+D20+D16</f>
        <v>738230.4</v>
      </c>
      <c r="E50" s="652">
        <f t="shared" si="15"/>
        <v>320154.48</v>
      </c>
      <c r="F50" s="652">
        <f t="shared" si="15"/>
        <v>471591.65000000008</v>
      </c>
      <c r="G50" s="652">
        <f t="shared" si="15"/>
        <v>823262.42</v>
      </c>
      <c r="H50" s="652">
        <f t="shared" si="15"/>
        <v>390796.74000000005</v>
      </c>
      <c r="I50" s="652">
        <f t="shared" si="15"/>
        <v>792126.29</v>
      </c>
      <c r="J50" s="652">
        <f t="shared" si="15"/>
        <v>0</v>
      </c>
      <c r="K50" s="652">
        <f t="shared" si="15"/>
        <v>0</v>
      </c>
      <c r="L50" s="652">
        <f t="shared" si="15"/>
        <v>0</v>
      </c>
      <c r="M50" s="652">
        <f t="shared" si="15"/>
        <v>0</v>
      </c>
      <c r="N50" s="669">
        <f>N48+N41+N37+N30+N24+N20+N16</f>
        <v>4654890.6900000004</v>
      </c>
      <c r="O50" s="669">
        <f>O48+O41+O37+O30+O24+O20+O16</f>
        <v>22109367.149999999</v>
      </c>
      <c r="P50" s="670">
        <f>P48+P41+P37+P30+P24+P20+P16</f>
        <v>82380102</v>
      </c>
      <c r="Q50" s="670">
        <f>Q16+Q30+Q48</f>
        <v>0</v>
      </c>
      <c r="R50" s="313">
        <f>O50/P50</f>
        <v>0.2683823716314408</v>
      </c>
    </row>
    <row r="51" spans="1:18" ht="15" customHeight="1" thickTop="1">
      <c r="A51" s="328"/>
      <c r="B51" s="671"/>
      <c r="C51" s="647"/>
      <c r="D51" s="647"/>
      <c r="E51" s="647"/>
      <c r="F51" s="647"/>
      <c r="G51" s="672"/>
      <c r="H51" s="647"/>
      <c r="I51" s="647"/>
      <c r="J51" s="647"/>
      <c r="K51" s="647"/>
      <c r="L51" s="647"/>
      <c r="M51" s="647"/>
      <c r="N51" s="647"/>
      <c r="O51" s="647"/>
      <c r="P51" s="647" t="s">
        <v>57</v>
      </c>
      <c r="Q51" s="647"/>
      <c r="R51" s="314"/>
    </row>
    <row r="52" spans="1:18" ht="10.5" customHeight="1" thickBot="1">
      <c r="A52" s="206"/>
      <c r="B52" s="204"/>
      <c r="C52" s="141"/>
      <c r="D52" s="141"/>
      <c r="E52" s="141"/>
      <c r="F52" s="141"/>
      <c r="G52" s="141"/>
      <c r="H52" s="141"/>
      <c r="I52" s="141"/>
      <c r="J52" s="141"/>
      <c r="K52" s="141"/>
      <c r="L52" s="141"/>
      <c r="M52" s="141"/>
      <c r="N52" s="141"/>
      <c r="O52" s="141"/>
      <c r="P52" s="142"/>
      <c r="Q52" s="142"/>
      <c r="R52" s="315"/>
    </row>
    <row r="53" spans="1:18">
      <c r="A53" s="201"/>
      <c r="G53" s="264"/>
      <c r="P53" s="264" t="s">
        <v>57</v>
      </c>
    </row>
    <row r="54" spans="1:18" ht="15">
      <c r="A54" s="277" t="s">
        <v>66</v>
      </c>
      <c r="B54" s="201"/>
      <c r="N54" s="368"/>
      <c r="P54" s="130" t="s">
        <v>57</v>
      </c>
    </row>
    <row r="55" spans="1:18" ht="14.25">
      <c r="A55" s="544" t="s">
        <v>217</v>
      </c>
      <c r="B55" s="201"/>
      <c r="N55" s="368"/>
      <c r="P55" s="592">
        <f>P50-P24+2981000</f>
        <v>77041102</v>
      </c>
    </row>
    <row r="56" spans="1:18" ht="14.25">
      <c r="A56" s="544" t="s">
        <v>218</v>
      </c>
      <c r="B56" s="201"/>
      <c r="N56" s="368"/>
    </row>
    <row r="57" spans="1:18" ht="14.25">
      <c r="A57" s="544" t="s">
        <v>219</v>
      </c>
    </row>
    <row r="58" spans="1:18" ht="14.25">
      <c r="A58" s="544" t="s">
        <v>220</v>
      </c>
    </row>
    <row r="59" spans="1:18" ht="14.25">
      <c r="A59" s="544" t="s">
        <v>221</v>
      </c>
    </row>
    <row r="60" spans="1:18" ht="14.25">
      <c r="A60" s="130" t="s">
        <v>222</v>
      </c>
    </row>
    <row r="61" spans="1:18" ht="16.5">
      <c r="A61" s="338" t="s">
        <v>223</v>
      </c>
    </row>
    <row r="62" spans="1:18" ht="14.25">
      <c r="A62" s="130" t="s">
        <v>332</v>
      </c>
    </row>
    <row r="63" spans="1:18" ht="15">
      <c r="A63" s="243" t="s">
        <v>73</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19"/>
  <sheetViews>
    <sheetView zoomScaleNormal="100" zoomScaleSheetLayoutView="100" workbookViewId="0">
      <selection activeCell="C26" sqref="C26"/>
    </sheetView>
  </sheetViews>
  <sheetFormatPr defaultColWidth="9.28515625" defaultRowHeight="12.75"/>
  <cols>
    <col min="1" max="1" width="29.28515625" style="143" customWidth="1"/>
    <col min="2" max="2" width="15" style="143" customWidth="1"/>
    <col min="3" max="3" width="49.7109375" style="143" customWidth="1"/>
    <col min="4" max="4" width="11.28515625" style="143" customWidth="1"/>
    <col min="5" max="5" width="57" style="143" customWidth="1"/>
    <col min="6" max="13" width="9.28515625" style="143"/>
    <col min="14" max="14" width="23.7109375" style="143" bestFit="1" customWidth="1"/>
    <col min="15" max="16384" width="9.28515625" style="143"/>
  </cols>
  <sheetData>
    <row r="1" spans="1:14">
      <c r="C1" s="149" t="s">
        <v>39</v>
      </c>
    </row>
    <row r="2" spans="1:14">
      <c r="C2" s="149" t="s">
        <v>224</v>
      </c>
    </row>
    <row r="3" spans="1:14">
      <c r="C3" s="202" t="str">
        <f>'Program MW '!H3</f>
        <v>August 2020</v>
      </c>
    </row>
    <row r="4" spans="1:14">
      <c r="C4" s="17"/>
    </row>
    <row r="5" spans="1:14">
      <c r="C5" s="17"/>
      <c r="D5" s="200"/>
    </row>
    <row r="6" spans="1:14" s="17" customFormat="1">
      <c r="A6" s="283"/>
      <c r="B6" s="283"/>
    </row>
    <row r="7" spans="1:14" s="17" customFormat="1"/>
    <row r="8" spans="1:14" s="19" customFormat="1">
      <c r="A8" s="18" t="s">
        <v>225</v>
      </c>
      <c r="B8" s="18" t="s">
        <v>226</v>
      </c>
      <c r="C8" s="18" t="s">
        <v>227</v>
      </c>
      <c r="D8" s="18" t="s">
        <v>228</v>
      </c>
      <c r="E8" s="18" t="s">
        <v>229</v>
      </c>
    </row>
    <row r="9" spans="1:14" s="375" customFormat="1" ht="51">
      <c r="A9" s="371" t="s">
        <v>212</v>
      </c>
      <c r="B9" s="372">
        <v>-166000</v>
      </c>
      <c r="C9" s="379" t="s">
        <v>213</v>
      </c>
      <c r="D9" s="374">
        <v>44061</v>
      </c>
      <c r="E9" s="373" t="s">
        <v>338</v>
      </c>
    </row>
    <row r="10" spans="1:14" s="378" customFormat="1" ht="51">
      <c r="A10" s="371" t="s">
        <v>212</v>
      </c>
      <c r="B10" s="377">
        <v>-400000</v>
      </c>
      <c r="C10" s="379" t="s">
        <v>337</v>
      </c>
      <c r="D10" s="374">
        <v>44061</v>
      </c>
      <c r="E10" s="373" t="s">
        <v>338</v>
      </c>
    </row>
    <row r="11" spans="1:14" s="378" customFormat="1" ht="51">
      <c r="A11" s="371" t="s">
        <v>212</v>
      </c>
      <c r="B11" s="377">
        <v>566000</v>
      </c>
      <c r="C11" s="380" t="s">
        <v>336</v>
      </c>
      <c r="D11" s="374">
        <v>44061</v>
      </c>
      <c r="E11" s="373" t="s">
        <v>338</v>
      </c>
    </row>
    <row r="12" spans="1:14" s="378" customFormat="1">
      <c r="A12" s="376" t="s">
        <v>57</v>
      </c>
      <c r="B12" s="377" t="s">
        <v>57</v>
      </c>
      <c r="C12" s="380" t="s">
        <v>57</v>
      </c>
      <c r="D12" s="374"/>
      <c r="E12" s="373"/>
    </row>
    <row r="13" spans="1:14">
      <c r="A13" s="145" t="s">
        <v>109</v>
      </c>
      <c r="B13" s="236">
        <f>SUM(B9:B12)</f>
        <v>0</v>
      </c>
      <c r="C13" s="144"/>
      <c r="D13" s="144"/>
      <c r="E13" s="144"/>
    </row>
    <row r="14" spans="1:14">
      <c r="A14" s="144"/>
      <c r="B14" s="144"/>
      <c r="C14" s="144"/>
      <c r="D14" s="144"/>
      <c r="E14" s="144"/>
    </row>
    <row r="15" spans="1:14">
      <c r="N15" s="143">
        <v>15648</v>
      </c>
    </row>
    <row r="16" spans="1:14" ht="14.25">
      <c r="A16" s="505" t="s">
        <v>66</v>
      </c>
      <c r="N16" s="143">
        <v>972</v>
      </c>
    </row>
    <row r="17" spans="1:5" ht="14.25">
      <c r="A17" s="506" t="s">
        <v>230</v>
      </c>
    </row>
    <row r="18" spans="1:5" ht="14.25">
      <c r="A18" s="505"/>
    </row>
    <row r="19" spans="1:5" ht="15">
      <c r="A19" s="507" t="s">
        <v>73</v>
      </c>
      <c r="E19" s="146"/>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7RCVYNPDDY4V-1526832976-91</_dlc_DocId>
    <_dlc_DocIdUrl xmlns="9bf079a2-8838-46e4-a25e-754293e27338">
      <Url>https://sempra.sharepoint.com/teams/sdgecp/po/drps/_layouts/15/DocIdRedir.aspx?ID=7RCVYNPDDY4V-1526832976-91</Url>
      <Description>7RCVYNPDDY4V-1526832976-91</Description>
    </_dlc_DocIdUrl>
  </documentManagement>
</p:properties>
</file>

<file path=customXml/itemProps1.xml><?xml version="1.0" encoding="utf-8"?>
<ds:datastoreItem xmlns:ds="http://schemas.openxmlformats.org/officeDocument/2006/customXml" ds:itemID="{195C82DE-5986-4678-9417-D91ED0D4C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5FF572-7918-47FB-B017-FD232D45D90B}">
  <ds:schemaRefs>
    <ds:schemaRef ds:uri="http://schemas.microsoft.com/sharepoint/events"/>
  </ds:schemaRefs>
</ds:datastoreItem>
</file>

<file path=customXml/itemProps3.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4.xml><?xml version="1.0" encoding="utf-8"?>
<ds:datastoreItem xmlns:ds="http://schemas.openxmlformats.org/officeDocument/2006/customXml" ds:itemID="{5B9CE5A5-034A-44C5-96B1-1FD952A1C468}">
  <ds:schemaRefs>
    <ds:schemaRef ds:uri="http://purl.org/dc/elements/1.1/"/>
    <ds:schemaRef ds:uri="http://schemas.openxmlformats.org/package/2006/metadata/core-properties"/>
    <ds:schemaRef ds:uri="http://www.w3.org/XML/1998/namespace"/>
    <ds:schemaRef ds:uri="http://schemas.microsoft.com/office/infopath/2007/PartnerControls"/>
    <ds:schemaRef ds:uri="9bf079a2-8838-46e4-a25e-754293e27338"/>
    <ds:schemaRef ds:uri="http://purl.org/dc/terms/"/>
    <ds:schemaRef ds:uri="http://schemas.microsoft.com/office/2006/metadata/properties"/>
    <ds:schemaRef ds:uri="http://schemas.microsoft.com/office/2006/documentManagement/types"/>
    <ds:schemaRef ds:uri="3186f035-0cdb-442a-b3b5-e1bf8686ba5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2020-09-17T21:46:19Z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34289420-af43-464e-94b6-b93b1dd99d3d</vt:lpwstr>
  </property>
  <property fmtid="{D5CDD505-2E9C-101B-9397-08002B2CF9AE}" pid="8" name="SharedWithUsers">
    <vt:lpwstr>212;#Valdivieso, Guillermo</vt:lpwstr>
  </property>
</Properties>
</file>