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Chapter 5\"/>
    </mc:Choice>
  </mc:AlternateContent>
  <xr:revisionPtr revIDLastSave="0" documentId="10_ncr:100000_{B3FD38F9-E881-4221-89D3-4D8E06ED60A1}" xr6:coauthVersionLast="31" xr6:coauthVersionMax="31" xr10:uidLastSave="{00000000-0000-0000-0000-000000000000}"/>
  <bookViews>
    <workbookView xWindow="-15" yWindow="6150" windowWidth="19155" windowHeight="2760" tabRatio="803" xr2:uid="{00000000-000D-0000-FFFF-FFFF00000000}"/>
  </bookViews>
  <sheets>
    <sheet name="Tab Descriptions" sheetId="54" r:id="rId1"/>
    <sheet name="Marg Distrib Demand Cost Sum" sheetId="51" r:id="rId2"/>
    <sheet name="Marg F&amp;LD Costs" sheetId="47" r:id="rId3"/>
    <sheet name="Marg Substation Costs" sheetId="46" r:id="rId4"/>
    <sheet name="Marg F&amp;LD Cost Cal" sheetId="55" r:id="rId5"/>
    <sheet name="Marg Substation Cost Cal" sheetId="39" r:id="rId6"/>
    <sheet name="Distrib Capital Forecast Data" sheetId="1" r:id="rId7"/>
    <sheet name="Distrib Capital Historic Data" sheetId="3" r:id="rId8"/>
    <sheet name="Inputs" sheetId="53" r:id="rId9"/>
  </sheets>
  <definedNames>
    <definedName name="_xlnm.Print_Area" localSheetId="6">'Distrib Capital Forecast Data'!$A$1:$G$61</definedName>
    <definedName name="_xlnm.Print_Area" localSheetId="1">'Marg Distrib Demand Cost Sum'!$A$1:$D$19</definedName>
    <definedName name="_xlnm.Print_Area" localSheetId="4">'Marg F&amp;LD Cost Cal'!$A$1:$G$38</definedName>
    <definedName name="_xlnm.Print_Area" localSheetId="2">'Marg F&amp;LD Costs'!$A$1:$G$32</definedName>
    <definedName name="_xlnm.Print_Area" localSheetId="5">'Marg Substation Cost Cal'!$A$1:$G$38</definedName>
    <definedName name="_xlnm.Print_Area" localSheetId="3">'Marg Substation Costs'!$A$1:$G$32</definedName>
    <definedName name="_xlnm.Print_Area" localSheetId="0">'Tab Descriptions'!$A$1:$D$18</definedName>
  </definedNames>
  <calcPr calcId="179017"/>
</workbook>
</file>

<file path=xl/calcChain.xml><?xml version="1.0" encoding="utf-8"?>
<calcChain xmlns="http://schemas.openxmlformats.org/spreadsheetml/2006/main">
  <c r="A3" i="51" l="1"/>
  <c r="E12" i="39" l="1"/>
  <c r="A1" i="51"/>
  <c r="F14" i="46" l="1"/>
  <c r="F14" i="47" l="1"/>
  <c r="D10" i="53"/>
  <c r="D11" i="53" s="1"/>
  <c r="D12" i="53" s="1"/>
  <c r="D13" i="53" s="1"/>
  <c r="D14" i="53" s="1"/>
  <c r="D15" i="53" s="1"/>
  <c r="D16" i="53" s="1"/>
  <c r="D17" i="53" s="1"/>
  <c r="D18" i="53" s="1"/>
  <c r="D19" i="53" s="1"/>
  <c r="A10" i="53"/>
  <c r="A11" i="53" s="1"/>
  <c r="A12" i="53" s="1"/>
  <c r="A13" i="53" s="1"/>
  <c r="A14" i="53" s="1"/>
  <c r="A15" i="53" s="1"/>
  <c r="A16" i="53" s="1"/>
  <c r="A17" i="53" s="1"/>
  <c r="A18" i="53" s="1"/>
  <c r="A19" i="53" s="1"/>
  <c r="G13" i="1" l="1"/>
  <c r="G14" i="1" s="1"/>
  <c r="G15" i="1" s="1"/>
  <c r="G16" i="1" s="1"/>
  <c r="G17" i="1" s="1"/>
  <c r="A13" i="1"/>
  <c r="A14" i="1" s="1"/>
  <c r="A15" i="1" s="1"/>
  <c r="A16" i="1" s="1"/>
  <c r="A17" i="1" s="1"/>
  <c r="G18" i="1" l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F15" i="1"/>
  <c r="F13" i="1"/>
  <c r="F14" i="1"/>
  <c r="F16" i="1"/>
  <c r="E40" i="1"/>
  <c r="D40" i="1"/>
  <c r="C40" i="1"/>
  <c r="O25" i="3" l="1"/>
  <c r="C25" i="1" l="1"/>
  <c r="C28" i="1" s="1"/>
  <c r="F18" i="1"/>
  <c r="F19" i="1"/>
  <c r="F21" i="1"/>
  <c r="C34" i="1" l="1"/>
  <c r="C31" i="1"/>
  <c r="C43" i="1" s="1"/>
  <c r="F20" i="1"/>
  <c r="C37" i="1" l="1"/>
  <c r="C46" i="1"/>
  <c r="C49" i="1" s="1"/>
  <c r="O30" i="3"/>
  <c r="O31" i="3" s="1"/>
  <c r="O27" i="3" l="1"/>
  <c r="O28" i="3" s="1"/>
  <c r="A2" i="51"/>
  <c r="N25" i="3" l="1"/>
  <c r="N31" i="3" l="1"/>
  <c r="N28" i="3"/>
  <c r="M25" i="3"/>
  <c r="L25" i="3"/>
  <c r="L31" i="3" l="1"/>
  <c r="L28" i="3"/>
  <c r="M31" i="3"/>
  <c r="M28" i="3"/>
  <c r="B12" i="55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A3" i="55"/>
  <c r="A2" i="55"/>
  <c r="A1" i="55"/>
  <c r="E12" i="55" l="1"/>
  <c r="E13" i="55" s="1"/>
  <c r="E14" i="55" s="1"/>
  <c r="E15" i="55" s="1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A12" i="55" l="1"/>
  <c r="G11" i="55"/>
  <c r="A13" i="55" l="1"/>
  <c r="G12" i="55"/>
  <c r="G13" i="55" l="1"/>
  <c r="A14" i="55"/>
  <c r="G14" i="55" l="1"/>
  <c r="A15" i="55"/>
  <c r="A16" i="55" l="1"/>
  <c r="G15" i="55"/>
  <c r="A17" i="55" l="1"/>
  <c r="G16" i="55"/>
  <c r="A11" i="51"/>
  <c r="A12" i="51" s="1"/>
  <c r="A13" i="51" s="1"/>
  <c r="A14" i="51" s="1"/>
  <c r="A15" i="51" s="1"/>
  <c r="A16" i="51" s="1"/>
  <c r="A17" i="51" s="1"/>
  <c r="A18" i="51" s="1"/>
  <c r="A19" i="51" s="1"/>
  <c r="D11" i="51"/>
  <c r="D12" i="51" s="1"/>
  <c r="D13" i="51" s="1"/>
  <c r="D14" i="51" s="1"/>
  <c r="D15" i="51" s="1"/>
  <c r="D16" i="51" s="1"/>
  <c r="D17" i="51" s="1"/>
  <c r="D18" i="51" s="1"/>
  <c r="D19" i="51" s="1"/>
  <c r="G17" i="55" l="1"/>
  <c r="A18" i="55"/>
  <c r="G18" i="55" l="1"/>
  <c r="A19" i="55"/>
  <c r="D11" i="54"/>
  <c r="A11" i="54"/>
  <c r="A13" i="54" l="1"/>
  <c r="A14" i="54" s="1"/>
  <c r="A12" i="54"/>
  <c r="D12" i="54"/>
  <c r="D13" i="54" s="1"/>
  <c r="D14" i="54" s="1"/>
  <c r="A20" i="55"/>
  <c r="G19" i="55"/>
  <c r="A2" i="3"/>
  <c r="A3" i="3"/>
  <c r="A2" i="1"/>
  <c r="A3" i="1"/>
  <c r="A2" i="39"/>
  <c r="A3" i="39"/>
  <c r="A2" i="46"/>
  <c r="A3" i="46"/>
  <c r="A2" i="47"/>
  <c r="A3" i="47"/>
  <c r="A2" i="53"/>
  <c r="A3" i="53"/>
  <c r="D17" i="54" l="1"/>
  <c r="D18" i="54" s="1"/>
  <c r="D15" i="54"/>
  <c r="D16" i="54" s="1"/>
  <c r="A15" i="54"/>
  <c r="A16" i="54" s="1"/>
  <c r="A17" i="54" s="1"/>
  <c r="A18" i="54" s="1"/>
  <c r="A21" i="55"/>
  <c r="G20" i="55"/>
  <c r="G21" i="55" l="1"/>
  <c r="A22" i="55"/>
  <c r="A23" i="55" s="1"/>
  <c r="A24" i="55" l="1"/>
  <c r="G23" i="55"/>
  <c r="G22" i="55"/>
  <c r="A25" i="55" l="1"/>
  <c r="G24" i="55"/>
  <c r="A26" i="55" l="1"/>
  <c r="G25" i="55"/>
  <c r="G26" i="55" l="1"/>
  <c r="A27" i="55"/>
  <c r="A1" i="53"/>
  <c r="G27" i="55" l="1"/>
  <c r="A28" i="55"/>
  <c r="A11" i="47"/>
  <c r="A12" i="47" s="1"/>
  <c r="A13" i="47" s="1"/>
  <c r="A14" i="47" s="1"/>
  <c r="A15" i="47" s="1"/>
  <c r="A16" i="47" s="1"/>
  <c r="A11" i="46"/>
  <c r="A12" i="46" s="1"/>
  <c r="A13" i="46" s="1"/>
  <c r="A14" i="46" s="1"/>
  <c r="A15" i="46" s="1"/>
  <c r="A16" i="46" s="1"/>
  <c r="A17" i="46" s="1"/>
  <c r="G28" i="55" l="1"/>
  <c r="A29" i="55"/>
  <c r="A18" i="46"/>
  <c r="A19" i="46" s="1"/>
  <c r="A20" i="46" s="1"/>
  <c r="A21" i="46" s="1"/>
  <c r="A22" i="46" s="1"/>
  <c r="A23" i="46" s="1"/>
  <c r="A24" i="46" s="1"/>
  <c r="A25" i="46" s="1"/>
  <c r="A26" i="46" s="1"/>
  <c r="A17" i="47"/>
  <c r="A18" i="47" s="1"/>
  <c r="A19" i="47" s="1"/>
  <c r="A20" i="47" s="1"/>
  <c r="A21" i="47" s="1"/>
  <c r="A22" i="47" s="1"/>
  <c r="A23" i="47" s="1"/>
  <c r="A24" i="47" s="1"/>
  <c r="A25" i="47" s="1"/>
  <c r="A26" i="47" s="1"/>
  <c r="P12" i="3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G29" i="55" l="1"/>
  <c r="A30" i="55"/>
  <c r="E13" i="39"/>
  <c r="E14" i="39" s="1"/>
  <c r="E15" i="39" s="1"/>
  <c r="E16" i="39" s="1"/>
  <c r="E17" i="39" s="1"/>
  <c r="E18" i="39" s="1"/>
  <c r="K25" i="3"/>
  <c r="J25" i="3"/>
  <c r="I25" i="3"/>
  <c r="H25" i="3"/>
  <c r="G25" i="3"/>
  <c r="F25" i="3"/>
  <c r="E25" i="3"/>
  <c r="D25" i="3"/>
  <c r="C25" i="3"/>
  <c r="G30" i="55" l="1"/>
  <c r="A31" i="55"/>
  <c r="G31" i="55" s="1"/>
  <c r="E31" i="3"/>
  <c r="E28" i="3"/>
  <c r="I31" i="3"/>
  <c r="I28" i="3"/>
  <c r="J31" i="3"/>
  <c r="J28" i="3"/>
  <c r="F31" i="3"/>
  <c r="F28" i="3"/>
  <c r="G31" i="3"/>
  <c r="G28" i="3"/>
  <c r="K31" i="3"/>
  <c r="K28" i="3"/>
  <c r="C31" i="3"/>
  <c r="C28" i="3"/>
  <c r="D31" i="3"/>
  <c r="D28" i="3"/>
  <c r="H31" i="3"/>
  <c r="H28" i="3"/>
  <c r="E19" i="39"/>
  <c r="E20" i="39" s="1"/>
  <c r="E21" i="39" s="1"/>
  <c r="E22" i="39" s="1"/>
  <c r="E23" i="39" s="1"/>
  <c r="E24" i="39" s="1"/>
  <c r="E25" i="39" s="1"/>
  <c r="F26" i="47"/>
  <c r="F24" i="46"/>
  <c r="B12" i="39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A1" i="1"/>
  <c r="A1" i="39"/>
  <c r="A1" i="3"/>
  <c r="A1" i="46"/>
  <c r="A1" i="47"/>
  <c r="G10" i="47"/>
  <c r="G11" i="47" s="1"/>
  <c r="G12" i="47" s="1"/>
  <c r="G13" i="47" s="1"/>
  <c r="G14" i="47" s="1"/>
  <c r="G15" i="47" s="1"/>
  <c r="G16" i="47" s="1"/>
  <c r="G17" i="47" s="1"/>
  <c r="G18" i="47" s="1"/>
  <c r="G10" i="46"/>
  <c r="G11" i="46" s="1"/>
  <c r="G12" i="46" s="1"/>
  <c r="G13" i="46" l="1"/>
  <c r="G14" i="46" s="1"/>
  <c r="G15" i="46" s="1"/>
  <c r="G16" i="46" s="1"/>
  <c r="G17" i="46" s="1"/>
  <c r="G18" i="46" s="1"/>
  <c r="G19" i="46" s="1"/>
  <c r="G20" i="46" s="1"/>
  <c r="G21" i="46" s="1"/>
  <c r="G22" i="46" s="1"/>
  <c r="G23" i="46" s="1"/>
  <c r="G24" i="46" s="1"/>
  <c r="G25" i="46" s="1"/>
  <c r="G26" i="46" s="1"/>
  <c r="G19" i="47"/>
  <c r="G20" i="47" s="1"/>
  <c r="G21" i="47" s="1"/>
  <c r="G22" i="47" s="1"/>
  <c r="G23" i="47" s="1"/>
  <c r="G24" i="47" s="1"/>
  <c r="G25" i="47" s="1"/>
  <c r="G26" i="47" s="1"/>
  <c r="F20" i="46"/>
  <c r="F24" i="47"/>
  <c r="F26" i="46"/>
  <c r="F20" i="47"/>
  <c r="F12" i="47"/>
  <c r="F12" i="46"/>
  <c r="G11" i="39" l="1"/>
  <c r="A12" i="39"/>
  <c r="G12" i="39" l="1"/>
  <c r="A13" i="39"/>
  <c r="A14" i="39" l="1"/>
  <c r="G13" i="39"/>
  <c r="G14" i="39" l="1"/>
  <c r="A15" i="39"/>
  <c r="G15" i="39" l="1"/>
  <c r="A16" i="39"/>
  <c r="A17" i="39" l="1"/>
  <c r="G16" i="39"/>
  <c r="A18" i="39" l="1"/>
  <c r="G17" i="39"/>
  <c r="G18" i="39" l="1"/>
  <c r="A19" i="39"/>
  <c r="G19" i="39" l="1"/>
  <c r="A20" i="39"/>
  <c r="G20" i="39" l="1"/>
  <c r="A21" i="39"/>
  <c r="G21" i="39" l="1"/>
  <c r="A22" i="39"/>
  <c r="A23" i="39" s="1"/>
  <c r="A24" i="39" l="1"/>
  <c r="G23" i="39"/>
  <c r="G22" i="39"/>
  <c r="A25" i="39" l="1"/>
  <c r="G24" i="39"/>
  <c r="A26" i="39" l="1"/>
  <c r="G25" i="39"/>
  <c r="A27" i="39" l="1"/>
  <c r="G26" i="39"/>
  <c r="F23" i="1"/>
  <c r="F22" i="1"/>
  <c r="F12" i="1"/>
  <c r="F24" i="1"/>
  <c r="A28" i="39" l="1"/>
  <c r="G27" i="39"/>
  <c r="F17" i="1"/>
  <c r="F40" i="1" s="1"/>
  <c r="D25" i="1"/>
  <c r="E25" i="1"/>
  <c r="G28" i="39" l="1"/>
  <c r="A29" i="39"/>
  <c r="D34" i="1"/>
  <c r="D28" i="1"/>
  <c r="E34" i="1"/>
  <c r="E28" i="1"/>
  <c r="E31" i="1"/>
  <c r="E43" i="1" s="1"/>
  <c r="D31" i="1"/>
  <c r="D43" i="1" s="1"/>
  <c r="F25" i="1"/>
  <c r="G29" i="39" l="1"/>
  <c r="A30" i="39"/>
  <c r="F34" i="1"/>
  <c r="F28" i="1"/>
  <c r="E37" i="1"/>
  <c r="E46" i="1"/>
  <c r="E49" i="1" s="1"/>
  <c r="D46" i="1"/>
  <c r="D49" i="1" s="1"/>
  <c r="F31" i="1"/>
  <c r="F43" i="1" s="1"/>
  <c r="D37" i="1"/>
  <c r="A31" i="39" l="1"/>
  <c r="G31" i="39" s="1"/>
  <c r="G30" i="39"/>
  <c r="F37" i="1"/>
  <c r="F46" i="1"/>
  <c r="F49" i="1" s="1"/>
  <c r="F18" i="46" l="1"/>
  <c r="F18" i="47" l="1"/>
  <c r="C24" i="47" l="1"/>
  <c r="C24" i="46"/>
  <c r="F11" i="55" l="1"/>
  <c r="F11" i="39" l="1"/>
  <c r="F12" i="55"/>
  <c r="F12" i="39" l="1"/>
  <c r="F13" i="55"/>
  <c r="F13" i="39" l="1"/>
  <c r="F14" i="55"/>
  <c r="F14" i="39" l="1"/>
  <c r="F15" i="39" s="1"/>
  <c r="F16" i="39" s="1"/>
  <c r="F17" i="39" s="1"/>
  <c r="F18" i="39" s="1"/>
  <c r="F19" i="39" s="1"/>
  <c r="F20" i="39" s="1"/>
  <c r="F21" i="39" s="1"/>
  <c r="F22" i="39" s="1"/>
  <c r="F23" i="39" s="1"/>
  <c r="F15" i="55"/>
  <c r="F24" i="39" l="1"/>
  <c r="F25" i="39" s="1"/>
  <c r="F16" i="55"/>
  <c r="E31" i="39" l="1"/>
  <c r="C10" i="46" s="1"/>
  <c r="C12" i="46" s="1"/>
  <c r="F17" i="55"/>
  <c r="C14" i="46" l="1"/>
  <c r="C16" i="46" s="1"/>
  <c r="C18" i="46" s="1"/>
  <c r="C20" i="46" s="1"/>
  <c r="C26" i="46" s="1"/>
  <c r="C18" i="51" s="1"/>
  <c r="F18" i="55"/>
  <c r="F19" i="55" s="1"/>
  <c r="F20" i="55" s="1"/>
  <c r="F21" i="55" s="1"/>
  <c r="F22" i="55" s="1"/>
  <c r="F23" i="55" s="1"/>
  <c r="F24" i="55" l="1"/>
  <c r="F25" i="55" s="1"/>
  <c r="E31" i="55" l="1"/>
  <c r="C10" i="47" s="1"/>
  <c r="C12" i="47" s="1"/>
  <c r="C14" i="47" l="1"/>
  <c r="C16" i="47" s="1"/>
  <c r="C18" i="47" s="1"/>
  <c r="C20" i="47" s="1"/>
  <c r="C26" i="47" s="1"/>
  <c r="C12" i="51" s="1"/>
</calcChain>
</file>

<file path=xl/sharedStrings.xml><?xml version="1.0" encoding="utf-8"?>
<sst xmlns="http://schemas.openxmlformats.org/spreadsheetml/2006/main" count="279" uniqueCount="176">
  <si>
    <t>Category</t>
  </si>
  <si>
    <t>Total</t>
  </si>
  <si>
    <t>Substation-Related Demand Costs</t>
  </si>
  <si>
    <t>(A)</t>
  </si>
  <si>
    <t>(B)</t>
  </si>
  <si>
    <t>(D)</t>
  </si>
  <si>
    <t>(C)</t>
  </si>
  <si>
    <t xml:space="preserve">  360  Land and Land Rights</t>
  </si>
  <si>
    <t xml:space="preserve">  362  Station Equipment</t>
  </si>
  <si>
    <t xml:space="preserve">  364  Poles, Towers, and Fixtures</t>
  </si>
  <si>
    <t xml:space="preserve">  365  Overhead Conductors and Devices</t>
  </si>
  <si>
    <t xml:space="preserve">  366  Underground Conduit</t>
  </si>
  <si>
    <t xml:space="preserve">  367  Underground Conductors and Devices</t>
  </si>
  <si>
    <t xml:space="preserve">  368  Line Transformers</t>
  </si>
  <si>
    <t xml:space="preserve">  369  Services</t>
  </si>
  <si>
    <t xml:space="preserve">  370  Meters</t>
  </si>
  <si>
    <t xml:space="preserve">  371  Installations on Customer Premises</t>
  </si>
  <si>
    <t xml:space="preserve">  373  Streetlighting and Signal Systems</t>
  </si>
  <si>
    <t xml:space="preserve">  361  Structures and Improvements</t>
  </si>
  <si>
    <t>Line</t>
  </si>
  <si>
    <t>Year</t>
  </si>
  <si>
    <t>Description</t>
  </si>
  <si>
    <t>Units</t>
  </si>
  <si>
    <t>Source</t>
  </si>
  <si>
    <t xml:space="preserve">  $/kW</t>
  </si>
  <si>
    <t xml:space="preserve">  $/kW/Yr</t>
  </si>
  <si>
    <t>O&amp;M Workpapers</t>
  </si>
  <si>
    <t>3 Yr Avg</t>
  </si>
  <si>
    <t>Escalation  Factors</t>
  </si>
  <si>
    <t>Substations</t>
  </si>
  <si>
    <t>Normalized Load</t>
  </si>
  <si>
    <t>Incremental Load</t>
  </si>
  <si>
    <t>Factor</t>
  </si>
  <si>
    <t>Factors</t>
  </si>
  <si>
    <t>Value</t>
  </si>
  <si>
    <t xml:space="preserve">   NERA Regression Method</t>
  </si>
  <si>
    <t>Feeders and Local Distribution Demand Costs ($/kW/Yr)</t>
  </si>
  <si>
    <t>Substation Distribution Demand Costs ($/kW/Yr)</t>
  </si>
  <si>
    <t>Distribution Investment</t>
  </si>
  <si>
    <t xml:space="preserve">  General Plant Loading</t>
  </si>
  <si>
    <t xml:space="preserve">Subtotal Distribution Investment </t>
  </si>
  <si>
    <t xml:space="preserve">RECC Annualized Investment </t>
  </si>
  <si>
    <t xml:space="preserve">   A&amp;G Loading Applicable to Plant Loading</t>
  </si>
  <si>
    <t xml:space="preserve">  Fixed O&amp;M Overhead Cost</t>
  </si>
  <si>
    <t xml:space="preserve">  A&amp;G on Fixed O&amp;M Loading</t>
  </si>
  <si>
    <t>Escalated Total Annual Unit Investment Cost</t>
  </si>
  <si>
    <t>L1 x Factor</t>
  </si>
  <si>
    <t>L1 + L2 + L3</t>
  </si>
  <si>
    <t>L4 x Factor</t>
  </si>
  <si>
    <t>L5 x Factor</t>
  </si>
  <si>
    <t>L7 x Factor</t>
  </si>
  <si>
    <t>(L5+L6)*Factor+L7+L8</t>
  </si>
  <si>
    <t xml:space="preserve">Feeders &amp; Local Distribution </t>
  </si>
  <si>
    <t>GRC Escalators</t>
  </si>
  <si>
    <t>Substation RECC =</t>
  </si>
  <si>
    <t>A&amp;G Plant Loading Factor =</t>
  </si>
  <si>
    <t>Inputs</t>
  </si>
  <si>
    <t>A&amp;G O&amp;M Loading Factor =</t>
  </si>
  <si>
    <t>General Plant Loading Factor =</t>
  </si>
  <si>
    <t xml:space="preserve">  363  Battery Storage Equipment</t>
  </si>
  <si>
    <t>Marginal Distribution Demand Summary</t>
  </si>
  <si>
    <t>Total Substation Costs</t>
  </si>
  <si>
    <t>Historical Distribution Plant</t>
  </si>
  <si>
    <t>Feeders &amp; Local Distribution ($000)</t>
  </si>
  <si>
    <t>Substations ($000)</t>
  </si>
  <si>
    <t>NERA Regression Method</t>
  </si>
  <si>
    <t>Tab Descriptions</t>
  </si>
  <si>
    <t>No.</t>
  </si>
  <si>
    <t>Tab Name</t>
  </si>
  <si>
    <t>Tab Description</t>
  </si>
  <si>
    <t>Description of Tabs in Workpaper</t>
  </si>
  <si>
    <t>Marginal Distribution Demand Cost Summary</t>
  </si>
  <si>
    <t>Marg F&amp;LD Costs</t>
  </si>
  <si>
    <t>Marginal Distribution Feeder and Local Distribution Demand Costs</t>
  </si>
  <si>
    <t>Marg Substation Costs</t>
  </si>
  <si>
    <t>Marginal Substation Distribution Demand Costs</t>
  </si>
  <si>
    <t>Distrib Capital Forecast Data</t>
  </si>
  <si>
    <t>Distrib Capital Historical Data</t>
  </si>
  <si>
    <t>Marg Distrib Demand Cost Sum</t>
  </si>
  <si>
    <t>Note:</t>
  </si>
  <si>
    <t xml:space="preserve">     Distribution investments.</t>
  </si>
  <si>
    <t>(2) The values may not equal the sum or product of the calculation shown due to rounding.</t>
  </si>
  <si>
    <t xml:space="preserve">     investments.</t>
  </si>
  <si>
    <t>Forecasted Distribution Plant</t>
  </si>
  <si>
    <t>Loading Factors, Working Capital, and RECCs</t>
  </si>
  <si>
    <t>Feeders &amp; Local Distrib RECC =</t>
  </si>
  <si>
    <t>Capacity-Related Feeder &amp; Local Demand Costs</t>
  </si>
  <si>
    <t>Capacity-Related Feeder &amp; Local Demand Costs as % of Above</t>
  </si>
  <si>
    <r>
      <t xml:space="preserve">(2)  </t>
    </r>
    <r>
      <rPr>
        <b/>
        <sz val="10"/>
        <rFont val="Arial"/>
        <family val="2"/>
      </rPr>
      <t>Capacity-Related Feeder &amp; Local Demand Costs as % Above</t>
    </r>
    <r>
      <rPr>
        <sz val="10"/>
        <rFont val="Arial"/>
        <family val="2"/>
      </rPr>
      <t xml:space="preserve">: percentage calculated by dividing the "Capacity-Related </t>
    </r>
  </si>
  <si>
    <t xml:space="preserve">      Feeder &amp; Local Demand Costs" by the "Total less Substation and Customer Costs".</t>
  </si>
  <si>
    <t>Capacity-Related Substation Costs as % of Above</t>
  </si>
  <si>
    <t>Capacity-Related Substation Costs</t>
  </si>
  <si>
    <r>
      <t xml:space="preserve">(2) </t>
    </r>
    <r>
      <rPr>
        <b/>
        <sz val="10"/>
        <rFont val="Arial"/>
        <family val="2"/>
      </rPr>
      <t>Capacity-Related Feeder &amp; Local Demand Costs</t>
    </r>
    <r>
      <rPr>
        <sz val="10"/>
        <rFont val="Arial"/>
        <family val="2"/>
      </rPr>
      <t>: represent the percentage (from Forecast Data) of the sum of FERC Accounts 364-367 plus a proration of FERC Account 360.</t>
    </r>
  </si>
  <si>
    <t>(3) Input data in blue font comes from a separate source file.</t>
  </si>
  <si>
    <t>Marginal Substation Cost Calculations for NERA Regression Method</t>
  </si>
  <si>
    <t>Marginal Feeders &amp; Local Distribution Cost Calculations for NERA Regression Method</t>
  </si>
  <si>
    <r>
      <t xml:space="preserve">(3) </t>
    </r>
    <r>
      <rPr>
        <b/>
        <sz val="10"/>
        <rFont val="Arial"/>
        <family val="2"/>
      </rPr>
      <t>Substation-Related Demand Costs</t>
    </r>
    <r>
      <rPr>
        <sz val="10"/>
        <rFont val="Arial"/>
        <family val="2"/>
      </rPr>
      <t>: represent the percentage (from Forecasted Data) of the sum of FERC Accounts 361, 362, and 363 plus a proration of FERC Account 360.</t>
    </r>
  </si>
  <si>
    <r>
      <t xml:space="preserve">(2) </t>
    </r>
    <r>
      <rPr>
        <b/>
        <sz val="10"/>
        <rFont val="Arial"/>
        <family val="2"/>
      </rPr>
      <t>Normalized Load</t>
    </r>
    <r>
      <rPr>
        <sz val="10"/>
        <rFont val="Arial"/>
        <family val="2"/>
      </rPr>
      <t>: reflects weather normalized SDG&amp;E distribution planning forecasted</t>
    </r>
  </si>
  <si>
    <t>(2) Normalized Load: reflects weather normalized SDG&amp;E distribution planning forecasted</t>
  </si>
  <si>
    <t xml:space="preserve">     circuit loads.</t>
  </si>
  <si>
    <t xml:space="preserve">     substation loads.</t>
  </si>
  <si>
    <t>2017-2019 Electric Distribution Capital Forecast Costs</t>
  </si>
  <si>
    <t xml:space="preserve">      SDG&amp;E witness Alan Colton, Exhibit SDG&amp;E-14, Appendix A, in SDG&amp;E's TY 2019 GRC Phase 1 (A.17-10-007).</t>
  </si>
  <si>
    <r>
      <t xml:space="preserve">(1) </t>
    </r>
    <r>
      <rPr>
        <b/>
        <sz val="10"/>
        <rFont val="Arial"/>
        <family val="2"/>
      </rPr>
      <t>Escalation Factors</t>
    </r>
    <r>
      <rPr>
        <sz val="10"/>
        <rFont val="Arial"/>
        <family val="2"/>
      </rPr>
      <t>: are from the Direct Testimony of Scott R. Wilder, Exhibit SDG&amp;E-39, in</t>
    </r>
  </si>
  <si>
    <t xml:space="preserve">     SDG&amp;E's TY 2019 GRC Phase 1 (A.17-10-007).</t>
  </si>
  <si>
    <t xml:space="preserve">     in SDG&amp;E's TY 2019 GRC Phase 1 (A.17-10-007).</t>
  </si>
  <si>
    <t>2020 Distrib Plant Escalator =</t>
  </si>
  <si>
    <t xml:space="preserve">     GRC Phase 1 (A.17-10-007).</t>
  </si>
  <si>
    <r>
      <t xml:space="preserve">(1)  </t>
    </r>
    <r>
      <rPr>
        <b/>
        <sz val="10"/>
        <rFont val="Arial"/>
        <family val="2"/>
      </rPr>
      <t>Forecasted Distribution Plant Data</t>
    </r>
    <r>
      <rPr>
        <sz val="10"/>
        <rFont val="Arial"/>
        <family val="2"/>
      </rPr>
      <t xml:space="preserve">: based on the Distribution Capital Budget Forecasts in the Revised Direct Testimony of </t>
    </r>
  </si>
  <si>
    <t>SDG&amp;E 2017-2019 Forecasted Distribution Plant Costs ($000) from SDG&amp;E's TY 2019 GRC Phase 1 (A.17-10-007)</t>
  </si>
  <si>
    <t>2005-2017 Electric Distribution Capital Historical Costs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</si>
  <si>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</si>
  <si>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Feeder &amp; Local </t>
    </r>
  </si>
  <si>
    <r>
      <t xml:space="preserve">(1) </t>
    </r>
    <r>
      <rPr>
        <b/>
        <sz val="10"/>
        <rFont val="Arial"/>
        <family val="2"/>
      </rPr>
      <t>Fixed O&amp;M Overhead Cost</t>
    </r>
    <r>
      <rPr>
        <sz val="10"/>
        <rFont val="Arial"/>
        <family val="2"/>
      </rPr>
      <t xml:space="preserve">: is based on a five-year average (2013-2017) of fixed O&amp;M costs associated with Substation </t>
    </r>
  </si>
  <si>
    <t>Capacity Factors for Substation Costs</t>
  </si>
  <si>
    <t>Capacity Factors for Feeder &amp; Local Demand Costs</t>
  </si>
  <si>
    <t>(6) Input data in blue font comes from a separate source file.</t>
  </si>
  <si>
    <t xml:space="preserve">     (A.15-04-012) for years 2014-2016; (c) 2012 GRC Phase 2 (A.11-10-002) for years 2010-2013; and (d) 2008 GRC Phase 2 (A.07-01-047) for years 2005-2009.</t>
  </si>
  <si>
    <t xml:space="preserve">     for years 2014-2016; and (c) 2012 GRC Phase 2 (A.11-10-002) for years 2005-2013.</t>
  </si>
  <si>
    <t>Unit Feeders and Local Distribution Marginal Distribution Demand Costs (2020$)</t>
  </si>
  <si>
    <t>Unit Substation Marginal Distribution Demand Costs (2020$)</t>
  </si>
  <si>
    <t>Working Capital =</t>
  </si>
  <si>
    <r>
      <t xml:space="preserve">(3) </t>
    </r>
    <r>
      <rPr>
        <b/>
        <sz val="10"/>
        <rFont val="Arial"/>
        <family val="2"/>
      </rPr>
      <t>A&amp;G O&amp;M Loading Factor</t>
    </r>
    <r>
      <rPr>
        <sz val="10"/>
        <rFont val="Arial"/>
        <family val="2"/>
      </rPr>
      <t>: based on five-year average (2013-2017) of administrative and general expenses associated with distribution O&amp;M.</t>
    </r>
  </si>
  <si>
    <r>
      <t xml:space="preserve">(4) </t>
    </r>
    <r>
      <rPr>
        <b/>
        <sz val="10"/>
        <rFont val="Arial"/>
        <family val="2"/>
      </rPr>
      <t>A&amp;G Plant Loading Factor</t>
    </r>
    <r>
      <rPr>
        <sz val="10"/>
        <rFont val="Arial"/>
        <family val="2"/>
      </rPr>
      <t>: based on five-year average (2013-2017) of administrative and general expenses associated with distribution plant.</t>
    </r>
  </si>
  <si>
    <r>
      <t xml:space="preserve">(5) </t>
    </r>
    <r>
      <rPr>
        <b/>
        <sz val="10"/>
        <rFont val="Arial"/>
        <family val="2"/>
      </rPr>
      <t>Substation RECC</t>
    </r>
    <r>
      <rPr>
        <sz val="10"/>
        <rFont val="Arial"/>
        <family val="2"/>
      </rPr>
      <t>: represents the calculated annual investment amounts for substation assets.</t>
    </r>
  </si>
  <si>
    <r>
      <t xml:space="preserve">(6) </t>
    </r>
    <r>
      <rPr>
        <b/>
        <sz val="10"/>
        <rFont val="Arial"/>
        <family val="2"/>
      </rPr>
      <t>Feeders &amp; Local Distrib RECC</t>
    </r>
    <r>
      <rPr>
        <sz val="10"/>
        <rFont val="Arial"/>
        <family val="2"/>
      </rPr>
      <t>: represents the calculated annual investment amounts for feeder &amp; local distribution assets.</t>
    </r>
  </si>
  <si>
    <r>
      <t xml:space="preserve">(7) </t>
    </r>
    <r>
      <rPr>
        <b/>
        <sz val="10"/>
        <rFont val="Arial"/>
        <family val="2"/>
      </rPr>
      <t>2020 Distrib Plant Escalator</t>
    </r>
    <r>
      <rPr>
        <sz val="10"/>
        <rFont val="Arial"/>
        <family val="2"/>
      </rPr>
      <t>: from the Direct Testimony workpapers of SDG&amp;E witness Scott R. Wilder, Exhibit SDG&amp;E-39, in SDG&amp;E's TY 2019</t>
    </r>
  </si>
  <si>
    <t xml:space="preserve">  Working Capital Loading</t>
  </si>
  <si>
    <t>L1 + L2 + L5</t>
  </si>
  <si>
    <t>Total less Substation and Customer Costs</t>
  </si>
  <si>
    <t xml:space="preserve">      Costs" by the Total Substation Costs.</t>
  </si>
  <si>
    <r>
      <t xml:space="preserve">(3)  </t>
    </r>
    <r>
      <rPr>
        <b/>
        <sz val="10"/>
        <rFont val="Arial"/>
        <family val="2"/>
      </rPr>
      <t>Capacity-Related Substation Costs as % of Above</t>
    </r>
    <r>
      <rPr>
        <sz val="10"/>
        <rFont val="Arial"/>
        <family val="2"/>
      </rPr>
      <t>: percentage calculated by dividing the "Capacity-Related Substation</t>
    </r>
  </si>
  <si>
    <t xml:space="preserve">Total Capacity-Related Costs </t>
  </si>
  <si>
    <t>Total Capacity-Related Costs as % of Above</t>
  </si>
  <si>
    <r>
      <t xml:space="preserve">(4)  </t>
    </r>
    <r>
      <rPr>
        <b/>
        <sz val="10"/>
        <rFont val="Arial"/>
        <family val="2"/>
      </rPr>
      <t>Total Capacity-Related Substation Costs as % of Above</t>
    </r>
    <r>
      <rPr>
        <sz val="10"/>
        <rFont val="Arial"/>
        <family val="2"/>
      </rPr>
      <t>: percentage calculated by dividing the "Total Capacity-Related</t>
    </r>
  </si>
  <si>
    <t xml:space="preserve">      Costs" (capacity costs for Feeder &amp; Local Distribution and Substation) by the Total Costs less Customer Costs.</t>
  </si>
  <si>
    <t>(5) Input data in blue font comes from a separate source file.</t>
  </si>
  <si>
    <t xml:space="preserve">     GRC Phase 1 (A.17-10-007), TY 2016 GRC Phase 1 (A.14-11-003), and TY 2012 GRC Phase 1 (A.10-12-005).</t>
  </si>
  <si>
    <t>SDG&amp;E 2005-2017 Historical Distribution Plant Costs ($000)</t>
  </si>
  <si>
    <t xml:space="preserve">  (L17 / L23)</t>
  </si>
  <si>
    <t xml:space="preserve">  (L4 + L6 + L12)</t>
  </si>
  <si>
    <t xml:space="preserve">  (L3 x ((L2) / (L14 - L13 - L2) + (L11) / (L14 - L4 - L6 - L12 - L11)) + 1))</t>
  </si>
  <si>
    <t xml:space="preserve">  (L14 - L4 - L6 - L12 - L13)</t>
  </si>
  <si>
    <t>(L20 / L29)</t>
  </si>
  <si>
    <t>(L17 + L20)</t>
  </si>
  <si>
    <t>(L35 / (L23 + L29)</t>
  </si>
  <si>
    <t>(E)</t>
  </si>
  <si>
    <t>=Regression Slope of Col (E) vs Col (D)</t>
  </si>
  <si>
    <t>(8) Input data in blue font comes from a separate source file.</t>
  </si>
  <si>
    <t>Marg F&amp;LD Cost Cal</t>
  </si>
  <si>
    <t>Marg Substation Cost Cal</t>
  </si>
  <si>
    <t>Marginal Substation Distribution Demand Cost Calculation based on NERA Regression Method</t>
  </si>
  <si>
    <r>
      <t xml:space="preserve">(1) </t>
    </r>
    <r>
      <rPr>
        <b/>
        <sz val="10"/>
        <rFont val="Arial"/>
        <family val="2"/>
      </rPr>
      <t>Historical Distribution Plant</t>
    </r>
    <r>
      <rPr>
        <sz val="10"/>
        <rFont val="Arial"/>
        <family val="2"/>
      </rPr>
      <t>: from SDG&amp;E's 2005-2017 Federal Energy Commission (FERC) Form 1 reports.</t>
    </r>
  </si>
  <si>
    <t>NERA Regression Method (2017 $/kW/Yr)</t>
  </si>
  <si>
    <t>MARGINAL DISTRIBUTION DEMAND COST WORKPAPER - CHAPTER 5 (SAXE)</t>
  </si>
  <si>
    <t>SAN DIEGO GAS &amp; ELECTRIC COMPANY ("SDG&amp;E")</t>
  </si>
  <si>
    <t>Loading Factor, Real Economic Carrying Charge ("RECC"), and Escalation Inputs used in Workpaper</t>
  </si>
  <si>
    <t>Marginal Distribution Feeder and Local Distribution Demand Cost Calculation based on National Economic Research Associates ("NERA") Regression Method</t>
  </si>
  <si>
    <t>TEST YEAR ("TY") 2019 GENERAL RATE CASE ("GRC") PHASE 2, APPLICATION ("A.") 19-03-002</t>
  </si>
  <si>
    <r>
      <t xml:space="preserve">(4) </t>
    </r>
    <r>
      <rPr>
        <b/>
        <sz val="10"/>
        <rFont val="Arial"/>
        <family val="2"/>
      </rPr>
      <t>Capacity Factors for Feeder &amp; Local Distribution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</t>
    </r>
  </si>
  <si>
    <r>
      <t xml:space="preserve">(5) </t>
    </r>
    <r>
      <rPr>
        <b/>
        <sz val="10"/>
        <rFont val="Arial"/>
        <family val="2"/>
      </rPr>
      <t>Capacity Factors for Substation Costs</t>
    </r>
    <r>
      <rPr>
        <sz val="10"/>
        <rFont val="Arial"/>
        <family val="2"/>
      </rPr>
      <t xml:space="preserve">: capacity factors based on forecasted costs proposed in each applicable period: (a) 2019 GRC Phase 2 (A.19-03-002) for year 2017; (b) 2016 GRC Phase 2 (A.15-04-012) </t>
    </r>
  </si>
  <si>
    <r>
      <t xml:space="preserve">(2) </t>
    </r>
    <r>
      <rPr>
        <b/>
        <sz val="10"/>
        <rFont val="Arial"/>
        <family val="2"/>
      </rPr>
      <t>Working Capital</t>
    </r>
    <r>
      <rPr>
        <sz val="10"/>
        <rFont val="Arial"/>
        <family val="2"/>
      </rPr>
      <t>: is the average net working capital loading factor based on expenses from SDG&amp;E's recent GRC Phase 1 proceedings (TY 2019</t>
    </r>
  </si>
  <si>
    <t>New Business - Demand</t>
  </si>
  <si>
    <t>Easements</t>
  </si>
  <si>
    <t>Capacity</t>
  </si>
  <si>
    <t>Capacity-Substation</t>
  </si>
  <si>
    <t>Reliability</t>
  </si>
  <si>
    <t>Reliability-Substation</t>
  </si>
  <si>
    <t>Franchise</t>
  </si>
  <si>
    <t>Safety and Risk Management</t>
  </si>
  <si>
    <t>Mandated</t>
  </si>
  <si>
    <t>Miscellaneous</t>
  </si>
  <si>
    <t>Overhead Pools</t>
  </si>
  <si>
    <t>Overhead Pools-Substation</t>
  </si>
  <si>
    <t>New Business - Customer</t>
  </si>
  <si>
    <t xml:space="preserve">  (L4 x ((L2) / (L14 - L13 - L2) + (L12) / (L4 + L6)) + 1))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</si>
</sst>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_(* #,##0.0000_);_(* \(#,##0.0000\);_(* &quot;-&quot;??_);_(@_)"/>
    <numFmt numFmtId="168" formatCode="_(* #,##0_);_(* \(#,##0\);_(* &quot;-&quot;??_);_(@_)"/>
    <numFmt numFmtId="169" formatCode="0.000000"/>
    <numFmt numFmtId="170" formatCode="0.0000"/>
    <numFmt numFmtId="171" formatCode="_(&quot;$&quot;* #,##0_);_(&quot;$&quot;* \(#,##0\);_(&quot;$&quot;* &quot;-&quot;??_);_(@_)"/>
    <numFmt numFmtId="172" formatCode="0.0000%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2"/>
      <color indexed="8"/>
      <name val="Arial MT"/>
      <family val="2"/>
    </font>
    <font>
      <sz val="12"/>
      <name val="Arial"/>
      <family val="2"/>
    </font>
    <font>
      <b/>
      <sz val="12"/>
      <color rgb="FF0000FF"/>
      <name val="Arial"/>
      <family val="2"/>
    </font>
    <font>
      <b/>
      <sz val="10"/>
      <color rgb="FF0000FF"/>
      <name val="Arial"/>
      <family val="2"/>
    </font>
    <font>
      <sz val="12"/>
      <color rgb="FF0000FF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40" fontId="5" fillId="0" borderId="0" xfId="0" applyNumberFormat="1" applyFont="1"/>
    <xf numFmtId="40" fontId="5" fillId="0" borderId="0" xfId="0" applyNumberFormat="1" applyFont="1" applyBorder="1"/>
    <xf numFmtId="0" fontId="5" fillId="0" borderId="2" xfId="0" applyFont="1" applyBorder="1"/>
    <xf numFmtId="40" fontId="5" fillId="0" borderId="3" xfId="0" applyNumberFormat="1" applyFont="1" applyFill="1" applyBorder="1"/>
    <xf numFmtId="0" fontId="5" fillId="0" borderId="3" xfId="0" applyFont="1" applyBorder="1" applyAlignment="1">
      <alignment horizontal="left"/>
    </xf>
    <xf numFmtId="4" fontId="5" fillId="0" borderId="0" xfId="0" applyNumberFormat="1" applyFont="1"/>
    <xf numFmtId="9" fontId="5" fillId="0" borderId="0" xfId="6" applyFont="1"/>
    <xf numFmtId="40" fontId="5" fillId="0" borderId="3" xfId="0" applyNumberFormat="1" applyFont="1" applyBorder="1"/>
    <xf numFmtId="166" fontId="5" fillId="0" borderId="3" xfId="3" applyNumberFormat="1" applyFont="1" applyBorder="1" applyAlignment="1">
      <alignment horizontal="right"/>
    </xf>
    <xf numFmtId="166" fontId="5" fillId="0" borderId="3" xfId="3" applyNumberFormat="1" applyFont="1" applyFill="1" applyBorder="1" applyAlignment="1">
      <alignment horizontal="right"/>
    </xf>
    <xf numFmtId="166" fontId="5" fillId="0" borderId="6" xfId="3" applyNumberFormat="1" applyFont="1" applyFill="1" applyBorder="1" applyAlignment="1">
      <alignment horizontal="right"/>
    </xf>
    <xf numFmtId="0" fontId="5" fillId="0" borderId="0" xfId="0" applyFont="1" applyFill="1" applyBorder="1"/>
    <xf numFmtId="166" fontId="5" fillId="0" borderId="0" xfId="3" applyNumberFormat="1" applyFont="1" applyFill="1" applyBorder="1" applyAlignment="1">
      <alignment horizontal="right"/>
    </xf>
    <xf numFmtId="0" fontId="5" fillId="0" borderId="6" xfId="0" applyFont="1" applyFill="1" applyBorder="1"/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5" fillId="0" borderId="3" xfId="0" applyFont="1" applyBorder="1"/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/>
    <xf numFmtId="40" fontId="5" fillId="0" borderId="6" xfId="0" applyNumberFormat="1" applyFont="1" applyBorder="1"/>
    <xf numFmtId="0" fontId="5" fillId="0" borderId="6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4" fillId="0" borderId="0" xfId="0" applyFont="1"/>
    <xf numFmtId="171" fontId="4" fillId="0" borderId="0" xfId="3" applyNumberFormat="1" applyFont="1"/>
    <xf numFmtId="0" fontId="4" fillId="0" borderId="0" xfId="0" applyFont="1" applyFill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4" xfId="0" applyFont="1" applyFill="1" applyBorder="1"/>
    <xf numFmtId="0" fontId="4" fillId="0" borderId="0" xfId="0" applyFont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 applyFill="1" applyAlignment="1">
      <alignment horizontal="center"/>
    </xf>
    <xf numFmtId="38" fontId="4" fillId="0" borderId="4" xfId="0" applyNumberFormat="1" applyFont="1" applyBorder="1"/>
    <xf numFmtId="0" fontId="4" fillId="0" borderId="5" xfId="0" applyFont="1" applyFill="1" applyBorder="1"/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Fill="1" applyBorder="1"/>
    <xf numFmtId="7" fontId="4" fillId="0" borderId="0" xfId="3" quotePrefix="1" applyNumberFormat="1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12" xfId="0" applyNumberFormat="1" applyFont="1" applyBorder="1"/>
    <xf numFmtId="165" fontId="4" fillId="0" borderId="0" xfId="6" applyNumberFormat="1" applyFont="1"/>
    <xf numFmtId="164" fontId="4" fillId="0" borderId="0" xfId="0" applyNumberFormat="1" applyFont="1" applyFill="1"/>
    <xf numFmtId="169" fontId="4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Continuous"/>
    </xf>
    <xf numFmtId="10" fontId="3" fillId="0" borderId="0" xfId="0" applyNumberFormat="1" applyFont="1"/>
    <xf numFmtId="5" fontId="4" fillId="0" borderId="0" xfId="0" applyNumberFormat="1" applyFont="1"/>
    <xf numFmtId="166" fontId="5" fillId="0" borderId="2" xfId="3" applyNumberFormat="1" applyFont="1" applyFill="1" applyBorder="1" applyAlignment="1">
      <alignment horizontal="right"/>
    </xf>
    <xf numFmtId="1" fontId="4" fillId="0" borderId="0" xfId="0" applyNumberFormat="1" applyFont="1"/>
    <xf numFmtId="0" fontId="7" fillId="0" borderId="0" xfId="0" applyFont="1" applyAlignment="1">
      <alignment horizontal="center"/>
    </xf>
    <xf numFmtId="170" fontId="5" fillId="0" borderId="6" xfId="0" applyNumberFormat="1" applyFont="1" applyFill="1" applyBorder="1"/>
    <xf numFmtId="0" fontId="5" fillId="0" borderId="0" xfId="0" applyFont="1" applyAlignment="1">
      <alignment horizontal="center"/>
    </xf>
    <xf numFmtId="10" fontId="5" fillId="0" borderId="3" xfId="6" applyNumberFormat="1" applyFont="1" applyFill="1" applyBorder="1"/>
    <xf numFmtId="0" fontId="5" fillId="0" borderId="2" xfId="0" applyFont="1" applyFill="1" applyBorder="1"/>
    <xf numFmtId="10" fontId="4" fillId="0" borderId="0" xfId="6" applyNumberFormat="1" applyFont="1"/>
    <xf numFmtId="165" fontId="5" fillId="0" borderId="0" xfId="6" applyNumberFormat="1" applyFont="1"/>
    <xf numFmtId="172" fontId="4" fillId="0" borderId="0" xfId="0" applyNumberFormat="1" applyFont="1"/>
    <xf numFmtId="164" fontId="4" fillId="0" borderId="9" xfId="1" applyNumberFormat="1" applyFont="1" applyBorder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71" fontId="4" fillId="0" borderId="8" xfId="3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left"/>
    </xf>
    <xf numFmtId="166" fontId="5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9" fillId="0" borderId="0" xfId="0" applyFont="1" applyProtection="1"/>
    <xf numFmtId="0" fontId="10" fillId="0" borderId="0" xfId="0" applyFont="1"/>
    <xf numFmtId="0" fontId="5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Border="1"/>
    <xf numFmtId="0" fontId="5" fillId="0" borderId="5" xfId="0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Fill="1" applyBorder="1"/>
    <xf numFmtId="10" fontId="5" fillId="0" borderId="9" xfId="6" applyNumberFormat="1" applyFont="1" applyFill="1" applyBorder="1"/>
    <xf numFmtId="167" fontId="5" fillId="0" borderId="11" xfId="1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40" fontId="11" fillId="0" borderId="3" xfId="0" applyNumberFormat="1" applyFont="1" applyFill="1" applyBorder="1"/>
    <xf numFmtId="0" fontId="1" fillId="0" borderId="0" xfId="0" applyFont="1" applyFill="1" applyBorder="1"/>
    <xf numFmtId="0" fontId="4" fillId="0" borderId="0" xfId="0" applyFont="1" applyAlignment="1">
      <alignment horizontal="left"/>
    </xf>
    <xf numFmtId="170" fontId="12" fillId="0" borderId="0" xfId="0" applyNumberFormat="1" applyFont="1" applyFill="1" applyBorder="1"/>
    <xf numFmtId="164" fontId="12" fillId="0" borderId="0" xfId="0" applyNumberFormat="1" applyFont="1" applyFill="1"/>
    <xf numFmtId="0" fontId="7" fillId="0" borderId="0" xfId="0" applyFont="1" applyAlignment="1">
      <alignment horizontal="left"/>
    </xf>
    <xf numFmtId="0" fontId="7" fillId="0" borderId="0" xfId="0" applyFont="1"/>
    <xf numFmtId="3" fontId="12" fillId="0" borderId="9" xfId="0" applyNumberFormat="1" applyFont="1" applyFill="1" applyBorder="1"/>
    <xf numFmtId="0" fontId="5" fillId="0" borderId="7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7" fontId="6" fillId="0" borderId="0" xfId="1" applyNumberFormat="1" applyFont="1" applyFill="1" applyBorder="1" applyAlignment="1">
      <alignment horizontal="center"/>
    </xf>
    <xf numFmtId="10" fontId="11" fillId="0" borderId="8" xfId="6" applyNumberFormat="1" applyFont="1" applyBorder="1" applyAlignment="1">
      <alignment horizontal="right"/>
    </xf>
    <xf numFmtId="10" fontId="11" fillId="0" borderId="9" xfId="6" applyNumberFormat="1" applyFont="1" applyFill="1" applyBorder="1" applyAlignment="1">
      <alignment horizontal="right"/>
    </xf>
    <xf numFmtId="0" fontId="13" fillId="0" borderId="9" xfId="0" applyFont="1" applyBorder="1" applyAlignment="1">
      <alignment horizontal="right"/>
    </xf>
    <xf numFmtId="10" fontId="11" fillId="0" borderId="9" xfId="6" applyNumberFormat="1" applyFont="1" applyBorder="1" applyAlignment="1">
      <alignment horizontal="right"/>
    </xf>
    <xf numFmtId="10" fontId="11" fillId="0" borderId="11" xfId="6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8" fontId="4" fillId="0" borderId="4" xfId="0" applyNumberFormat="1" applyFont="1" applyFill="1" applyBorder="1"/>
    <xf numFmtId="7" fontId="4" fillId="0" borderId="0" xfId="0" applyNumberFormat="1" applyFont="1"/>
    <xf numFmtId="43" fontId="4" fillId="0" borderId="0" xfId="1" applyFo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8" fontId="4" fillId="0" borderId="0" xfId="1" applyNumberFormat="1" applyFont="1" applyFill="1"/>
    <xf numFmtId="169" fontId="4" fillId="0" borderId="0" xfId="0" applyNumberFormat="1" applyFont="1" applyFill="1"/>
    <xf numFmtId="168" fontId="4" fillId="0" borderId="9" xfId="1" applyNumberFormat="1" applyFont="1" applyBorder="1"/>
    <xf numFmtId="0" fontId="0" fillId="0" borderId="0" xfId="0" applyFill="1"/>
    <xf numFmtId="0" fontId="4" fillId="0" borderId="0" xfId="0" quotePrefix="1" applyFont="1" applyAlignment="1">
      <alignment horizontal="left"/>
    </xf>
    <xf numFmtId="0" fontId="14" fillId="0" borderId="0" xfId="0" quotePrefix="1" applyFont="1" applyProtection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165" fontId="12" fillId="0" borderId="0" xfId="6" applyNumberFormat="1" applyFont="1"/>
    <xf numFmtId="165" fontId="1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8" fontId="12" fillId="0" borderId="4" xfId="0" applyNumberFormat="1" applyFont="1" applyBorder="1"/>
    <xf numFmtId="38" fontId="12" fillId="0" borderId="4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71" fontId="7" fillId="0" borderId="9" xfId="3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right"/>
    </xf>
    <xf numFmtId="167" fontId="11" fillId="0" borderId="14" xfId="1" applyNumberFormat="1" applyFont="1" applyFill="1" applyBorder="1" applyAlignment="1">
      <alignment horizontal="right"/>
    </xf>
    <xf numFmtId="43" fontId="5" fillId="0" borderId="0" xfId="1" applyFont="1"/>
    <xf numFmtId="164" fontId="4" fillId="0" borderId="0" xfId="1" applyNumberFormat="1" applyFont="1"/>
    <xf numFmtId="167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</cellXfs>
  <cellStyles count="7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"/>
  <sheetViews>
    <sheetView tabSelected="1" zoomScaleNormal="100" workbookViewId="0">
      <selection activeCell="B11" sqref="B11"/>
    </sheetView>
  </sheetViews>
  <sheetFormatPr defaultColWidth="8.85546875" defaultRowHeight="15.75"/>
  <cols>
    <col min="1" max="1" width="7.85546875" style="5" customWidth="1"/>
    <col min="2" max="2" width="62.42578125" style="5" customWidth="1"/>
    <col min="3" max="3" width="173.140625" style="5" customWidth="1"/>
    <col min="4" max="4" width="7.85546875" style="5" customWidth="1"/>
    <col min="5" max="5" width="7.7109375" style="5" customWidth="1"/>
    <col min="6" max="6" width="20.7109375" style="6" customWidth="1"/>
    <col min="7" max="7" width="9.140625" style="5" bestFit="1" customWidth="1"/>
    <col min="8" max="8" width="8.85546875" style="6" customWidth="1"/>
    <col min="9" max="9" width="9.85546875" style="5" bestFit="1" customWidth="1"/>
    <col min="10" max="16384" width="8.85546875" style="5"/>
  </cols>
  <sheetData>
    <row r="1" spans="1:8">
      <c r="A1" s="154" t="s">
        <v>155</v>
      </c>
      <c r="B1" s="154"/>
      <c r="C1" s="154"/>
      <c r="D1" s="154"/>
      <c r="E1" s="4"/>
      <c r="G1" s="6"/>
    </row>
    <row r="2" spans="1:8">
      <c r="A2" s="154" t="s">
        <v>158</v>
      </c>
      <c r="B2" s="154"/>
      <c r="C2" s="154"/>
      <c r="D2" s="154"/>
      <c r="E2" s="4"/>
      <c r="G2" s="6"/>
    </row>
    <row r="3" spans="1:8">
      <c r="A3" s="154" t="s">
        <v>154</v>
      </c>
      <c r="B3" s="154"/>
      <c r="C3" s="154"/>
      <c r="D3" s="154"/>
      <c r="E3" s="4"/>
      <c r="G3" s="6"/>
    </row>
    <row r="4" spans="1:8">
      <c r="A4" s="75"/>
      <c r="B4" s="75"/>
      <c r="C4" s="75"/>
      <c r="D4" s="75"/>
      <c r="E4" s="4"/>
      <c r="G4" s="6"/>
    </row>
    <row r="5" spans="1:8">
      <c r="A5" s="154" t="s">
        <v>66</v>
      </c>
      <c r="B5" s="154"/>
      <c r="C5" s="154"/>
      <c r="D5" s="154"/>
      <c r="E5" s="4"/>
      <c r="F5" s="7"/>
      <c r="G5" s="7"/>
      <c r="H5" s="7"/>
    </row>
    <row r="6" spans="1:8">
      <c r="A6" s="75"/>
      <c r="B6" s="75"/>
      <c r="C6" s="75"/>
      <c r="D6" s="75"/>
      <c r="E6" s="75"/>
      <c r="F6" s="7"/>
      <c r="G6" s="7"/>
      <c r="H6" s="7"/>
    </row>
    <row r="7" spans="1:8" s="2" customFormat="1">
      <c r="A7" s="1" t="s">
        <v>19</v>
      </c>
      <c r="B7" s="81"/>
      <c r="C7" s="81"/>
      <c r="D7" s="1" t="s">
        <v>19</v>
      </c>
    </row>
    <row r="8" spans="1:8">
      <c r="A8" s="82" t="s">
        <v>67</v>
      </c>
      <c r="B8" s="82" t="s">
        <v>68</v>
      </c>
      <c r="C8" s="82" t="s">
        <v>69</v>
      </c>
      <c r="D8" s="82" t="s">
        <v>67</v>
      </c>
      <c r="F8" s="5"/>
      <c r="H8" s="5"/>
    </row>
    <row r="9" spans="1:8">
      <c r="A9" s="1"/>
      <c r="B9" s="83"/>
      <c r="C9" s="2"/>
      <c r="D9" s="1"/>
      <c r="F9" s="5"/>
      <c r="H9" s="5"/>
    </row>
    <row r="10" spans="1:8">
      <c r="A10" s="1">
        <v>1</v>
      </c>
      <c r="B10" s="2" t="s">
        <v>66</v>
      </c>
      <c r="C10" s="84" t="s">
        <v>70</v>
      </c>
      <c r="D10" s="1">
        <v>1</v>
      </c>
      <c r="F10" s="67"/>
      <c r="H10" s="5"/>
    </row>
    <row r="11" spans="1:8">
      <c r="A11" s="1">
        <f>A10+1</f>
        <v>2</v>
      </c>
      <c r="B11" s="17" t="s">
        <v>78</v>
      </c>
      <c r="C11" s="85" t="s">
        <v>71</v>
      </c>
      <c r="D11" s="1">
        <f>D10+1</f>
        <v>2</v>
      </c>
      <c r="F11" s="5"/>
      <c r="H11" s="5"/>
    </row>
    <row r="12" spans="1:8">
      <c r="A12" s="1">
        <f>A11+1</f>
        <v>3</v>
      </c>
      <c r="B12" s="86" t="s">
        <v>72</v>
      </c>
      <c r="C12" s="85" t="s">
        <v>73</v>
      </c>
      <c r="D12" s="1">
        <f>D11+1</f>
        <v>3</v>
      </c>
      <c r="F12" s="5"/>
      <c r="H12" s="5"/>
    </row>
    <row r="13" spans="1:8">
      <c r="A13" s="1">
        <f t="shared" ref="A13:A18" si="0">A12+1</f>
        <v>4</v>
      </c>
      <c r="B13" s="86" t="s">
        <v>74</v>
      </c>
      <c r="C13" s="85" t="s">
        <v>75</v>
      </c>
      <c r="D13" s="1">
        <f t="shared" ref="D13:D18" si="1">D12+1</f>
        <v>4</v>
      </c>
      <c r="F13" s="5"/>
      <c r="H13" s="5"/>
    </row>
    <row r="14" spans="1:8">
      <c r="A14" s="1">
        <f t="shared" si="0"/>
        <v>5</v>
      </c>
      <c r="B14" s="17" t="s">
        <v>149</v>
      </c>
      <c r="C14" s="85" t="s">
        <v>157</v>
      </c>
      <c r="D14" s="1">
        <f t="shared" si="1"/>
        <v>5</v>
      </c>
      <c r="F14" s="5"/>
      <c r="H14" s="5"/>
    </row>
    <row r="15" spans="1:8">
      <c r="A15" s="1">
        <f t="shared" si="0"/>
        <v>6</v>
      </c>
      <c r="B15" s="17" t="s">
        <v>150</v>
      </c>
      <c r="C15" s="85" t="s">
        <v>151</v>
      </c>
      <c r="D15" s="1">
        <f t="shared" si="1"/>
        <v>6</v>
      </c>
      <c r="F15" s="5"/>
      <c r="H15" s="5"/>
    </row>
    <row r="16" spans="1:8">
      <c r="A16" s="1">
        <f t="shared" si="0"/>
        <v>7</v>
      </c>
      <c r="B16" s="17" t="s">
        <v>76</v>
      </c>
      <c r="C16" s="85" t="s">
        <v>101</v>
      </c>
      <c r="D16" s="1">
        <f t="shared" si="1"/>
        <v>7</v>
      </c>
      <c r="F16" s="67"/>
      <c r="H16" s="5"/>
    </row>
    <row r="17" spans="1:8">
      <c r="A17" s="1">
        <f t="shared" si="0"/>
        <v>8</v>
      </c>
      <c r="B17" s="17" t="s">
        <v>77</v>
      </c>
      <c r="C17" s="85" t="s">
        <v>110</v>
      </c>
      <c r="D17" s="1">
        <f t="shared" si="1"/>
        <v>8</v>
      </c>
      <c r="F17" s="12"/>
      <c r="H17" s="5"/>
    </row>
    <row r="18" spans="1:8">
      <c r="A18" s="1">
        <f t="shared" si="0"/>
        <v>9</v>
      </c>
      <c r="B18" s="17" t="s">
        <v>56</v>
      </c>
      <c r="C18" s="85" t="s">
        <v>156</v>
      </c>
      <c r="D18" s="1">
        <f t="shared" si="1"/>
        <v>9</v>
      </c>
      <c r="E18" s="17"/>
      <c r="F18" s="5"/>
      <c r="H18" s="5"/>
    </row>
    <row r="19" spans="1:8">
      <c r="A19" s="1"/>
      <c r="B19" s="17"/>
      <c r="C19" s="20"/>
      <c r="D19" s="21"/>
      <c r="E19" s="17"/>
      <c r="F19" s="5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7"/>
      <c r="E21" s="17"/>
      <c r="F21" s="5"/>
      <c r="H21" s="5"/>
    </row>
    <row r="22" spans="1:8">
      <c r="A22" s="2"/>
      <c r="B22" s="2"/>
      <c r="C22" s="2"/>
      <c r="D22" s="2"/>
      <c r="E22" s="2"/>
      <c r="G22" s="6"/>
    </row>
    <row r="23" spans="1:8">
      <c r="A23" s="2"/>
      <c r="B23" s="2"/>
      <c r="C23" s="2"/>
      <c r="D23" s="2"/>
      <c r="E23" s="2"/>
      <c r="G23" s="6"/>
    </row>
    <row r="24" spans="1:8">
      <c r="G24" s="6"/>
    </row>
    <row r="25" spans="1:8">
      <c r="G25" s="6"/>
    </row>
  </sheetData>
  <mergeCells count="4">
    <mergeCell ref="A1:D1"/>
    <mergeCell ref="A2:D2"/>
    <mergeCell ref="A3:D3"/>
    <mergeCell ref="A5:D5"/>
  </mergeCells>
  <printOptions horizontalCentered="1"/>
  <pageMargins left="0.75" right="0.75" top="1" bottom="1" header="0.5" footer="0.5"/>
  <pageSetup scale="49" orientation="landscape" r:id="rId1"/>
  <headerFooter alignWithMargins="0">
    <oddFooter>&amp;L&amp;F  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27"/>
  <sheetViews>
    <sheetView zoomScaleNormal="100" workbookViewId="0">
      <selection activeCell="B9" sqref="B9:B10"/>
    </sheetView>
  </sheetViews>
  <sheetFormatPr defaultColWidth="8.85546875" defaultRowHeight="15.75"/>
  <cols>
    <col min="1" max="1" width="7.85546875" style="5" customWidth="1"/>
    <col min="2" max="2" width="63.7109375" style="5" customWidth="1"/>
    <col min="3" max="3" width="27.7109375" style="5" customWidth="1"/>
    <col min="4" max="4" width="7.85546875" style="5" customWidth="1"/>
    <col min="5" max="5" width="7.7109375" style="5" customWidth="1"/>
    <col min="6" max="6" width="20.7109375" style="6" customWidth="1"/>
    <col min="7" max="7" width="9.140625" style="5" bestFit="1" customWidth="1"/>
    <col min="8" max="8" width="8.85546875" style="6" customWidth="1"/>
    <col min="9" max="9" width="9.85546875" style="5" bestFit="1" customWidth="1"/>
    <col min="10" max="16384" width="8.85546875" style="5"/>
  </cols>
  <sheetData>
    <row r="1" spans="1:8">
      <c r="A1" s="154" t="str">
        <f>'Tab Descriptions'!A1:D1</f>
        <v>SAN DIEGO GAS &amp; ELECTRIC COMPANY ("SDG&amp;E")</v>
      </c>
      <c r="B1" s="154"/>
      <c r="C1" s="154"/>
      <c r="D1" s="154"/>
      <c r="E1" s="4"/>
      <c r="G1" s="6"/>
    </row>
    <row r="2" spans="1:8">
      <c r="A2" s="154" t="str">
        <f>'Tab Descriptions'!A2:D2</f>
        <v>TEST YEAR ("TY") 2019 GENERAL RATE CASE ("GRC") PHASE 2, APPLICATION ("A.") 19-03-002</v>
      </c>
      <c r="B2" s="154"/>
      <c r="C2" s="154"/>
      <c r="D2" s="154"/>
      <c r="E2" s="4"/>
      <c r="G2" s="6"/>
    </row>
    <row r="3" spans="1:8">
      <c r="A3" s="154" t="str">
        <f>'Tab Descriptions'!A3:D3</f>
        <v>MARGINAL DISTRIBUTION DEMAND COST WORKPAPER - CHAPTER 5 (SAXE)</v>
      </c>
      <c r="B3" s="154"/>
      <c r="C3" s="154"/>
      <c r="D3" s="154"/>
      <c r="E3" s="4"/>
      <c r="G3" s="6"/>
    </row>
    <row r="4" spans="1:8">
      <c r="A4" s="71"/>
      <c r="B4" s="71"/>
      <c r="C4" s="71"/>
      <c r="D4" s="71"/>
      <c r="E4" s="4"/>
      <c r="G4" s="6"/>
    </row>
    <row r="5" spans="1:8">
      <c r="A5" s="154" t="s">
        <v>60</v>
      </c>
      <c r="B5" s="154"/>
      <c r="C5" s="154"/>
      <c r="D5" s="154"/>
      <c r="E5" s="4"/>
      <c r="F5" s="7"/>
      <c r="G5" s="7"/>
      <c r="H5" s="7"/>
    </row>
    <row r="6" spans="1:8">
      <c r="A6" s="3"/>
      <c r="B6" s="3"/>
      <c r="C6" s="3"/>
      <c r="D6" s="3"/>
      <c r="E6" s="3"/>
      <c r="F6" s="7"/>
      <c r="G6" s="7"/>
      <c r="H6" s="7"/>
    </row>
    <row r="7" spans="1:8" s="2" customFormat="1">
      <c r="A7" s="1" t="s">
        <v>19</v>
      </c>
      <c r="C7" s="1"/>
      <c r="D7" s="1" t="s">
        <v>19</v>
      </c>
    </row>
    <row r="8" spans="1:8" ht="16.5" thickBot="1">
      <c r="A8" s="82" t="s">
        <v>67</v>
      </c>
      <c r="B8" s="2"/>
      <c r="C8" s="2"/>
      <c r="D8" s="82" t="s">
        <v>67</v>
      </c>
      <c r="F8" s="5"/>
      <c r="H8" s="5"/>
    </row>
    <row r="9" spans="1:8">
      <c r="A9" s="1"/>
      <c r="B9" s="157" t="s">
        <v>36</v>
      </c>
      <c r="C9" s="8"/>
      <c r="D9" s="1"/>
      <c r="F9" s="5"/>
      <c r="H9" s="5"/>
    </row>
    <row r="10" spans="1:8" ht="16.5" thickBot="1">
      <c r="A10" s="1">
        <v>1</v>
      </c>
      <c r="B10" s="158"/>
      <c r="C10" s="10"/>
      <c r="D10" s="1">
        <v>1</v>
      </c>
      <c r="F10" s="5"/>
      <c r="H10" s="5"/>
    </row>
    <row r="11" spans="1:8">
      <c r="A11" s="1">
        <f>A10+1</f>
        <v>2</v>
      </c>
      <c r="B11" s="8"/>
      <c r="C11" s="10"/>
      <c r="D11" s="1">
        <f>D10+1</f>
        <v>2</v>
      </c>
      <c r="F11" s="5"/>
      <c r="H11" s="5"/>
    </row>
    <row r="12" spans="1:8">
      <c r="A12" s="1">
        <f t="shared" ref="A12:A19" si="0">A11+1</f>
        <v>3</v>
      </c>
      <c r="B12" s="24" t="s">
        <v>35</v>
      </c>
      <c r="C12" s="14">
        <f>'Marg F&amp;LD Costs'!C26</f>
        <v>52.052606430503545</v>
      </c>
      <c r="D12" s="1">
        <f t="shared" ref="D12:D19" si="1">D11+1</f>
        <v>3</v>
      </c>
      <c r="F12" s="151"/>
      <c r="H12" s="5"/>
    </row>
    <row r="13" spans="1:8" ht="16.5" thickBot="1">
      <c r="A13" s="1">
        <f t="shared" si="0"/>
        <v>4</v>
      </c>
      <c r="B13" s="19"/>
      <c r="C13" s="16"/>
      <c r="D13" s="1">
        <f t="shared" si="1"/>
        <v>4</v>
      </c>
      <c r="F13" s="5"/>
      <c r="H13" s="5"/>
    </row>
    <row r="14" spans="1:8" ht="16.5" thickBot="1">
      <c r="A14" s="1">
        <f t="shared" si="0"/>
        <v>5</v>
      </c>
      <c r="B14" s="17"/>
      <c r="C14" s="18"/>
      <c r="D14" s="1">
        <f t="shared" si="1"/>
        <v>5</v>
      </c>
      <c r="F14" s="5"/>
      <c r="H14" s="5"/>
    </row>
    <row r="15" spans="1:8">
      <c r="A15" s="1">
        <f t="shared" si="0"/>
        <v>6</v>
      </c>
      <c r="B15" s="155" t="s">
        <v>37</v>
      </c>
      <c r="C15" s="59"/>
      <c r="D15" s="1">
        <f t="shared" si="1"/>
        <v>6</v>
      </c>
      <c r="F15" s="5"/>
      <c r="H15" s="5"/>
    </row>
    <row r="16" spans="1:8" ht="16.5" thickBot="1">
      <c r="A16" s="1">
        <f t="shared" si="0"/>
        <v>7</v>
      </c>
      <c r="B16" s="156"/>
      <c r="C16" s="15"/>
      <c r="D16" s="1">
        <f t="shared" si="1"/>
        <v>7</v>
      </c>
      <c r="F16" s="5"/>
      <c r="H16" s="5"/>
    </row>
    <row r="17" spans="1:8">
      <c r="A17" s="1">
        <f t="shared" si="0"/>
        <v>8</v>
      </c>
      <c r="B17" s="65"/>
      <c r="C17" s="15"/>
      <c r="D17" s="1">
        <f t="shared" si="1"/>
        <v>8</v>
      </c>
      <c r="F17" s="5"/>
      <c r="H17" s="5"/>
    </row>
    <row r="18" spans="1:8">
      <c r="A18" s="1">
        <f t="shared" si="0"/>
        <v>9</v>
      </c>
      <c r="B18" s="24" t="s">
        <v>35</v>
      </c>
      <c r="C18" s="14">
        <f>'Marg Substation Costs'!C26</f>
        <v>19.612412665708046</v>
      </c>
      <c r="D18" s="1">
        <f t="shared" si="1"/>
        <v>9</v>
      </c>
      <c r="F18" s="151"/>
      <c r="H18" s="5"/>
    </row>
    <row r="19" spans="1:8" ht="16.5" thickBot="1">
      <c r="A19" s="1">
        <f t="shared" si="0"/>
        <v>10</v>
      </c>
      <c r="B19" s="19"/>
      <c r="C19" s="16"/>
      <c r="D19" s="1">
        <f t="shared" si="1"/>
        <v>10</v>
      </c>
      <c r="F19" s="12"/>
      <c r="H19" s="5"/>
    </row>
    <row r="20" spans="1:8">
      <c r="A20" s="1"/>
      <c r="B20" s="17"/>
      <c r="C20" s="20"/>
      <c r="D20" s="7"/>
      <c r="E20" s="17"/>
      <c r="F20" s="5"/>
      <c r="H20" s="5"/>
    </row>
    <row r="21" spans="1:8">
      <c r="A21" s="1"/>
      <c r="B21" s="17"/>
      <c r="C21" s="20"/>
      <c r="D21" s="21"/>
      <c r="E21" s="17"/>
      <c r="F21" s="5"/>
      <c r="H21" s="5"/>
    </row>
    <row r="22" spans="1:8">
      <c r="A22" s="1"/>
      <c r="B22" s="17"/>
      <c r="C22" s="20"/>
      <c r="D22" s="7"/>
      <c r="E22" s="17"/>
      <c r="F22" s="5"/>
      <c r="H22" s="5"/>
    </row>
    <row r="23" spans="1:8">
      <c r="A23" s="1"/>
      <c r="B23" s="17"/>
      <c r="C23" s="20"/>
      <c r="D23" s="7"/>
      <c r="E23" s="17"/>
      <c r="F23" s="5"/>
      <c r="H23" s="5"/>
    </row>
    <row r="24" spans="1:8">
      <c r="A24" s="2"/>
      <c r="B24" s="2"/>
      <c r="C24" s="2"/>
      <c r="D24" s="2"/>
      <c r="E24" s="2"/>
      <c r="G24" s="6"/>
    </row>
    <row r="25" spans="1:8">
      <c r="A25" s="2"/>
      <c r="B25" s="2"/>
      <c r="C25" s="2"/>
      <c r="D25" s="2"/>
      <c r="E25" s="2"/>
      <c r="G25" s="6"/>
    </row>
    <row r="26" spans="1:8">
      <c r="G26" s="6"/>
    </row>
    <row r="27" spans="1:8">
      <c r="G27" s="6"/>
    </row>
  </sheetData>
  <mergeCells count="6">
    <mergeCell ref="B15:B16"/>
    <mergeCell ref="B9:B10"/>
    <mergeCell ref="A1:D1"/>
    <mergeCell ref="A2:D2"/>
    <mergeCell ref="A5:D5"/>
    <mergeCell ref="A3:D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32"/>
  <sheetViews>
    <sheetView zoomScaleNormal="100" workbookViewId="0">
      <selection activeCell="D18" sqref="D18"/>
    </sheetView>
  </sheetViews>
  <sheetFormatPr defaultColWidth="8.85546875" defaultRowHeight="15.75"/>
  <cols>
    <col min="1" max="1" width="10.7109375" style="5" customWidth="1"/>
    <col min="2" max="2" width="50" style="5" customWidth="1"/>
    <col min="3" max="3" width="10.140625" style="5" bestFit="1" customWidth="1"/>
    <col min="4" max="4" width="12.140625" style="5" customWidth="1"/>
    <col min="5" max="5" width="31.140625" style="5" customWidth="1"/>
    <col min="6" max="6" width="11.28515625" style="5" customWidth="1"/>
    <col min="7" max="7" width="10.7109375" style="5" customWidth="1"/>
    <col min="8" max="10" width="8.85546875" style="5" customWidth="1"/>
    <col min="11" max="11" width="10" style="5" bestFit="1" customWidth="1"/>
    <col min="12" max="12" width="20.7109375" style="6" customWidth="1"/>
    <col min="13" max="13" width="9.140625" style="5" bestFit="1" customWidth="1"/>
    <col min="14" max="14" width="8.85546875" style="6" customWidth="1"/>
    <col min="15" max="15" width="9.85546875" style="5" bestFit="1" customWidth="1"/>
    <col min="16" max="16384" width="8.85546875" style="5"/>
  </cols>
  <sheetData>
    <row r="1" spans="1:14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M1" s="6"/>
    </row>
    <row r="2" spans="1:14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M2" s="6"/>
    </row>
    <row r="3" spans="1:14">
      <c r="A3" s="154" t="str">
        <f>'Marg Distrib Demand Cost Sum'!A3:E3</f>
        <v>MARGINAL DISTRIBUTION DEMAND COST WORKPAPER - CHAPTER 5 (SAXE)</v>
      </c>
      <c r="B3" s="154"/>
      <c r="C3" s="154"/>
      <c r="D3" s="154"/>
      <c r="E3" s="154"/>
      <c r="F3" s="159"/>
      <c r="G3" s="159"/>
      <c r="K3" s="6"/>
      <c r="M3" s="6"/>
    </row>
    <row r="4" spans="1:14">
      <c r="A4" s="71"/>
      <c r="B4" s="71"/>
      <c r="C4" s="71"/>
      <c r="D4" s="71"/>
      <c r="E4" s="71"/>
      <c r="F4" s="72"/>
      <c r="G4" s="72"/>
      <c r="K4" s="6"/>
      <c r="M4" s="6"/>
    </row>
    <row r="5" spans="1:14">
      <c r="A5" s="154" t="s">
        <v>119</v>
      </c>
      <c r="B5" s="154"/>
      <c r="C5" s="154"/>
      <c r="D5" s="154"/>
      <c r="E5" s="154"/>
      <c r="F5" s="159"/>
      <c r="G5" s="159"/>
      <c r="L5" s="7"/>
      <c r="M5" s="7"/>
      <c r="N5" s="7"/>
    </row>
    <row r="6" spans="1:14">
      <c r="A6" s="154" t="s">
        <v>65</v>
      </c>
      <c r="B6" s="154"/>
      <c r="C6" s="154"/>
      <c r="D6" s="154"/>
      <c r="E6" s="154"/>
      <c r="F6" s="154"/>
      <c r="G6" s="154"/>
      <c r="L6" s="5"/>
      <c r="N6" s="5"/>
    </row>
    <row r="7" spans="1:14" ht="16.5" thickBot="1">
      <c r="A7" s="80" t="s">
        <v>19</v>
      </c>
      <c r="B7" s="80"/>
      <c r="C7" s="80"/>
      <c r="D7" s="80"/>
      <c r="E7" s="80"/>
      <c r="F7" s="80"/>
      <c r="G7" s="80" t="s">
        <v>19</v>
      </c>
      <c r="L7" s="5"/>
      <c r="N7" s="5"/>
    </row>
    <row r="8" spans="1:14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8" t="s">
        <v>32</v>
      </c>
      <c r="G8" s="82" t="s">
        <v>67</v>
      </c>
    </row>
    <row r="9" spans="1:14">
      <c r="A9" s="3"/>
      <c r="B9" s="22"/>
      <c r="C9" s="13"/>
      <c r="D9" s="22"/>
      <c r="E9" s="22"/>
      <c r="F9" s="93"/>
      <c r="G9" s="3"/>
      <c r="L9" s="5"/>
      <c r="N9" s="5"/>
    </row>
    <row r="10" spans="1:14">
      <c r="A10" s="3">
        <v>1</v>
      </c>
      <c r="B10" s="22" t="s">
        <v>38</v>
      </c>
      <c r="C10" s="9">
        <f>'Marg F&amp;LD Cost Cal'!E31</f>
        <v>429.17212535156665</v>
      </c>
      <c r="D10" s="10" t="s">
        <v>24</v>
      </c>
      <c r="E10" s="22"/>
      <c r="F10" s="93"/>
      <c r="G10" s="3">
        <f>A10</f>
        <v>1</v>
      </c>
      <c r="I10" s="11"/>
      <c r="J10" s="12"/>
      <c r="L10" s="5"/>
      <c r="N10" s="5"/>
    </row>
    <row r="11" spans="1:14">
      <c r="A11" s="3">
        <f>A10+1</f>
        <v>2</v>
      </c>
      <c r="B11" s="22"/>
      <c r="C11" s="13"/>
      <c r="D11" s="10"/>
      <c r="E11" s="22"/>
      <c r="F11" s="93"/>
      <c r="G11" s="3">
        <f>G10+1</f>
        <v>2</v>
      </c>
      <c r="L11" s="5"/>
      <c r="N11" s="5"/>
    </row>
    <row r="12" spans="1:14">
      <c r="A12" s="63">
        <f t="shared" ref="A12:A26" si="0">A11+1</f>
        <v>3</v>
      </c>
      <c r="B12" s="24" t="s">
        <v>39</v>
      </c>
      <c r="C12" s="13">
        <f>C10*$F12</f>
        <v>11.898223326297623</v>
      </c>
      <c r="D12" s="23" t="s">
        <v>24</v>
      </c>
      <c r="E12" s="24" t="s">
        <v>46</v>
      </c>
      <c r="F12" s="95">
        <f>Inputs!C9</f>
        <v>2.7723662892949787E-2</v>
      </c>
      <c r="G12" s="63">
        <f t="shared" ref="G12:G26" si="1">G11+1</f>
        <v>3</v>
      </c>
      <c r="I12" s="11"/>
      <c r="J12" s="12"/>
      <c r="L12" s="5"/>
      <c r="N12" s="5"/>
    </row>
    <row r="13" spans="1:14">
      <c r="A13" s="63">
        <f t="shared" si="0"/>
        <v>4</v>
      </c>
      <c r="B13" s="24"/>
      <c r="C13" s="13"/>
      <c r="D13" s="23"/>
      <c r="E13" s="24"/>
      <c r="F13" s="94"/>
      <c r="G13" s="63">
        <f t="shared" si="1"/>
        <v>4</v>
      </c>
      <c r="L13" s="5"/>
      <c r="N13" s="5"/>
    </row>
    <row r="14" spans="1:14">
      <c r="A14" s="136">
        <f t="shared" si="0"/>
        <v>5</v>
      </c>
      <c r="B14" s="24" t="s">
        <v>127</v>
      </c>
      <c r="C14" s="13">
        <f>C10*F14</f>
        <v>6.4474528391565853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L14" s="5"/>
      <c r="N14" s="5"/>
    </row>
    <row r="15" spans="1:14">
      <c r="A15" s="136">
        <f t="shared" si="0"/>
        <v>6</v>
      </c>
      <c r="B15" s="24"/>
      <c r="C15" s="13"/>
      <c r="D15" s="23"/>
      <c r="E15" s="24"/>
      <c r="F15" s="94"/>
      <c r="G15" s="136">
        <f t="shared" si="1"/>
        <v>6</v>
      </c>
      <c r="L15" s="5"/>
      <c r="N15" s="5"/>
    </row>
    <row r="16" spans="1:14">
      <c r="A16" s="136">
        <f t="shared" si="0"/>
        <v>7</v>
      </c>
      <c r="B16" s="24" t="s">
        <v>40</v>
      </c>
      <c r="C16" s="13">
        <f>SUM(C10:C14)</f>
        <v>447.51780151702087</v>
      </c>
      <c r="D16" s="23" t="s">
        <v>24</v>
      </c>
      <c r="E16" s="24" t="s">
        <v>128</v>
      </c>
      <c r="F16" s="94"/>
      <c r="G16" s="136">
        <f t="shared" si="1"/>
        <v>7</v>
      </c>
      <c r="I16" s="11"/>
      <c r="J16" s="12"/>
      <c r="L16" s="5"/>
      <c r="N16" s="5"/>
    </row>
    <row r="17" spans="1:14">
      <c r="A17" s="130">
        <f t="shared" si="0"/>
        <v>8</v>
      </c>
      <c r="B17" s="24"/>
      <c r="C17" s="13"/>
      <c r="D17" s="23"/>
      <c r="E17" s="24"/>
      <c r="F17" s="94"/>
      <c r="G17" s="136">
        <f t="shared" si="1"/>
        <v>8</v>
      </c>
      <c r="L17" s="5"/>
      <c r="N17" s="5"/>
    </row>
    <row r="18" spans="1:14">
      <c r="A18" s="63">
        <f t="shared" si="0"/>
        <v>9</v>
      </c>
      <c r="B18" s="24" t="s">
        <v>41</v>
      </c>
      <c r="C18" s="13">
        <f>C16*$F18</f>
        <v>32.143764559940998</v>
      </c>
      <c r="D18" s="23" t="s">
        <v>25</v>
      </c>
      <c r="E18" s="24" t="s">
        <v>48</v>
      </c>
      <c r="F18" s="95">
        <f>Inputs!C15</f>
        <v>7.182678421054596E-2</v>
      </c>
      <c r="G18" s="136">
        <f t="shared" si="1"/>
        <v>9</v>
      </c>
      <c r="H18" s="12"/>
      <c r="I18" s="11"/>
      <c r="J18" s="12"/>
      <c r="L18" s="5"/>
      <c r="N18" s="5"/>
    </row>
    <row r="19" spans="1:14">
      <c r="A19" s="63">
        <f t="shared" si="0"/>
        <v>10</v>
      </c>
      <c r="B19" s="24"/>
      <c r="C19" s="13"/>
      <c r="D19" s="23"/>
      <c r="E19" s="24"/>
      <c r="F19" s="94"/>
      <c r="G19" s="63">
        <f t="shared" si="1"/>
        <v>10</v>
      </c>
      <c r="H19" s="12"/>
      <c r="L19" s="5"/>
      <c r="N19" s="5"/>
    </row>
    <row r="20" spans="1:14">
      <c r="A20" s="63">
        <f t="shared" si="0"/>
        <v>11</v>
      </c>
      <c r="B20" s="24" t="s">
        <v>42</v>
      </c>
      <c r="C20" s="13">
        <f>C18*$F20</f>
        <v>0.675236185851955</v>
      </c>
      <c r="D20" s="23" t="s">
        <v>25</v>
      </c>
      <c r="E20" s="24" t="s">
        <v>49</v>
      </c>
      <c r="F20" s="95">
        <f>Inputs!C13</f>
        <v>2.1006754967757096E-2</v>
      </c>
      <c r="G20" s="63">
        <f t="shared" si="1"/>
        <v>11</v>
      </c>
      <c r="H20" s="12"/>
      <c r="I20" s="11"/>
      <c r="J20" s="12"/>
      <c r="L20" s="5"/>
      <c r="N20" s="5"/>
    </row>
    <row r="21" spans="1:14">
      <c r="A21" s="63">
        <f t="shared" si="0"/>
        <v>12</v>
      </c>
      <c r="B21" s="24"/>
      <c r="C21" s="13"/>
      <c r="D21" s="23"/>
      <c r="E21" s="24"/>
      <c r="F21" s="94"/>
      <c r="G21" s="63">
        <f t="shared" si="1"/>
        <v>12</v>
      </c>
      <c r="H21" s="12"/>
      <c r="L21" s="5"/>
      <c r="N21" s="5"/>
    </row>
    <row r="22" spans="1:14">
      <c r="A22" s="63">
        <f t="shared" si="0"/>
        <v>13</v>
      </c>
      <c r="B22" s="24" t="s">
        <v>43</v>
      </c>
      <c r="C22" s="101">
        <v>12.505554929927088</v>
      </c>
      <c r="D22" s="23" t="s">
        <v>25</v>
      </c>
      <c r="E22" s="24" t="s">
        <v>26</v>
      </c>
      <c r="F22" s="94"/>
      <c r="G22" s="63">
        <f t="shared" si="1"/>
        <v>13</v>
      </c>
      <c r="H22" s="12"/>
      <c r="I22" s="11"/>
      <c r="J22" s="12"/>
      <c r="L22" s="5"/>
      <c r="N22" s="5"/>
    </row>
    <row r="23" spans="1:14">
      <c r="A23" s="63">
        <f t="shared" si="0"/>
        <v>14</v>
      </c>
      <c r="B23" s="24"/>
      <c r="C23" s="13"/>
      <c r="D23" s="23"/>
      <c r="E23" s="24"/>
      <c r="F23" s="94"/>
      <c r="G23" s="63">
        <f t="shared" si="1"/>
        <v>14</v>
      </c>
      <c r="H23" s="12"/>
      <c r="L23" s="5"/>
      <c r="N23" s="5"/>
    </row>
    <row r="24" spans="1:14">
      <c r="A24" s="63">
        <f t="shared" si="0"/>
        <v>15</v>
      </c>
      <c r="B24" s="24" t="s">
        <v>44</v>
      </c>
      <c r="C24" s="13">
        <f>C22*$F24</f>
        <v>3.9337076550708372</v>
      </c>
      <c r="D24" s="23" t="s">
        <v>25</v>
      </c>
      <c r="E24" s="24" t="s">
        <v>50</v>
      </c>
      <c r="F24" s="95">
        <f>Inputs!C12</f>
        <v>0.31455682511593847</v>
      </c>
      <c r="G24" s="63">
        <f t="shared" si="1"/>
        <v>15</v>
      </c>
      <c r="H24" s="12"/>
      <c r="I24" s="11"/>
      <c r="J24" s="12"/>
      <c r="L24" s="5"/>
      <c r="N24" s="5"/>
    </row>
    <row r="25" spans="1:14">
      <c r="A25" s="63">
        <f t="shared" si="0"/>
        <v>16</v>
      </c>
      <c r="B25" s="24"/>
      <c r="C25" s="13"/>
      <c r="D25" s="23"/>
      <c r="E25" s="24"/>
      <c r="F25" s="94"/>
      <c r="G25" s="63">
        <f t="shared" si="1"/>
        <v>16</v>
      </c>
      <c r="H25" s="12"/>
      <c r="L25" s="5"/>
      <c r="N25" s="5"/>
    </row>
    <row r="26" spans="1:14" ht="16.5" thickBot="1">
      <c r="A26" s="63">
        <f t="shared" si="0"/>
        <v>17</v>
      </c>
      <c r="B26" s="19" t="s">
        <v>45</v>
      </c>
      <c r="C26" s="25">
        <f>F26*(C18+C20)+C22+C24</f>
        <v>52.052606430503545</v>
      </c>
      <c r="D26" s="26" t="s">
        <v>25</v>
      </c>
      <c r="E26" s="19" t="s">
        <v>51</v>
      </c>
      <c r="F26" s="96">
        <f>Inputs!C19</f>
        <v>1.085144063993809</v>
      </c>
      <c r="G26" s="63">
        <f t="shared" si="1"/>
        <v>17</v>
      </c>
      <c r="H26" s="12"/>
      <c r="I26" s="11"/>
      <c r="J26" s="12"/>
      <c r="L26" s="5"/>
      <c r="N26" s="5"/>
    </row>
    <row r="27" spans="1:14">
      <c r="K27" s="6"/>
      <c r="M27" s="6"/>
    </row>
    <row r="28" spans="1:14">
      <c r="A28" s="29" t="s">
        <v>79</v>
      </c>
      <c r="B28" s="54"/>
      <c r="K28" s="6"/>
      <c r="M28" s="6"/>
    </row>
    <row r="29" spans="1:14">
      <c r="B29" s="102" t="s">
        <v>112</v>
      </c>
      <c r="J29" s="12"/>
      <c r="K29" s="6"/>
      <c r="M29" s="6"/>
    </row>
    <row r="30" spans="1:14">
      <c r="B30" s="102" t="s">
        <v>80</v>
      </c>
      <c r="K30" s="6"/>
      <c r="M30" s="6"/>
    </row>
    <row r="31" spans="1:14" s="6" customFormat="1">
      <c r="A31" s="5"/>
      <c r="B31" s="54" t="s">
        <v>81</v>
      </c>
      <c r="C31" s="5"/>
      <c r="D31" s="5"/>
      <c r="E31" s="5"/>
      <c r="F31" s="5"/>
      <c r="G31" s="5"/>
      <c r="H31" s="5"/>
      <c r="I31" s="5"/>
      <c r="J31" s="5"/>
    </row>
    <row r="32" spans="1:14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0" orientation="landscape" r:id="rId1"/>
  <headerFooter alignWithMargins="0">
    <oddFooter>&amp;L&amp;F  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L32"/>
  <sheetViews>
    <sheetView zoomScaleNormal="100" workbookViewId="0">
      <selection activeCell="D22" sqref="D22"/>
    </sheetView>
  </sheetViews>
  <sheetFormatPr defaultColWidth="8.85546875" defaultRowHeight="15.75"/>
  <cols>
    <col min="1" max="1" width="10.7109375" style="5" customWidth="1"/>
    <col min="2" max="2" width="49.85546875" style="5" customWidth="1"/>
    <col min="3" max="3" width="11" style="5" customWidth="1"/>
    <col min="4" max="4" width="11.42578125" style="5" customWidth="1"/>
    <col min="5" max="5" width="24.7109375" style="5" customWidth="1"/>
    <col min="6" max="6" width="11.28515625" style="5" customWidth="1"/>
    <col min="7" max="7" width="10.7109375" style="5" customWidth="1"/>
    <col min="8" max="10" width="8.85546875" style="5" customWidth="1"/>
    <col min="11" max="11" width="10" style="5" bestFit="1" customWidth="1"/>
    <col min="12" max="12" width="19.7109375" style="5" customWidth="1"/>
    <col min="13" max="13" width="9.85546875" style="5" bestFit="1" customWidth="1"/>
    <col min="14" max="16384" width="8.85546875" style="5"/>
  </cols>
  <sheetData>
    <row r="1" spans="1:12">
      <c r="A1" s="154" t="str">
        <f>'Marg Distrib Demand Cost Sum'!A1:E1</f>
        <v>SAN DIEGO GAS &amp; ELECTRIC COMPANY ("SDG&amp;E")</v>
      </c>
      <c r="B1" s="154"/>
      <c r="C1" s="154"/>
      <c r="D1" s="154"/>
      <c r="E1" s="154"/>
      <c r="F1" s="159"/>
      <c r="G1" s="159"/>
      <c r="K1" s="6"/>
      <c r="L1" s="6"/>
    </row>
    <row r="2" spans="1:12">
      <c r="A2" s="154" t="str">
        <f>'Marg Distrib Demand Cost Sum'!A2:E2</f>
        <v>TEST YEAR ("TY") 2019 GENERAL RATE CASE ("GRC") PHASE 2, APPLICATION ("A.") 19-03-002</v>
      </c>
      <c r="B2" s="154"/>
      <c r="C2" s="154"/>
      <c r="D2" s="154"/>
      <c r="E2" s="154"/>
      <c r="F2" s="159"/>
      <c r="G2" s="159"/>
      <c r="K2" s="6"/>
      <c r="L2" s="6"/>
    </row>
    <row r="3" spans="1:12">
      <c r="A3" s="154" t="str">
        <f>'Marg Distrib Demand Cost Sum'!A3:E3</f>
        <v>MARGINAL DISTRIBUTION DEMAND COST WORKPAPER - CHAPTER 5 (SAXE)</v>
      </c>
      <c r="B3" s="154"/>
      <c r="C3" s="154"/>
      <c r="D3" s="154"/>
      <c r="E3" s="154"/>
      <c r="F3" s="159"/>
      <c r="G3" s="159"/>
      <c r="K3" s="6"/>
      <c r="L3" s="6"/>
    </row>
    <row r="4" spans="1:12">
      <c r="A4" s="71"/>
      <c r="B4" s="71"/>
      <c r="C4" s="71"/>
      <c r="D4" s="71"/>
      <c r="E4" s="71"/>
      <c r="F4" s="72"/>
      <c r="G4" s="72"/>
      <c r="K4" s="6"/>
      <c r="L4" s="6"/>
    </row>
    <row r="5" spans="1:12">
      <c r="A5" s="154" t="s">
        <v>120</v>
      </c>
      <c r="B5" s="154"/>
      <c r="C5" s="154"/>
      <c r="D5" s="154"/>
      <c r="E5" s="154"/>
      <c r="F5" s="159"/>
      <c r="G5" s="159"/>
      <c r="L5" s="2"/>
    </row>
    <row r="6" spans="1:12">
      <c r="A6" s="154" t="s">
        <v>65</v>
      </c>
      <c r="B6" s="154"/>
      <c r="C6" s="154"/>
      <c r="D6" s="154"/>
      <c r="E6" s="154"/>
      <c r="F6" s="154"/>
      <c r="G6" s="154"/>
    </row>
    <row r="7" spans="1:12" ht="16.5" thickBot="1">
      <c r="A7" s="80" t="s">
        <v>19</v>
      </c>
      <c r="B7" s="80"/>
      <c r="C7" s="80"/>
      <c r="D7" s="80"/>
      <c r="E7" s="80"/>
      <c r="F7" s="80"/>
      <c r="G7" s="80" t="s">
        <v>19</v>
      </c>
    </row>
    <row r="8" spans="1:12" s="2" customFormat="1">
      <c r="A8" s="82" t="s">
        <v>67</v>
      </c>
      <c r="B8" s="8" t="s">
        <v>21</v>
      </c>
      <c r="C8" s="97" t="s">
        <v>34</v>
      </c>
      <c r="D8" s="97" t="s">
        <v>22</v>
      </c>
      <c r="E8" s="97" t="s">
        <v>23</v>
      </c>
      <c r="F8" s="97" t="s">
        <v>33</v>
      </c>
      <c r="G8" s="82" t="s">
        <v>67</v>
      </c>
    </row>
    <row r="9" spans="1:12">
      <c r="A9" s="3"/>
      <c r="B9" s="22"/>
      <c r="C9" s="13"/>
      <c r="D9" s="22"/>
      <c r="E9" s="22"/>
      <c r="F9" s="22"/>
      <c r="G9" s="3"/>
    </row>
    <row r="10" spans="1:12">
      <c r="A10" s="3">
        <v>1</v>
      </c>
      <c r="B10" s="22" t="s">
        <v>38</v>
      </c>
      <c r="C10" s="9">
        <f>'Marg Substation Cost Cal'!E31</f>
        <v>178.64157027137048</v>
      </c>
      <c r="D10" s="10" t="s">
        <v>24</v>
      </c>
      <c r="E10" s="22"/>
      <c r="F10" s="22"/>
      <c r="G10" s="3">
        <f>A10</f>
        <v>1</v>
      </c>
      <c r="I10" s="11"/>
      <c r="J10" s="12"/>
    </row>
    <row r="11" spans="1:12">
      <c r="A11" s="3">
        <f>A10+1</f>
        <v>2</v>
      </c>
      <c r="B11" s="22"/>
      <c r="C11" s="13"/>
      <c r="D11" s="10"/>
      <c r="E11" s="22"/>
      <c r="F11" s="22"/>
      <c r="G11" s="3">
        <f>G10+1</f>
        <v>2</v>
      </c>
      <c r="J11" s="12"/>
    </row>
    <row r="12" spans="1:12">
      <c r="A12" s="63">
        <f t="shared" ref="A12:A26" si="0">A11+1</f>
        <v>3</v>
      </c>
      <c r="B12" s="24" t="s">
        <v>39</v>
      </c>
      <c r="C12" s="13">
        <f>C10*$F12</f>
        <v>4.9525986728706757</v>
      </c>
      <c r="D12" s="23" t="s">
        <v>24</v>
      </c>
      <c r="E12" s="24" t="s">
        <v>46</v>
      </c>
      <c r="F12" s="64">
        <f>Inputs!C9</f>
        <v>2.7723662892949787E-2</v>
      </c>
      <c r="G12" s="63">
        <f t="shared" ref="G12:G26" si="1">G11+1</f>
        <v>3</v>
      </c>
      <c r="I12" s="11"/>
      <c r="J12" s="12"/>
    </row>
    <row r="13" spans="1:12">
      <c r="A13" s="136">
        <f t="shared" si="0"/>
        <v>4</v>
      </c>
      <c r="B13" s="24"/>
      <c r="C13" s="13"/>
      <c r="D13" s="23"/>
      <c r="E13" s="24"/>
      <c r="F13" s="64"/>
      <c r="G13" s="136">
        <f t="shared" si="1"/>
        <v>4</v>
      </c>
      <c r="I13" s="11"/>
      <c r="J13" s="12"/>
    </row>
    <row r="14" spans="1:12">
      <c r="A14" s="136">
        <f t="shared" si="0"/>
        <v>5</v>
      </c>
      <c r="B14" s="24" t="s">
        <v>127</v>
      </c>
      <c r="C14" s="13">
        <f>C10*F14</f>
        <v>2.6837323101867989</v>
      </c>
      <c r="D14" s="23" t="s">
        <v>24</v>
      </c>
      <c r="E14" s="24" t="s">
        <v>46</v>
      </c>
      <c r="F14" s="95">
        <f>Inputs!C10</f>
        <v>1.5023E-2</v>
      </c>
      <c r="G14" s="136">
        <f t="shared" si="1"/>
        <v>5</v>
      </c>
      <c r="I14" s="11"/>
      <c r="J14" s="12"/>
    </row>
    <row r="15" spans="1:12">
      <c r="A15" s="136">
        <f t="shared" si="0"/>
        <v>6</v>
      </c>
      <c r="B15" s="24"/>
      <c r="C15" s="13"/>
      <c r="D15" s="23"/>
      <c r="E15" s="24"/>
      <c r="F15" s="24"/>
      <c r="G15" s="136">
        <f t="shared" si="1"/>
        <v>6</v>
      </c>
      <c r="J15" s="12"/>
    </row>
    <row r="16" spans="1:12">
      <c r="A16" s="136">
        <f t="shared" si="0"/>
        <v>7</v>
      </c>
      <c r="B16" s="24" t="s">
        <v>40</v>
      </c>
      <c r="C16" s="13">
        <f>SUM(C10:C15)</f>
        <v>186.27790125442795</v>
      </c>
      <c r="D16" s="23" t="s">
        <v>24</v>
      </c>
      <c r="E16" s="24" t="s">
        <v>47</v>
      </c>
      <c r="F16" s="24"/>
      <c r="G16" s="136">
        <f t="shared" si="1"/>
        <v>7</v>
      </c>
      <c r="I16" s="11"/>
      <c r="J16" s="12"/>
    </row>
    <row r="17" spans="1:12">
      <c r="A17" s="136">
        <f t="shared" si="0"/>
        <v>8</v>
      </c>
      <c r="B17" s="24"/>
      <c r="C17" s="13"/>
      <c r="D17" s="23"/>
      <c r="E17" s="24"/>
      <c r="F17" s="24"/>
      <c r="G17" s="136">
        <f t="shared" si="1"/>
        <v>8</v>
      </c>
      <c r="J17" s="12"/>
    </row>
    <row r="18" spans="1:12">
      <c r="A18" s="130">
        <f t="shared" si="0"/>
        <v>9</v>
      </c>
      <c r="B18" s="24" t="s">
        <v>41</v>
      </c>
      <c r="C18" s="13">
        <f>C16*$F18</f>
        <v>13.155288237958011</v>
      </c>
      <c r="D18" s="23" t="s">
        <v>25</v>
      </c>
      <c r="E18" s="24" t="s">
        <v>48</v>
      </c>
      <c r="F18" s="64">
        <f>Inputs!C14</f>
        <v>7.0621840537004127E-2</v>
      </c>
      <c r="G18" s="130">
        <f t="shared" si="1"/>
        <v>9</v>
      </c>
      <c r="H18" s="12"/>
      <c r="I18" s="11"/>
      <c r="J18" s="12"/>
    </row>
    <row r="19" spans="1:12">
      <c r="A19" s="63">
        <f t="shared" si="0"/>
        <v>10</v>
      </c>
      <c r="B19" s="24"/>
      <c r="C19" s="13"/>
      <c r="D19" s="23"/>
      <c r="E19" s="24"/>
      <c r="F19" s="24"/>
      <c r="G19" s="130">
        <f t="shared" si="1"/>
        <v>10</v>
      </c>
      <c r="H19" s="12"/>
      <c r="J19" s="12"/>
    </row>
    <row r="20" spans="1:12">
      <c r="A20" s="63">
        <f t="shared" si="0"/>
        <v>11</v>
      </c>
      <c r="B20" s="24" t="s">
        <v>42</v>
      </c>
      <c r="C20" s="13">
        <f>C18*$F20</f>
        <v>0.27634991654500096</v>
      </c>
      <c r="D20" s="23" t="s">
        <v>25</v>
      </c>
      <c r="E20" s="24" t="s">
        <v>49</v>
      </c>
      <c r="F20" s="64">
        <f>Inputs!C13</f>
        <v>2.1006754967757096E-2</v>
      </c>
      <c r="G20" s="130">
        <f t="shared" si="1"/>
        <v>11</v>
      </c>
      <c r="H20" s="12"/>
      <c r="I20" s="11"/>
      <c r="J20" s="12"/>
    </row>
    <row r="21" spans="1:12">
      <c r="A21" s="63">
        <f t="shared" si="0"/>
        <v>12</v>
      </c>
      <c r="B21" s="24"/>
      <c r="C21" s="13"/>
      <c r="D21" s="23"/>
      <c r="E21" s="24"/>
      <c r="F21" s="24"/>
      <c r="G21" s="130">
        <f t="shared" si="1"/>
        <v>12</v>
      </c>
      <c r="H21" s="12"/>
      <c r="J21" s="12"/>
    </row>
    <row r="22" spans="1:12">
      <c r="A22" s="63">
        <f t="shared" si="0"/>
        <v>13</v>
      </c>
      <c r="B22" s="24" t="s">
        <v>43</v>
      </c>
      <c r="C22" s="101">
        <v>3.8318238941036924</v>
      </c>
      <c r="D22" s="23" t="s">
        <v>25</v>
      </c>
      <c r="E22" s="24" t="s">
        <v>26</v>
      </c>
      <c r="F22" s="24"/>
      <c r="G22" s="130">
        <f t="shared" si="1"/>
        <v>13</v>
      </c>
      <c r="H22" s="12"/>
      <c r="I22" s="11"/>
      <c r="J22" s="12"/>
    </row>
    <row r="23" spans="1:12">
      <c r="A23" s="63">
        <f t="shared" si="0"/>
        <v>14</v>
      </c>
      <c r="B23" s="24"/>
      <c r="C23" s="13"/>
      <c r="D23" s="23"/>
      <c r="E23" s="24"/>
      <c r="F23" s="24"/>
      <c r="G23" s="130">
        <f t="shared" si="1"/>
        <v>14</v>
      </c>
      <c r="H23" s="12"/>
      <c r="J23" s="12"/>
    </row>
    <row r="24" spans="1:12">
      <c r="A24" s="63">
        <f t="shared" si="0"/>
        <v>15</v>
      </c>
      <c r="B24" s="24" t="s">
        <v>44</v>
      </c>
      <c r="C24" s="13">
        <f>C22*$F24</f>
        <v>1.2053263585326495</v>
      </c>
      <c r="D24" s="23" t="s">
        <v>25</v>
      </c>
      <c r="E24" s="24" t="s">
        <v>50</v>
      </c>
      <c r="F24" s="64">
        <f>Inputs!C12</f>
        <v>0.31455682511593847</v>
      </c>
      <c r="G24" s="130">
        <f t="shared" si="1"/>
        <v>15</v>
      </c>
      <c r="H24" s="12"/>
      <c r="I24" s="11"/>
      <c r="J24" s="12"/>
    </row>
    <row r="25" spans="1:12">
      <c r="A25" s="63">
        <f t="shared" si="0"/>
        <v>16</v>
      </c>
      <c r="B25" s="24"/>
      <c r="C25" s="13"/>
      <c r="D25" s="23"/>
      <c r="E25" s="24"/>
      <c r="F25" s="24"/>
      <c r="G25" s="130">
        <f t="shared" si="1"/>
        <v>16</v>
      </c>
      <c r="H25" s="12"/>
      <c r="J25" s="12"/>
    </row>
    <row r="26" spans="1:12" ht="16.5" thickBot="1">
      <c r="A26" s="63">
        <f t="shared" si="0"/>
        <v>17</v>
      </c>
      <c r="B26" s="19" t="s">
        <v>45</v>
      </c>
      <c r="C26" s="25">
        <f>F26*(C18+C20)+C22+C24</f>
        <v>19.612412665708046</v>
      </c>
      <c r="D26" s="26" t="s">
        <v>25</v>
      </c>
      <c r="E26" s="19" t="s">
        <v>51</v>
      </c>
      <c r="F26" s="62">
        <f>Inputs!C19</f>
        <v>1.085144063993809</v>
      </c>
      <c r="G26" s="130">
        <f t="shared" si="1"/>
        <v>17</v>
      </c>
      <c r="H26" s="12"/>
      <c r="I26" s="11"/>
      <c r="J26" s="12"/>
    </row>
    <row r="27" spans="1:12">
      <c r="K27" s="6"/>
      <c r="L27" s="6"/>
    </row>
    <row r="28" spans="1:12">
      <c r="A28" s="103" t="s">
        <v>79</v>
      </c>
      <c r="B28" s="54"/>
      <c r="D28" s="27"/>
      <c r="K28" s="6"/>
      <c r="L28" s="6"/>
    </row>
    <row r="29" spans="1:12">
      <c r="B29" s="102" t="s">
        <v>113</v>
      </c>
      <c r="K29" s="6"/>
      <c r="L29" s="6"/>
    </row>
    <row r="30" spans="1:12">
      <c r="B30" s="102" t="s">
        <v>82</v>
      </c>
      <c r="K30" s="6"/>
      <c r="L30" s="6"/>
    </row>
    <row r="31" spans="1:12">
      <c r="B31" s="54" t="s">
        <v>81</v>
      </c>
    </row>
    <row r="32" spans="1:12">
      <c r="B32" s="102" t="s">
        <v>93</v>
      </c>
    </row>
  </sheetData>
  <mergeCells count="5">
    <mergeCell ref="A6:G6"/>
    <mergeCell ref="A1:G1"/>
    <mergeCell ref="A2:G2"/>
    <mergeCell ref="A5:G5"/>
    <mergeCell ref="A3:G3"/>
  </mergeCells>
  <phoneticPr fontId="0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T38"/>
  <sheetViews>
    <sheetView zoomScaleNormal="100" workbookViewId="0">
      <selection activeCell="B29" sqref="B29"/>
    </sheetView>
  </sheetViews>
  <sheetFormatPr defaultColWidth="9.140625" defaultRowHeight="12.75"/>
  <cols>
    <col min="1" max="1" width="5.7109375" style="28" customWidth="1"/>
    <col min="2" max="2" width="10.7109375" style="28" customWidth="1"/>
    <col min="3" max="4" width="15.7109375" style="29" customWidth="1"/>
    <col min="5" max="5" width="17.7109375" style="29" customWidth="1"/>
    <col min="6" max="6" width="17.5703125" style="29" customWidth="1"/>
    <col min="7" max="7" width="5.7109375" style="30" customWidth="1"/>
    <col min="8" max="8" width="5.5703125" style="29" customWidth="1"/>
    <col min="9" max="9" width="6" style="29" bestFit="1" customWidth="1"/>
    <col min="10" max="10" width="5" style="29" bestFit="1" customWidth="1"/>
    <col min="11" max="11" width="9.140625" style="29"/>
    <col min="12" max="13" width="12.28515625" style="29" bestFit="1" customWidth="1"/>
    <col min="14" max="16384" width="9.14062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117"/>
      <c r="B4" s="117"/>
      <c r="C4" s="117"/>
      <c r="D4" s="117"/>
      <c r="E4" s="117"/>
      <c r="F4" s="117"/>
      <c r="G4" s="117"/>
      <c r="H4" s="53"/>
      <c r="I4" s="53"/>
      <c r="J4" s="53"/>
    </row>
    <row r="5" spans="1:20">
      <c r="A5" s="160" t="s">
        <v>95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117"/>
      <c r="B6" s="117"/>
      <c r="C6" s="117"/>
      <c r="D6" s="117"/>
      <c r="E6" s="117"/>
      <c r="F6" s="117"/>
      <c r="G6" s="117"/>
      <c r="H6" s="53"/>
      <c r="I6" s="53"/>
      <c r="J6" s="53"/>
    </row>
    <row r="7" spans="1:20" ht="13.5" thickBot="1"/>
    <row r="8" spans="1:20" s="33" customFormat="1" ht="25.5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63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117">
        <v>1</v>
      </c>
      <c r="B11" s="34">
        <v>2005</v>
      </c>
      <c r="C11" s="104">
        <v>0.57737108402008819</v>
      </c>
      <c r="D11" s="108">
        <v>5143.1492422108822</v>
      </c>
      <c r="E11" s="142">
        <v>38.017639258722738</v>
      </c>
      <c r="F11" s="126">
        <f>'Distrib Capital Historic Data'!C$28/C11</f>
        <v>65991.276460192254</v>
      </c>
      <c r="G11" s="117">
        <f t="shared" ref="G11:G22" si="0">A11</f>
        <v>1</v>
      </c>
      <c r="H11" s="60"/>
      <c r="I11" s="60"/>
      <c r="K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117">
        <f t="shared" ref="A12:B28" si="1">A11+1</f>
        <v>2</v>
      </c>
      <c r="B12" s="34">
        <f t="shared" si="1"/>
        <v>2006</v>
      </c>
      <c r="C12" s="104">
        <v>0.63789596438100715</v>
      </c>
      <c r="D12" s="108">
        <v>5278.5439592348039</v>
      </c>
      <c r="E12" s="118">
        <f t="shared" ref="E12:E25" si="2">D12-D11+E11</f>
        <v>173.4123562826444</v>
      </c>
      <c r="F12" s="126">
        <f>'Distrib Capital Historic Data'!D$28/C12+F11</f>
        <v>119151.48444481747</v>
      </c>
      <c r="G12" s="117">
        <f t="shared" si="0"/>
        <v>2</v>
      </c>
      <c r="H12" s="60"/>
      <c r="I12" s="60"/>
      <c r="K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117">
        <f t="shared" si="1"/>
        <v>3</v>
      </c>
      <c r="B13" s="34">
        <f t="shared" si="1"/>
        <v>2007</v>
      </c>
      <c r="C13" s="104">
        <v>0.70372768774804451</v>
      </c>
      <c r="D13" s="108">
        <v>5417.8970381562167</v>
      </c>
      <c r="E13" s="118">
        <f t="shared" si="2"/>
        <v>312.76543520405721</v>
      </c>
      <c r="F13" s="126">
        <f>'Distrib Capital Historic Data'!E$28/C13+F12</f>
        <v>181081.78731922928</v>
      </c>
      <c r="G13" s="117">
        <f t="shared" si="0"/>
        <v>3</v>
      </c>
      <c r="H13" s="60"/>
      <c r="I13" s="60"/>
      <c r="K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117">
        <f t="shared" si="1"/>
        <v>4</v>
      </c>
      <c r="B14" s="34">
        <f t="shared" si="1"/>
        <v>2008</v>
      </c>
      <c r="C14" s="104">
        <v>0.76888765883582644</v>
      </c>
      <c r="D14" s="108">
        <v>5716.9216345862469</v>
      </c>
      <c r="E14" s="118">
        <f t="shared" si="2"/>
        <v>611.79003163408743</v>
      </c>
      <c r="F14" s="126">
        <f>'Distrib Capital Historic Data'!F$28/C14+F13</f>
        <v>225125.69952805509</v>
      </c>
      <c r="G14" s="117">
        <f t="shared" si="0"/>
        <v>4</v>
      </c>
      <c r="H14" s="60"/>
      <c r="I14" s="60"/>
      <c r="K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117">
        <f t="shared" si="1"/>
        <v>5</v>
      </c>
      <c r="B15" s="34">
        <f t="shared" si="1"/>
        <v>2009</v>
      </c>
      <c r="C15" s="104">
        <v>0.78662191900817124</v>
      </c>
      <c r="D15" s="108">
        <v>5821.7059718234659</v>
      </c>
      <c r="E15" s="118">
        <f t="shared" si="2"/>
        <v>716.57436887130643</v>
      </c>
      <c r="F15" s="126">
        <f>'Distrib Capital Historic Data'!G$28/C15+F14</f>
        <v>270193.28469923121</v>
      </c>
      <c r="G15" s="117">
        <f t="shared" si="0"/>
        <v>5</v>
      </c>
      <c r="H15" s="60"/>
      <c r="I15" s="60"/>
      <c r="K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117">
        <f t="shared" si="1"/>
        <v>6</v>
      </c>
      <c r="B16" s="34">
        <f t="shared" si="1"/>
        <v>2010</v>
      </c>
      <c r="C16" s="104">
        <v>0.81926907977998764</v>
      </c>
      <c r="D16" s="108">
        <v>5853.8634616552472</v>
      </c>
      <c r="E16" s="118">
        <f t="shared" si="2"/>
        <v>748.73185870308771</v>
      </c>
      <c r="F16" s="126">
        <f>'Distrib Capital Historic Data'!H$28/C16+F15</f>
        <v>304590.15935766406</v>
      </c>
      <c r="G16" s="117">
        <f t="shared" si="0"/>
        <v>6</v>
      </c>
      <c r="H16" s="60"/>
      <c r="I16" s="60"/>
      <c r="K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117">
        <f t="shared" si="1"/>
        <v>7</v>
      </c>
      <c r="B17" s="34">
        <f t="shared" si="1"/>
        <v>2011</v>
      </c>
      <c r="C17" s="104">
        <v>0.85446889921297509</v>
      </c>
      <c r="D17" s="108">
        <v>5899.6305400243764</v>
      </c>
      <c r="E17" s="118">
        <f t="shared" si="2"/>
        <v>794.4989370722169</v>
      </c>
      <c r="F17" s="126">
        <f>'Distrib Capital Historic Data'!I$28/C17+F16</f>
        <v>332886.09260086896</v>
      </c>
      <c r="G17" s="117">
        <f t="shared" si="0"/>
        <v>7</v>
      </c>
      <c r="H17" s="60"/>
      <c r="I17" s="60"/>
      <c r="K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117">
        <f t="shared" si="1"/>
        <v>8</v>
      </c>
      <c r="B18" s="34">
        <f t="shared" si="1"/>
        <v>2012</v>
      </c>
      <c r="C18" s="104">
        <v>0.88402599950021632</v>
      </c>
      <c r="D18" s="108">
        <v>5922.1317673446392</v>
      </c>
      <c r="E18" s="118">
        <f t="shared" si="2"/>
        <v>817.00016439247975</v>
      </c>
      <c r="F18" s="126">
        <f>'Distrib Capital Historic Data'!J$28/C18+F17</f>
        <v>367054.66122216888</v>
      </c>
      <c r="G18" s="117">
        <f t="shared" si="0"/>
        <v>8</v>
      </c>
      <c r="H18" s="60"/>
      <c r="I18" s="60"/>
      <c r="K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117">
        <f t="shared" si="1"/>
        <v>9</v>
      </c>
      <c r="B19" s="34">
        <f t="shared" si="1"/>
        <v>2013</v>
      </c>
      <c r="C19" s="104">
        <v>0.91593423276485186</v>
      </c>
      <c r="D19" s="108">
        <v>5923.6394627432928</v>
      </c>
      <c r="E19" s="118">
        <f t="shared" si="2"/>
        <v>818.50785979113334</v>
      </c>
      <c r="F19" s="126">
        <f>'Distrib Capital Historic Data'!K$28/C19+F18</f>
        <v>397395.39523724042</v>
      </c>
      <c r="G19" s="117">
        <f t="shared" si="0"/>
        <v>9</v>
      </c>
      <c r="H19" s="60"/>
      <c r="I19" s="60"/>
      <c r="K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117">
        <f t="shared" si="1"/>
        <v>10</v>
      </c>
      <c r="B20" s="34">
        <f t="shared" si="1"/>
        <v>2014</v>
      </c>
      <c r="C20" s="104">
        <v>0.94414782849358214</v>
      </c>
      <c r="D20" s="108">
        <v>5946.9883396673695</v>
      </c>
      <c r="E20" s="118">
        <f t="shared" si="2"/>
        <v>841.85673671520999</v>
      </c>
      <c r="F20" s="126">
        <f>'Distrib Capital Historic Data'!L$28/C20+F19</f>
        <v>413453.72268113872</v>
      </c>
      <c r="G20" s="117">
        <f t="shared" si="0"/>
        <v>10</v>
      </c>
      <c r="H20" s="60"/>
      <c r="I20" s="60"/>
      <c r="K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117">
        <f t="shared" si="1"/>
        <v>11</v>
      </c>
      <c r="B21" s="34">
        <f t="shared" si="1"/>
        <v>2015</v>
      </c>
      <c r="C21" s="104">
        <v>0.9669874059882686</v>
      </c>
      <c r="D21" s="108">
        <v>5690.795224001683</v>
      </c>
      <c r="E21" s="118">
        <f t="shared" si="2"/>
        <v>585.6636210495235</v>
      </c>
      <c r="F21" s="126">
        <f>'Distrib Capital Historic Data'!M$28/C21+F20</f>
        <v>432557.73852385912</v>
      </c>
      <c r="G21" s="117">
        <f t="shared" si="0"/>
        <v>11</v>
      </c>
      <c r="H21" s="60"/>
      <c r="I21" s="60"/>
      <c r="K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117">
        <f t="shared" si="1"/>
        <v>12</v>
      </c>
      <c r="B22" s="34">
        <f t="shared" si="1"/>
        <v>2016</v>
      </c>
      <c r="C22" s="104">
        <v>0.98043736447397778</v>
      </c>
      <c r="D22" s="108">
        <v>6018.6017804320354</v>
      </c>
      <c r="E22" s="118">
        <f t="shared" si="2"/>
        <v>913.47017747987593</v>
      </c>
      <c r="F22" s="126">
        <f>'Distrib Capital Historic Data'!N$28/C22+F21</f>
        <v>450575.65256626217</v>
      </c>
      <c r="G22" s="117">
        <f t="shared" si="0"/>
        <v>12</v>
      </c>
      <c r="H22" s="60"/>
      <c r="I22" s="60"/>
      <c r="K22" s="120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2">
        <f t="shared" ref="A23" si="3">A22+1</f>
        <v>13</v>
      </c>
      <c r="B23" s="34">
        <f t="shared" ref="B23" si="4">B22+1</f>
        <v>2017</v>
      </c>
      <c r="C23" s="104">
        <v>1</v>
      </c>
      <c r="D23" s="108">
        <v>5767.1857357031058</v>
      </c>
      <c r="E23" s="118">
        <f t="shared" si="2"/>
        <v>662.05413275094634</v>
      </c>
      <c r="F23" s="126">
        <f>'Distrib Capital Historic Data'!O$28/C23+F22</f>
        <v>460312.08928918332</v>
      </c>
      <c r="G23" s="122">
        <f t="shared" ref="G23:G31" si="5">A23</f>
        <v>13</v>
      </c>
      <c r="H23" s="60"/>
      <c r="I23" s="60"/>
      <c r="K23" s="120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2">
        <f t="shared" ref="A24" si="6">A23+1</f>
        <v>14</v>
      </c>
      <c r="B24" s="34">
        <f t="shared" ref="B24" si="7">B23+1</f>
        <v>2018</v>
      </c>
      <c r="C24" s="104">
        <v>1.0241883217209757</v>
      </c>
      <c r="D24" s="108">
        <v>5923.1535000000003</v>
      </c>
      <c r="E24" s="118">
        <f t="shared" si="2"/>
        <v>818.02189704784087</v>
      </c>
      <c r="F24" s="126">
        <f>'Distrib Capital Forecast Data'!D$28/C24+F23</f>
        <v>468491.89985102206</v>
      </c>
      <c r="G24" s="122">
        <f t="shared" si="5"/>
        <v>14</v>
      </c>
      <c r="H24" s="60"/>
      <c r="I24" s="60"/>
      <c r="K24" s="120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2">
        <f t="shared" ref="A25" si="8">A24+1</f>
        <v>15</v>
      </c>
      <c r="B25" s="34">
        <f t="shared" ref="B25" si="9">B24+1</f>
        <v>2019</v>
      </c>
      <c r="C25" s="104">
        <v>1.0535842014611958</v>
      </c>
      <c r="D25" s="108">
        <v>5882.6767</v>
      </c>
      <c r="E25" s="118">
        <f t="shared" si="2"/>
        <v>777.5450970478405</v>
      </c>
      <c r="F25" s="126">
        <f>'Distrib Capital Forecast Data'!E$28/C25+F24</f>
        <v>479302.62995214714</v>
      </c>
      <c r="G25" s="122">
        <f t="shared" si="5"/>
        <v>15</v>
      </c>
      <c r="H25" s="60"/>
      <c r="I25" s="60"/>
      <c r="K25" s="120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2">
        <f t="shared" ref="A26" si="10">A25+1</f>
        <v>16</v>
      </c>
      <c r="B26" s="40"/>
      <c r="C26" s="41"/>
      <c r="D26" s="42"/>
      <c r="E26" s="43"/>
      <c r="F26" s="42"/>
      <c r="G26" s="122">
        <f t="shared" si="5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17">
        <f t="shared" si="1"/>
        <v>17</v>
      </c>
      <c r="B27" s="44"/>
      <c r="C27" s="35"/>
      <c r="F27" s="30"/>
      <c r="G27" s="122">
        <f t="shared" si="5"/>
        <v>17</v>
      </c>
    </row>
    <row r="28" spans="1:20">
      <c r="A28" s="117">
        <f t="shared" si="1"/>
        <v>18</v>
      </c>
      <c r="B28" s="44"/>
      <c r="C28" s="44"/>
      <c r="D28" s="44"/>
      <c r="E28" s="30"/>
      <c r="F28" s="30"/>
      <c r="G28" s="122">
        <f t="shared" si="5"/>
        <v>18</v>
      </c>
    </row>
    <row r="29" spans="1:20">
      <c r="A29" s="117">
        <f t="shared" ref="A29:A31" si="11">A28+1</f>
        <v>19</v>
      </c>
      <c r="B29" s="28" t="s">
        <v>153</v>
      </c>
      <c r="G29" s="122">
        <f t="shared" si="5"/>
        <v>19</v>
      </c>
    </row>
    <row r="30" spans="1:20">
      <c r="A30" s="117">
        <f t="shared" si="11"/>
        <v>20</v>
      </c>
      <c r="G30" s="122">
        <f t="shared" si="5"/>
        <v>20</v>
      </c>
    </row>
    <row r="31" spans="1:20">
      <c r="A31" s="117">
        <f t="shared" si="11"/>
        <v>21</v>
      </c>
      <c r="C31" s="29" t="s">
        <v>52</v>
      </c>
      <c r="E31" s="45">
        <f>SLOPE(F11:F25,E11:E25)</f>
        <v>429.17212535156665</v>
      </c>
      <c r="G31" s="122">
        <f t="shared" si="5"/>
        <v>21</v>
      </c>
      <c r="H31" s="45"/>
    </row>
    <row r="32" spans="1:20">
      <c r="E32" s="128" t="s">
        <v>147</v>
      </c>
      <c r="H32" s="119"/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105</v>
      </c>
    </row>
    <row r="36" spans="1:6">
      <c r="B36" s="100" t="s">
        <v>98</v>
      </c>
      <c r="C36" s="28"/>
      <c r="D36" s="28"/>
      <c r="E36" s="28"/>
      <c r="F36" s="28"/>
    </row>
    <row r="37" spans="1:6">
      <c r="B37" s="100" t="s">
        <v>99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3:G3"/>
    <mergeCell ref="A5:G5"/>
  </mergeCells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T38"/>
  <sheetViews>
    <sheetView zoomScaleNormal="100" workbookViewId="0">
      <selection activeCell="B29" sqref="B29"/>
    </sheetView>
  </sheetViews>
  <sheetFormatPr defaultColWidth="9.140625" defaultRowHeight="12.75"/>
  <cols>
    <col min="1" max="1" width="5.7109375" style="28" customWidth="1"/>
    <col min="2" max="2" width="10.7109375" style="28" customWidth="1"/>
    <col min="3" max="3" width="15.7109375" style="29" customWidth="1"/>
    <col min="4" max="4" width="15.85546875" style="29" customWidth="1"/>
    <col min="5" max="5" width="17.7109375" style="29" customWidth="1"/>
    <col min="6" max="6" width="17.5703125" style="29" bestFit="1" customWidth="1"/>
    <col min="7" max="7" width="5.7109375" style="30" customWidth="1"/>
    <col min="8" max="8" width="11" style="29" customWidth="1"/>
    <col min="9" max="9" width="7.28515625" style="29" customWidth="1"/>
    <col min="10" max="10" width="5" style="29" bestFit="1" customWidth="1"/>
    <col min="11" max="11" width="9.140625" style="29"/>
    <col min="12" max="13" width="12.28515625" style="29" bestFit="1" customWidth="1"/>
    <col min="14" max="16384" width="9.140625" style="29"/>
  </cols>
  <sheetData>
    <row r="1" spans="1:20">
      <c r="A1" s="160" t="str">
        <f>'Marg Distrib Demand Cost Sum'!A1:E1</f>
        <v>SAN DIEGO GAS &amp; ELECTRIC COMPANY ("SDG&amp;E")</v>
      </c>
      <c r="B1" s="160"/>
      <c r="C1" s="160"/>
      <c r="D1" s="160"/>
      <c r="E1" s="160"/>
      <c r="F1" s="160"/>
      <c r="G1" s="160"/>
      <c r="H1" s="70"/>
      <c r="I1" s="70"/>
      <c r="J1" s="70"/>
    </row>
    <row r="2" spans="1:20">
      <c r="A2" s="160" t="str">
        <f>'Marg Distrib Demand Cost Sum'!A2:E2</f>
        <v>TEST YEAR ("TY") 2019 GENERAL RATE CASE ("GRC") PHASE 2, APPLICATION ("A.") 19-03-002</v>
      </c>
      <c r="B2" s="160"/>
      <c r="C2" s="160"/>
      <c r="D2" s="160"/>
      <c r="E2" s="160"/>
      <c r="F2" s="160"/>
      <c r="G2" s="160"/>
      <c r="H2" s="53"/>
      <c r="I2" s="53"/>
      <c r="J2" s="53"/>
    </row>
    <row r="3" spans="1:20">
      <c r="A3" s="160" t="str">
        <f>'Marg Distrib Demand Cost Sum'!A3:E3</f>
        <v>MARGINAL DISTRIBUTION DEMAND COST WORKPAPER - CHAPTER 5 (SAXE)</v>
      </c>
      <c r="B3" s="160"/>
      <c r="C3" s="160"/>
      <c r="D3" s="160"/>
      <c r="E3" s="160"/>
      <c r="F3" s="160"/>
      <c r="G3" s="160"/>
      <c r="H3" s="53"/>
      <c r="I3" s="53"/>
      <c r="J3" s="53"/>
    </row>
    <row r="4" spans="1:20">
      <c r="A4" s="73"/>
      <c r="B4" s="73"/>
      <c r="C4" s="73"/>
      <c r="D4" s="73"/>
      <c r="E4" s="73"/>
      <c r="F4" s="73"/>
      <c r="G4" s="73"/>
      <c r="H4" s="53"/>
      <c r="I4" s="53"/>
      <c r="J4" s="53"/>
    </row>
    <row r="5" spans="1:20">
      <c r="A5" s="160" t="s">
        <v>94</v>
      </c>
      <c r="B5" s="160"/>
      <c r="C5" s="160"/>
      <c r="D5" s="160"/>
      <c r="E5" s="160"/>
      <c r="F5" s="160"/>
      <c r="G5" s="160"/>
      <c r="H5" s="53"/>
      <c r="I5" s="53"/>
      <c r="J5" s="53"/>
    </row>
    <row r="6" spans="1:20">
      <c r="A6" s="74"/>
      <c r="B6" s="74"/>
      <c r="C6" s="74"/>
      <c r="D6" s="74"/>
      <c r="E6" s="74"/>
      <c r="F6" s="74"/>
      <c r="G6" s="74"/>
      <c r="H6" s="53"/>
      <c r="I6" s="53"/>
      <c r="J6" s="53"/>
    </row>
    <row r="7" spans="1:20" ht="13.5" thickBot="1"/>
    <row r="8" spans="1:20" s="33" customFormat="1" ht="25.5">
      <c r="A8" s="31" t="s">
        <v>19</v>
      </c>
      <c r="B8" s="32" t="s">
        <v>20</v>
      </c>
      <c r="C8" s="76" t="s">
        <v>28</v>
      </c>
      <c r="D8" s="77" t="s">
        <v>30</v>
      </c>
      <c r="E8" s="78" t="s">
        <v>31</v>
      </c>
      <c r="F8" s="79" t="s">
        <v>64</v>
      </c>
      <c r="G8" s="31" t="s">
        <v>19</v>
      </c>
    </row>
    <row r="9" spans="1:20" s="33" customFormat="1">
      <c r="A9" s="143" t="s">
        <v>67</v>
      </c>
      <c r="B9" s="144" t="s">
        <v>3</v>
      </c>
      <c r="C9" s="145" t="s">
        <v>4</v>
      </c>
      <c r="D9" s="146" t="s">
        <v>6</v>
      </c>
      <c r="E9" s="147" t="s">
        <v>5</v>
      </c>
      <c r="F9" s="148" t="s">
        <v>146</v>
      </c>
      <c r="G9" s="143" t="s">
        <v>67</v>
      </c>
    </row>
    <row r="10" spans="1:20">
      <c r="B10" s="34"/>
      <c r="C10" s="35"/>
      <c r="D10" s="36"/>
      <c r="E10" s="37"/>
      <c r="F10" s="36"/>
      <c r="G10" s="28"/>
    </row>
    <row r="11" spans="1:20">
      <c r="A11" s="38">
        <v>1</v>
      </c>
      <c r="B11" s="34">
        <v>2005</v>
      </c>
      <c r="C11" s="104">
        <v>0.57737108402008819</v>
      </c>
      <c r="D11" s="108">
        <v>4707.2423811417138</v>
      </c>
      <c r="E11" s="141">
        <v>32.393673507139283</v>
      </c>
      <c r="F11" s="69">
        <f>'Distrib Capital Historic Data'!C$31/'Marg Substation Cost Cal'!C11</f>
        <v>14395.302593787212</v>
      </c>
      <c r="G11" s="38">
        <f t="shared" ref="G11:G31" si="0">A11</f>
        <v>1</v>
      </c>
      <c r="H11" s="153"/>
      <c r="I11" s="120"/>
      <c r="L11" s="60"/>
      <c r="M11" s="60"/>
      <c r="N11" s="60"/>
      <c r="O11" s="60"/>
      <c r="P11" s="60"/>
      <c r="Q11" s="60"/>
      <c r="R11" s="60"/>
      <c r="S11" s="60"/>
      <c r="T11" s="60"/>
    </row>
    <row r="12" spans="1:20">
      <c r="A12" s="38">
        <f t="shared" ref="A12:B22" si="1">A11+1</f>
        <v>2</v>
      </c>
      <c r="B12" s="34">
        <f t="shared" si="1"/>
        <v>2006</v>
      </c>
      <c r="C12" s="104">
        <v>0.63789596438100715</v>
      </c>
      <c r="D12" s="108">
        <v>4789.1688370585653</v>
      </c>
      <c r="E12" s="118">
        <f t="shared" ref="E12" si="2">D12-D11+E11</f>
        <v>114.32012942399069</v>
      </c>
      <c r="F12" s="69">
        <f>'Distrib Capital Historic Data'!D$31/'Marg Substation Cost Cal'!C12+F11</f>
        <v>24699.955496568768</v>
      </c>
      <c r="G12" s="38">
        <f t="shared" si="0"/>
        <v>2</v>
      </c>
      <c r="H12" s="153"/>
      <c r="I12" s="120"/>
      <c r="L12" s="60"/>
      <c r="M12" s="60"/>
      <c r="N12" s="60"/>
      <c r="O12" s="60"/>
      <c r="P12" s="60"/>
      <c r="Q12" s="60"/>
      <c r="R12" s="60"/>
      <c r="S12" s="60"/>
      <c r="T12" s="60"/>
    </row>
    <row r="13" spans="1:20">
      <c r="A13" s="38">
        <f t="shared" si="1"/>
        <v>3</v>
      </c>
      <c r="B13" s="34">
        <f t="shared" si="1"/>
        <v>2007</v>
      </c>
      <c r="C13" s="104">
        <v>0.70372768774804451</v>
      </c>
      <c r="D13" s="108">
        <v>4972.812252960257</v>
      </c>
      <c r="E13" s="39">
        <f t="shared" ref="E13:E25" si="3">D13-D12+E12</f>
        <v>297.96354532568239</v>
      </c>
      <c r="F13" s="69">
        <f>'Distrib Capital Historic Data'!E$31/'Marg Substation Cost Cal'!C13+F12</f>
        <v>37345.726065295123</v>
      </c>
      <c r="G13" s="38">
        <f t="shared" si="0"/>
        <v>3</v>
      </c>
      <c r="H13" s="153"/>
      <c r="I13" s="120"/>
      <c r="L13" s="60"/>
      <c r="M13" s="60"/>
      <c r="N13" s="60"/>
      <c r="O13" s="60"/>
      <c r="P13" s="60"/>
      <c r="Q13" s="60"/>
      <c r="R13" s="60"/>
      <c r="S13" s="60"/>
      <c r="T13" s="60"/>
    </row>
    <row r="14" spans="1:20">
      <c r="A14" s="38">
        <f t="shared" si="1"/>
        <v>4</v>
      </c>
      <c r="B14" s="34">
        <f t="shared" si="1"/>
        <v>2008</v>
      </c>
      <c r="C14" s="104">
        <v>0.76888765883582644</v>
      </c>
      <c r="D14" s="108">
        <v>5149.5179412499883</v>
      </c>
      <c r="E14" s="39">
        <f t="shared" si="3"/>
        <v>474.66923361541376</v>
      </c>
      <c r="F14" s="69">
        <f>'Distrib Capital Historic Data'!F$31/'Marg Substation Cost Cal'!C14+F13</f>
        <v>45442.153927315449</v>
      </c>
      <c r="G14" s="38">
        <f t="shared" si="0"/>
        <v>4</v>
      </c>
      <c r="H14" s="153"/>
      <c r="I14" s="120"/>
      <c r="L14" s="60"/>
      <c r="M14" s="60"/>
      <c r="N14" s="60"/>
      <c r="O14" s="60"/>
      <c r="P14" s="60"/>
      <c r="Q14" s="60"/>
      <c r="R14" s="60"/>
      <c r="S14" s="60"/>
      <c r="T14" s="60"/>
    </row>
    <row r="15" spans="1:20">
      <c r="A15" s="38">
        <f t="shared" si="1"/>
        <v>5</v>
      </c>
      <c r="B15" s="34">
        <f t="shared" si="1"/>
        <v>2009</v>
      </c>
      <c r="C15" s="104">
        <v>0.78662191900817124</v>
      </c>
      <c r="D15" s="108">
        <v>5223.4533136453647</v>
      </c>
      <c r="E15" s="39">
        <f t="shared" si="3"/>
        <v>548.60460601079012</v>
      </c>
      <c r="F15" s="69">
        <f>'Distrib Capital Historic Data'!G$31/'Marg Substation Cost Cal'!C15+F14</f>
        <v>58376.518768296366</v>
      </c>
      <c r="G15" s="38">
        <f t="shared" si="0"/>
        <v>5</v>
      </c>
      <c r="H15" s="153"/>
      <c r="I15" s="120"/>
      <c r="L15" s="60"/>
      <c r="M15" s="60"/>
      <c r="N15" s="60"/>
      <c r="O15" s="60"/>
      <c r="P15" s="60"/>
      <c r="Q15" s="60"/>
      <c r="R15" s="60"/>
      <c r="S15" s="60"/>
      <c r="T15" s="60"/>
    </row>
    <row r="16" spans="1:20">
      <c r="A16" s="38">
        <f t="shared" si="1"/>
        <v>6</v>
      </c>
      <c r="B16" s="34">
        <f t="shared" si="1"/>
        <v>2010</v>
      </c>
      <c r="C16" s="104">
        <v>0.81926907977998764</v>
      </c>
      <c r="D16" s="108">
        <v>5243.4832983025826</v>
      </c>
      <c r="E16" s="39">
        <f t="shared" si="3"/>
        <v>568.63459066800806</v>
      </c>
      <c r="F16" s="69">
        <f>'Distrib Capital Historic Data'!H$31/'Marg Substation Cost Cal'!C16+F15</f>
        <v>71928.245009222635</v>
      </c>
      <c r="G16" s="38">
        <f t="shared" si="0"/>
        <v>6</v>
      </c>
      <c r="H16" s="153"/>
      <c r="I16" s="120"/>
      <c r="L16" s="60"/>
      <c r="M16" s="60"/>
      <c r="N16" s="60"/>
      <c r="O16" s="60"/>
      <c r="P16" s="60"/>
      <c r="Q16" s="60"/>
      <c r="R16" s="60"/>
      <c r="S16" s="60"/>
      <c r="T16" s="60"/>
    </row>
    <row r="17" spans="1:20">
      <c r="A17" s="38">
        <f t="shared" si="1"/>
        <v>7</v>
      </c>
      <c r="B17" s="34">
        <f t="shared" si="1"/>
        <v>2011</v>
      </c>
      <c r="C17" s="104">
        <v>0.85446889921297509</v>
      </c>
      <c r="D17" s="108">
        <v>5311.4780850505058</v>
      </c>
      <c r="E17" s="39">
        <f t="shared" si="3"/>
        <v>636.62937741593123</v>
      </c>
      <c r="F17" s="69">
        <f>'Distrib Capital Historic Data'!I$31/'Marg Substation Cost Cal'!C17+F16</f>
        <v>89025.597114506978</v>
      </c>
      <c r="G17" s="38">
        <f t="shared" si="0"/>
        <v>7</v>
      </c>
      <c r="H17" s="153"/>
      <c r="I17" s="120"/>
      <c r="L17" s="60"/>
      <c r="M17" s="60"/>
      <c r="N17" s="60"/>
      <c r="O17" s="60"/>
      <c r="P17" s="60"/>
      <c r="Q17" s="60"/>
      <c r="R17" s="60"/>
      <c r="S17" s="60"/>
      <c r="T17" s="60"/>
    </row>
    <row r="18" spans="1:20">
      <c r="A18" s="38">
        <f t="shared" si="1"/>
        <v>8</v>
      </c>
      <c r="B18" s="34">
        <f t="shared" si="1"/>
        <v>2012</v>
      </c>
      <c r="C18" s="104">
        <v>0.88402599950021632</v>
      </c>
      <c r="D18" s="108">
        <v>5301.2972958420478</v>
      </c>
      <c r="E18" s="39">
        <f t="shared" si="3"/>
        <v>626.44858820747322</v>
      </c>
      <c r="F18" s="69">
        <f>'Distrib Capital Historic Data'!J$31/'Marg Substation Cost Cal'!C18+F17</f>
        <v>94955.664672129889</v>
      </c>
      <c r="G18" s="38">
        <f t="shared" si="0"/>
        <v>8</v>
      </c>
      <c r="H18" s="153"/>
      <c r="I18" s="120"/>
      <c r="L18" s="60"/>
      <c r="M18" s="60"/>
      <c r="N18" s="60"/>
      <c r="O18" s="60"/>
      <c r="P18" s="60"/>
      <c r="Q18" s="60"/>
      <c r="R18" s="60"/>
      <c r="S18" s="60"/>
      <c r="T18" s="60"/>
    </row>
    <row r="19" spans="1:20">
      <c r="A19" s="38">
        <f t="shared" si="1"/>
        <v>9</v>
      </c>
      <c r="B19" s="34">
        <f t="shared" si="1"/>
        <v>2013</v>
      </c>
      <c r="C19" s="104">
        <v>0.91593423276485186</v>
      </c>
      <c r="D19" s="108">
        <v>5284.735499859984</v>
      </c>
      <c r="E19" s="39">
        <f t="shared" si="3"/>
        <v>609.88679222540941</v>
      </c>
      <c r="F19" s="69">
        <f>'Distrib Capital Historic Data'!K$31/'Marg Substation Cost Cal'!C19+F18</f>
        <v>107032.52156835735</v>
      </c>
      <c r="G19" s="38">
        <f t="shared" si="0"/>
        <v>9</v>
      </c>
      <c r="H19" s="153"/>
      <c r="I19" s="120"/>
      <c r="L19" s="60"/>
      <c r="M19" s="60"/>
      <c r="N19" s="60"/>
      <c r="O19" s="60"/>
      <c r="P19" s="60"/>
      <c r="Q19" s="60"/>
      <c r="R19" s="60"/>
      <c r="S19" s="60"/>
      <c r="T19" s="60"/>
    </row>
    <row r="20" spans="1:20">
      <c r="A20" s="38">
        <f t="shared" si="1"/>
        <v>10</v>
      </c>
      <c r="B20" s="34">
        <f t="shared" si="1"/>
        <v>2014</v>
      </c>
      <c r="C20" s="104">
        <v>0.94414782849358214</v>
      </c>
      <c r="D20" s="108">
        <v>5456.811183278016</v>
      </c>
      <c r="E20" s="39">
        <f t="shared" si="3"/>
        <v>781.96247564344139</v>
      </c>
      <c r="F20" s="69">
        <f>'Distrib Capital Historic Data'!L$31/'Marg Substation Cost Cal'!C20+F19</f>
        <v>121812.64253828629</v>
      </c>
      <c r="G20" s="38">
        <f t="shared" si="0"/>
        <v>10</v>
      </c>
      <c r="H20" s="153"/>
      <c r="I20" s="120"/>
      <c r="L20" s="60"/>
      <c r="M20" s="60"/>
      <c r="N20" s="60"/>
      <c r="O20" s="60"/>
      <c r="P20" s="60"/>
      <c r="Q20" s="60"/>
      <c r="R20" s="60"/>
      <c r="S20" s="60"/>
      <c r="T20" s="60"/>
    </row>
    <row r="21" spans="1:20">
      <c r="A21" s="38">
        <f t="shared" si="1"/>
        <v>11</v>
      </c>
      <c r="B21" s="34">
        <f t="shared" si="1"/>
        <v>2015</v>
      </c>
      <c r="C21" s="104">
        <v>0.9669874059882686</v>
      </c>
      <c r="D21" s="108">
        <v>5300.1937029025785</v>
      </c>
      <c r="E21" s="39">
        <f t="shared" si="3"/>
        <v>625.34499526800391</v>
      </c>
      <c r="F21" s="69">
        <f>'Distrib Capital Historic Data'!M$31/'Marg Substation Cost Cal'!C21+F20</f>
        <v>125199.89722356467</v>
      </c>
      <c r="G21" s="38">
        <f t="shared" si="0"/>
        <v>11</v>
      </c>
      <c r="H21" s="153"/>
      <c r="I21" s="120"/>
      <c r="L21" s="60"/>
      <c r="M21" s="60"/>
      <c r="N21" s="60"/>
      <c r="O21" s="60"/>
      <c r="P21" s="60"/>
      <c r="Q21" s="60"/>
      <c r="R21" s="60"/>
      <c r="S21" s="60"/>
      <c r="T21" s="60"/>
    </row>
    <row r="22" spans="1:20">
      <c r="A22" s="38">
        <f t="shared" si="1"/>
        <v>12</v>
      </c>
      <c r="B22" s="34">
        <f t="shared" si="1"/>
        <v>2016</v>
      </c>
      <c r="C22" s="104">
        <v>0.98043736447397778</v>
      </c>
      <c r="D22" s="108">
        <v>5487.8011096127584</v>
      </c>
      <c r="E22" s="39">
        <f t="shared" si="3"/>
        <v>812.95240197818384</v>
      </c>
      <c r="F22" s="69">
        <f>'Distrib Capital Historic Data'!N$31/'Marg Substation Cost Cal'!C22+F21</f>
        <v>133742.75338130363</v>
      </c>
      <c r="G22" s="38">
        <f t="shared" si="0"/>
        <v>12</v>
      </c>
      <c r="H22" s="153"/>
      <c r="I22" s="120"/>
      <c r="K22" s="58"/>
      <c r="L22" s="60"/>
      <c r="M22" s="60"/>
      <c r="N22" s="60"/>
      <c r="O22" s="60"/>
      <c r="P22" s="60"/>
      <c r="Q22" s="60"/>
      <c r="R22" s="60"/>
      <c r="S22" s="60"/>
      <c r="T22" s="60"/>
    </row>
    <row r="23" spans="1:20">
      <c r="A23" s="121">
        <f t="shared" ref="A23" si="4">A22+1</f>
        <v>13</v>
      </c>
      <c r="B23" s="34">
        <f t="shared" ref="B23" si="5">B22+1</f>
        <v>2017</v>
      </c>
      <c r="C23" s="104">
        <v>1</v>
      </c>
      <c r="D23" s="108">
        <v>5221.3790977682511</v>
      </c>
      <c r="E23" s="39">
        <f t="shared" si="3"/>
        <v>546.53039013367652</v>
      </c>
      <c r="F23" s="69">
        <f>'Distrib Capital Historic Data'!O$31/'Marg Substation Cost Cal'!C23+F22</f>
        <v>136581.63085531472</v>
      </c>
      <c r="G23" s="122">
        <f t="shared" si="0"/>
        <v>13</v>
      </c>
      <c r="H23" s="153"/>
      <c r="I23" s="120"/>
      <c r="K23" s="58"/>
      <c r="L23" s="60"/>
      <c r="M23" s="60"/>
      <c r="N23" s="60"/>
      <c r="O23" s="60"/>
      <c r="P23" s="60"/>
      <c r="Q23" s="60"/>
      <c r="R23" s="60"/>
      <c r="S23" s="60"/>
      <c r="T23" s="60"/>
    </row>
    <row r="24" spans="1:20">
      <c r="A24" s="121">
        <f t="shared" ref="A24" si="6">A23+1</f>
        <v>14</v>
      </c>
      <c r="B24" s="34">
        <f t="shared" ref="B24" si="7">B23+1</f>
        <v>2018</v>
      </c>
      <c r="C24" s="104">
        <v>1.0241883217209757</v>
      </c>
      <c r="D24" s="108">
        <v>5352.1200000000008</v>
      </c>
      <c r="E24" s="39">
        <f t="shared" si="3"/>
        <v>677.27129236542623</v>
      </c>
      <c r="F24" s="69">
        <f>'Distrib Capital Forecast Data'!D$31/'Marg Substation Cost Cal'!C24+F23</f>
        <v>145707.9675501477</v>
      </c>
      <c r="G24" s="122">
        <f t="shared" si="0"/>
        <v>14</v>
      </c>
      <c r="H24" s="153"/>
      <c r="I24" s="120"/>
      <c r="K24" s="58"/>
      <c r="L24" s="60"/>
      <c r="M24" s="60"/>
      <c r="N24" s="60"/>
      <c r="O24" s="60"/>
      <c r="P24" s="60"/>
      <c r="Q24" s="60"/>
      <c r="R24" s="60"/>
      <c r="S24" s="60"/>
      <c r="T24" s="60"/>
    </row>
    <row r="25" spans="1:20">
      <c r="A25" s="121">
        <f t="shared" ref="A25" si="8">A24+1</f>
        <v>15</v>
      </c>
      <c r="B25" s="34">
        <f t="shared" ref="B25" si="9">B24+1</f>
        <v>2019</v>
      </c>
      <c r="C25" s="104">
        <v>1.0535842014611958</v>
      </c>
      <c r="D25" s="108">
        <v>5360.8500000000013</v>
      </c>
      <c r="E25" s="39">
        <f t="shared" si="3"/>
        <v>686.00129236542671</v>
      </c>
      <c r="F25" s="69">
        <f>'Distrib Capital Forecast Data'!E$31/'Marg Substation Cost Cal'!C25+F24</f>
        <v>176182.38162966658</v>
      </c>
      <c r="G25" s="122">
        <f t="shared" si="0"/>
        <v>15</v>
      </c>
      <c r="H25" s="153"/>
      <c r="I25" s="120"/>
      <c r="K25" s="58"/>
      <c r="L25" s="60"/>
      <c r="M25" s="60"/>
      <c r="N25" s="60"/>
      <c r="O25" s="60"/>
      <c r="P25" s="60"/>
      <c r="Q25" s="60"/>
      <c r="R25" s="60"/>
      <c r="S25" s="60"/>
      <c r="T25" s="60"/>
    </row>
    <row r="26" spans="1:20" ht="13.5" thickBot="1">
      <c r="A26" s="121">
        <f t="shared" ref="A26" si="10">A25+1</f>
        <v>16</v>
      </c>
      <c r="B26" s="40"/>
      <c r="C26" s="41"/>
      <c r="D26" s="42"/>
      <c r="E26" s="43"/>
      <c r="F26" s="42"/>
      <c r="G26" s="122">
        <f t="shared" si="0"/>
        <v>16</v>
      </c>
      <c r="H26" s="35"/>
      <c r="I26" s="35"/>
      <c r="L26" s="60"/>
      <c r="M26" s="60"/>
      <c r="N26" s="60"/>
      <c r="O26" s="60"/>
      <c r="P26" s="60"/>
      <c r="Q26" s="60"/>
      <c r="R26" s="60"/>
      <c r="S26" s="60"/>
      <c r="T26" s="60"/>
    </row>
    <row r="27" spans="1:20">
      <c r="A27" s="121">
        <f t="shared" ref="A27" si="11">A26+1</f>
        <v>17</v>
      </c>
      <c r="B27" s="44"/>
      <c r="C27" s="35"/>
      <c r="F27" s="30"/>
      <c r="G27" s="122">
        <f t="shared" si="0"/>
        <v>17</v>
      </c>
    </row>
    <row r="28" spans="1:20">
      <c r="A28" s="121">
        <f t="shared" ref="A28" si="12">A27+1</f>
        <v>18</v>
      </c>
      <c r="B28" s="44"/>
      <c r="C28" s="44"/>
      <c r="D28" s="44"/>
      <c r="E28" s="30"/>
      <c r="F28" s="30"/>
      <c r="G28" s="122">
        <f t="shared" si="0"/>
        <v>18</v>
      </c>
    </row>
    <row r="29" spans="1:20">
      <c r="A29" s="38">
        <f t="shared" ref="A29:A31" si="13">A28+1</f>
        <v>19</v>
      </c>
      <c r="B29" s="28" t="s">
        <v>153</v>
      </c>
      <c r="G29" s="122">
        <f t="shared" si="0"/>
        <v>19</v>
      </c>
    </row>
    <row r="30" spans="1:20">
      <c r="A30" s="38">
        <f t="shared" si="13"/>
        <v>20</v>
      </c>
      <c r="G30" s="122">
        <f t="shared" si="0"/>
        <v>20</v>
      </c>
    </row>
    <row r="31" spans="1:20">
      <c r="A31" s="117">
        <f t="shared" si="13"/>
        <v>21</v>
      </c>
      <c r="C31" s="29" t="s">
        <v>29</v>
      </c>
      <c r="E31" s="45">
        <f>SLOPE(F11:F25,E11:E25)</f>
        <v>178.64157027137048</v>
      </c>
      <c r="G31" s="122">
        <f t="shared" si="0"/>
        <v>21</v>
      </c>
    </row>
    <row r="32" spans="1:20">
      <c r="E32" s="128" t="s">
        <v>147</v>
      </c>
    </row>
    <row r="33" spans="1:6">
      <c r="A33" s="28" t="s">
        <v>79</v>
      </c>
      <c r="B33" s="100"/>
    </row>
    <row r="34" spans="1:6">
      <c r="B34" s="100" t="s">
        <v>103</v>
      </c>
    </row>
    <row r="35" spans="1:6">
      <c r="B35" s="100" t="s">
        <v>104</v>
      </c>
    </row>
    <row r="36" spans="1:6">
      <c r="B36" s="100" t="s">
        <v>97</v>
      </c>
      <c r="C36" s="28"/>
      <c r="D36" s="28"/>
      <c r="E36" s="28"/>
      <c r="F36" s="28"/>
    </row>
    <row r="37" spans="1:6">
      <c r="B37" s="100" t="s">
        <v>100</v>
      </c>
      <c r="C37" s="28"/>
      <c r="D37" s="28"/>
      <c r="E37" s="28"/>
      <c r="F37" s="28"/>
    </row>
    <row r="38" spans="1:6">
      <c r="B38" s="102" t="s">
        <v>93</v>
      </c>
    </row>
  </sheetData>
  <mergeCells count="4">
    <mergeCell ref="A1:G1"/>
    <mergeCell ref="A2:G2"/>
    <mergeCell ref="A5:G5"/>
    <mergeCell ref="A3:G3"/>
  </mergeCells>
  <phoneticPr fontId="2" type="noConversion"/>
  <printOptions horizontalCentered="1"/>
  <pageMargins left="0.75" right="0.75" top="1" bottom="1" header="0.5" footer="0.5"/>
  <pageSetup scale="92" orientation="landscape" r:id="rId1"/>
  <headerFooter alignWithMargins="0">
    <oddFooter>&amp;L&amp;F  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I61"/>
  <sheetViews>
    <sheetView topLeftCell="A4" zoomScale="130" zoomScaleNormal="130" workbookViewId="0">
      <selection activeCell="C4" sqref="C4"/>
    </sheetView>
  </sheetViews>
  <sheetFormatPr defaultColWidth="9.140625" defaultRowHeight="12.75"/>
  <cols>
    <col min="1" max="1" width="7.28515625" style="46" customWidth="1"/>
    <col min="2" max="2" width="61.5703125" style="29" customWidth="1"/>
    <col min="3" max="3" width="15" style="29" bestFit="1" customWidth="1"/>
    <col min="4" max="4" width="10.28515625" style="29" bestFit="1" customWidth="1"/>
    <col min="5" max="5" width="10" style="29" bestFit="1" customWidth="1"/>
    <col min="6" max="6" width="11.28515625" style="29" bestFit="1" customWidth="1"/>
    <col min="7" max="7" width="6.42578125" style="29" customWidth="1"/>
    <col min="8" max="8" width="11.140625" style="29" bestFit="1" customWidth="1"/>
    <col min="9" max="16384" width="9.140625" style="29"/>
  </cols>
  <sheetData>
    <row r="1" spans="1:7">
      <c r="A1" s="53" t="str">
        <f>'Marg Distrib Demand Cost Sum'!A1:E1</f>
        <v>SAN DIEGO GAS &amp; ELECTRIC COMPANY ("SDG&amp;E")</v>
      </c>
      <c r="B1" s="53"/>
      <c r="C1" s="53"/>
      <c r="D1" s="53"/>
      <c r="E1" s="53"/>
      <c r="F1" s="53"/>
      <c r="G1" s="53"/>
    </row>
    <row r="2" spans="1:7">
      <c r="A2" s="53" t="str">
        <f>'Marg Distrib Demand Cost Sum'!A2:E2</f>
        <v>TEST YEAR ("TY") 2019 GENERAL RATE CASE ("GRC") PHASE 2, APPLICATION ("A.") 19-03-002</v>
      </c>
      <c r="B2" s="53"/>
      <c r="C2" s="53"/>
      <c r="D2" s="53"/>
      <c r="E2" s="53"/>
      <c r="F2" s="53"/>
      <c r="G2" s="53"/>
    </row>
    <row r="3" spans="1:7">
      <c r="A3" s="53" t="str">
        <f>'Marg Distrib Demand Cost Sum'!A3:E3</f>
        <v>MARGINAL DISTRIBUTION DEMAND COST WORKPAPER - CHAPTER 5 (SAXE)</v>
      </c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56" t="s">
        <v>109</v>
      </c>
      <c r="B5" s="56"/>
      <c r="C5" s="56"/>
      <c r="D5" s="56"/>
      <c r="E5" s="56"/>
      <c r="F5" s="56"/>
      <c r="G5" s="53"/>
    </row>
    <row r="7" spans="1:7" s="46" customFormat="1">
      <c r="A7" s="46" t="s">
        <v>19</v>
      </c>
      <c r="C7" s="46" t="s">
        <v>3</v>
      </c>
      <c r="D7" s="46" t="s">
        <v>4</v>
      </c>
      <c r="E7" s="46" t="s">
        <v>6</v>
      </c>
      <c r="F7" s="46" t="s">
        <v>5</v>
      </c>
      <c r="G7" s="46" t="s">
        <v>19</v>
      </c>
    </row>
    <row r="8" spans="1:7" s="46" customFormat="1">
      <c r="A8" s="61" t="s">
        <v>67</v>
      </c>
      <c r="B8" s="61" t="s">
        <v>0</v>
      </c>
      <c r="C8" s="61">
        <v>2017</v>
      </c>
      <c r="D8" s="61">
        <v>2018</v>
      </c>
      <c r="E8" s="61">
        <v>2019</v>
      </c>
      <c r="F8" s="61" t="s">
        <v>27</v>
      </c>
      <c r="G8" s="61" t="s">
        <v>67</v>
      </c>
    </row>
    <row r="9" spans="1:7" s="46" customFormat="1">
      <c r="A9" s="61"/>
      <c r="B9" s="61"/>
      <c r="C9" s="61"/>
      <c r="D9" s="61"/>
      <c r="E9" s="61"/>
      <c r="F9" s="61"/>
      <c r="G9" s="61"/>
    </row>
    <row r="10" spans="1:7" s="46" customFormat="1">
      <c r="A10" s="61"/>
      <c r="B10" s="106" t="s">
        <v>83</v>
      </c>
      <c r="C10" s="61"/>
      <c r="D10" s="61"/>
      <c r="E10" s="61"/>
      <c r="F10" s="61"/>
      <c r="G10" s="61"/>
    </row>
    <row r="11" spans="1:7" s="46" customFormat="1">
      <c r="A11" s="61"/>
      <c r="B11" s="61"/>
      <c r="C11" s="61"/>
      <c r="D11" s="61"/>
      <c r="E11" s="61"/>
      <c r="F11" s="61"/>
      <c r="G11" s="61"/>
    </row>
    <row r="12" spans="1:7">
      <c r="A12" s="46">
        <v>1</v>
      </c>
      <c r="B12" s="29" t="s">
        <v>162</v>
      </c>
      <c r="C12" s="105">
        <v>20846</v>
      </c>
      <c r="D12" s="105">
        <v>26182</v>
      </c>
      <c r="E12" s="105">
        <v>27710</v>
      </c>
      <c r="F12" s="47">
        <f>AVERAGE(C12,D12,E12)</f>
        <v>24912.666666666668</v>
      </c>
      <c r="G12" s="46">
        <v>1</v>
      </c>
    </row>
    <row r="13" spans="1:7">
      <c r="A13" s="135">
        <f>A12+1</f>
        <v>2</v>
      </c>
      <c r="B13" s="29" t="s">
        <v>163</v>
      </c>
      <c r="C13" s="105">
        <v>871</v>
      </c>
      <c r="D13" s="105">
        <v>1037</v>
      </c>
      <c r="E13" s="105">
        <v>1097</v>
      </c>
      <c r="F13" s="47">
        <f t="shared" ref="F13:F16" si="0">AVERAGE(C13,D13,E13)</f>
        <v>1001.6666666666666</v>
      </c>
      <c r="G13" s="135">
        <f>G12+1</f>
        <v>2</v>
      </c>
    </row>
    <row r="14" spans="1:7">
      <c r="A14" s="135">
        <f t="shared" ref="A14:A50" si="1">A13+1</f>
        <v>3</v>
      </c>
      <c r="B14" s="29" t="s">
        <v>164</v>
      </c>
      <c r="C14" s="105">
        <v>8376</v>
      </c>
      <c r="D14" s="105">
        <v>6773</v>
      </c>
      <c r="E14" s="105">
        <v>9108</v>
      </c>
      <c r="F14" s="47">
        <f t="shared" si="0"/>
        <v>8085.666666666667</v>
      </c>
      <c r="G14" s="135">
        <f t="shared" ref="G14:G50" si="2">G13+1</f>
        <v>3</v>
      </c>
    </row>
    <row r="15" spans="1:7">
      <c r="A15" s="135">
        <f t="shared" si="1"/>
        <v>4</v>
      </c>
      <c r="B15" s="29" t="s">
        <v>165</v>
      </c>
      <c r="C15" s="105">
        <v>5016</v>
      </c>
      <c r="D15" s="105">
        <v>5369</v>
      </c>
      <c r="E15" s="105">
        <v>16068</v>
      </c>
      <c r="F15" s="47">
        <f t="shared" si="0"/>
        <v>8817.6666666666661</v>
      </c>
      <c r="G15" s="135">
        <f t="shared" si="2"/>
        <v>4</v>
      </c>
    </row>
    <row r="16" spans="1:7">
      <c r="A16" s="135">
        <f t="shared" si="1"/>
        <v>5</v>
      </c>
      <c r="B16" s="29" t="s">
        <v>166</v>
      </c>
      <c r="C16" s="105">
        <v>80827</v>
      </c>
      <c r="D16" s="105">
        <v>153525</v>
      </c>
      <c r="E16" s="105">
        <v>139174</v>
      </c>
      <c r="F16" s="47">
        <f t="shared" si="0"/>
        <v>124508.66666666667</v>
      </c>
      <c r="G16" s="135">
        <f t="shared" si="2"/>
        <v>5</v>
      </c>
    </row>
    <row r="17" spans="1:8">
      <c r="A17" s="135">
        <f t="shared" si="1"/>
        <v>6</v>
      </c>
      <c r="B17" s="29" t="s">
        <v>167</v>
      </c>
      <c r="C17" s="105">
        <v>29423</v>
      </c>
      <c r="D17" s="105">
        <v>29711</v>
      </c>
      <c r="E17" s="105">
        <v>32447</v>
      </c>
      <c r="F17" s="47">
        <f t="shared" ref="F17:F24" si="3">AVERAGE(C17,D17,E17)</f>
        <v>30527</v>
      </c>
      <c r="G17" s="135">
        <f t="shared" si="2"/>
        <v>6</v>
      </c>
    </row>
    <row r="18" spans="1:8">
      <c r="A18" s="140">
        <f t="shared" si="1"/>
        <v>7</v>
      </c>
      <c r="B18" s="29" t="s">
        <v>168</v>
      </c>
      <c r="C18" s="105">
        <v>16170</v>
      </c>
      <c r="D18" s="105">
        <v>21527</v>
      </c>
      <c r="E18" s="105">
        <v>16170</v>
      </c>
      <c r="F18" s="47">
        <f t="shared" si="3"/>
        <v>17955.666666666668</v>
      </c>
      <c r="G18" s="140">
        <f t="shared" si="2"/>
        <v>7</v>
      </c>
    </row>
    <row r="19" spans="1:8">
      <c r="A19" s="135">
        <f t="shared" si="1"/>
        <v>8</v>
      </c>
      <c r="B19" s="29" t="s">
        <v>169</v>
      </c>
      <c r="C19" s="105">
        <v>84551</v>
      </c>
      <c r="D19" s="105">
        <v>114301</v>
      </c>
      <c r="E19" s="105">
        <v>185137</v>
      </c>
      <c r="F19" s="47">
        <f t="shared" si="3"/>
        <v>127996.33333333333</v>
      </c>
      <c r="G19" s="140">
        <f t="shared" si="2"/>
        <v>8</v>
      </c>
    </row>
    <row r="20" spans="1:8">
      <c r="A20" s="135">
        <f t="shared" si="1"/>
        <v>9</v>
      </c>
      <c r="B20" s="29" t="s">
        <v>170</v>
      </c>
      <c r="C20" s="105">
        <v>31819</v>
      </c>
      <c r="D20" s="105">
        <v>33075</v>
      </c>
      <c r="E20" s="105">
        <v>31819</v>
      </c>
      <c r="F20" s="47">
        <f t="shared" si="3"/>
        <v>32237.666666666668</v>
      </c>
      <c r="G20" s="140">
        <f t="shared" si="2"/>
        <v>9</v>
      </c>
    </row>
    <row r="21" spans="1:8">
      <c r="A21" s="135">
        <f t="shared" si="1"/>
        <v>10</v>
      </c>
      <c r="B21" s="29" t="s">
        <v>171</v>
      </c>
      <c r="C21" s="105">
        <v>25548</v>
      </c>
      <c r="D21" s="105">
        <v>23740</v>
      </c>
      <c r="E21" s="105">
        <v>24749</v>
      </c>
      <c r="F21" s="47">
        <f t="shared" si="3"/>
        <v>24679</v>
      </c>
      <c r="G21" s="135">
        <f t="shared" si="2"/>
        <v>10</v>
      </c>
    </row>
    <row r="22" spans="1:8">
      <c r="A22" s="135">
        <f t="shared" si="1"/>
        <v>11</v>
      </c>
      <c r="B22" s="29" t="s">
        <v>172</v>
      </c>
      <c r="C22" s="105">
        <v>71155</v>
      </c>
      <c r="D22" s="105">
        <v>94462</v>
      </c>
      <c r="E22" s="105">
        <v>114145</v>
      </c>
      <c r="F22" s="47">
        <f t="shared" si="3"/>
        <v>93254</v>
      </c>
      <c r="G22" s="135">
        <f t="shared" si="2"/>
        <v>11</v>
      </c>
    </row>
    <row r="23" spans="1:8">
      <c r="A23" s="135">
        <f t="shared" si="1"/>
        <v>12</v>
      </c>
      <c r="B23" s="29" t="s">
        <v>173</v>
      </c>
      <c r="C23" s="105">
        <v>13948</v>
      </c>
      <c r="D23" s="105">
        <v>25924</v>
      </c>
      <c r="E23" s="105">
        <v>48346</v>
      </c>
      <c r="F23" s="47">
        <f t="shared" si="3"/>
        <v>29406</v>
      </c>
      <c r="G23" s="135">
        <f t="shared" si="2"/>
        <v>12</v>
      </c>
    </row>
    <row r="24" spans="1:8">
      <c r="A24" s="135">
        <f t="shared" si="1"/>
        <v>13</v>
      </c>
      <c r="B24" s="29" t="s">
        <v>174</v>
      </c>
      <c r="C24" s="105">
        <v>25538</v>
      </c>
      <c r="D24" s="105">
        <v>21838</v>
      </c>
      <c r="E24" s="105">
        <v>23727</v>
      </c>
      <c r="F24" s="47">
        <f t="shared" si="3"/>
        <v>23701</v>
      </c>
      <c r="G24" s="135">
        <f t="shared" si="2"/>
        <v>13</v>
      </c>
    </row>
    <row r="25" spans="1:8" ht="13.5" thickBot="1">
      <c r="A25" s="135">
        <f t="shared" si="1"/>
        <v>14</v>
      </c>
      <c r="B25" s="29" t="s">
        <v>1</v>
      </c>
      <c r="C25" s="48">
        <f>SUM(C12:C24)</f>
        <v>414088</v>
      </c>
      <c r="D25" s="48">
        <f>SUM(D12:D24)</f>
        <v>557464</v>
      </c>
      <c r="E25" s="48">
        <f>SUM(E12:E24)</f>
        <v>669697</v>
      </c>
      <c r="F25" s="48">
        <f>SUM(F12:F24)</f>
        <v>547083</v>
      </c>
      <c r="G25" s="135">
        <f t="shared" si="2"/>
        <v>14</v>
      </c>
    </row>
    <row r="26" spans="1:8" ht="13.5" thickTop="1">
      <c r="A26" s="135">
        <f t="shared" si="1"/>
        <v>15</v>
      </c>
      <c r="C26" s="152"/>
      <c r="D26" s="152"/>
      <c r="E26" s="152"/>
      <c r="F26" s="152"/>
      <c r="G26" s="135">
        <f t="shared" si="2"/>
        <v>15</v>
      </c>
    </row>
    <row r="27" spans="1:8">
      <c r="A27" s="135">
        <f t="shared" si="1"/>
        <v>16</v>
      </c>
      <c r="G27" s="135">
        <f t="shared" si="2"/>
        <v>16</v>
      </c>
    </row>
    <row r="28" spans="1:8">
      <c r="A28" s="135">
        <f t="shared" si="1"/>
        <v>17</v>
      </c>
      <c r="B28" s="29" t="s">
        <v>86</v>
      </c>
      <c r="C28" s="47">
        <f>(C14)*((C13/(C25-C24-C13))+(C22/(C25-C15-C17-C23-C22))+1)</f>
        <v>10418.252016838942</v>
      </c>
      <c r="D28" s="47">
        <f>(D14)*((D13/(D25-D24-D13))+(D22/(D25-D15-D17-D23-D22))+1)</f>
        <v>8377.666451325149</v>
      </c>
      <c r="E28" s="47">
        <f>(E14)*((E13/(E25-E24-E13))+(E22/(E25-E15-E17-E23-E22))+1)</f>
        <v>11390.014440806357</v>
      </c>
      <c r="F28" s="47">
        <f>(F14)*((F13/(F25-F24-F13))+(F22/(F25-F15-F17-F23-F22))+1)</f>
        <v>10059.268047383826</v>
      </c>
      <c r="G28" s="135">
        <f t="shared" si="2"/>
        <v>17</v>
      </c>
      <c r="H28" s="47"/>
    </row>
    <row r="29" spans="1:8">
      <c r="A29" s="135">
        <f t="shared" si="1"/>
        <v>18</v>
      </c>
      <c r="B29" s="28" t="s">
        <v>141</v>
      </c>
      <c r="C29" s="120"/>
      <c r="D29" s="120"/>
      <c r="E29" s="120"/>
      <c r="F29" s="120"/>
      <c r="G29" s="135">
        <f t="shared" si="2"/>
        <v>18</v>
      </c>
    </row>
    <row r="30" spans="1:8">
      <c r="A30" s="135">
        <f t="shared" si="1"/>
        <v>19</v>
      </c>
      <c r="C30" s="137"/>
      <c r="D30" s="137"/>
      <c r="E30" s="137"/>
      <c r="F30" s="137"/>
      <c r="G30" s="135">
        <f t="shared" si="2"/>
        <v>19</v>
      </c>
    </row>
    <row r="31" spans="1:8">
      <c r="A31" s="135">
        <f t="shared" si="1"/>
        <v>20</v>
      </c>
      <c r="B31" s="29" t="s">
        <v>91</v>
      </c>
      <c r="C31" s="47">
        <f>C15*(C13/(C25-C24-C13)+C23/(C15+C17)+1)</f>
        <v>7058.7793257911489</v>
      </c>
      <c r="D31" s="47">
        <f>D15*(D13/(D25-D24-D13)+D23/(D15+D17)+1)</f>
        <v>9347.0874629415375</v>
      </c>
      <c r="E31" s="47">
        <f>E15*(E13/(E25-E24-E13)+E23/(E15+E17)+1)</f>
        <v>32107.361222967724</v>
      </c>
      <c r="F31" s="47">
        <f>F15*(F13/(F25-F24-F13)+F23/(F15+F17)+1)</f>
        <v>15424.852960048362</v>
      </c>
      <c r="G31" s="135">
        <f t="shared" si="2"/>
        <v>20</v>
      </c>
    </row>
    <row r="32" spans="1:8">
      <c r="A32" s="135">
        <f t="shared" si="1"/>
        <v>21</v>
      </c>
      <c r="B32" s="28" t="s">
        <v>175</v>
      </c>
      <c r="C32" s="120"/>
      <c r="D32" s="120"/>
      <c r="E32" s="120"/>
      <c r="F32" s="47"/>
      <c r="G32" s="135">
        <f t="shared" si="2"/>
        <v>21</v>
      </c>
    </row>
    <row r="33" spans="1:9">
      <c r="A33" s="135">
        <f t="shared" si="1"/>
        <v>22</v>
      </c>
      <c r="C33" s="137"/>
      <c r="D33" s="137"/>
      <c r="E33" s="137"/>
      <c r="F33" s="137"/>
      <c r="G33" s="135">
        <f t="shared" si="2"/>
        <v>22</v>
      </c>
    </row>
    <row r="34" spans="1:9">
      <c r="A34" s="138">
        <f t="shared" si="1"/>
        <v>23</v>
      </c>
      <c r="B34" s="29" t="s">
        <v>129</v>
      </c>
      <c r="C34" s="47">
        <f>(C25-C15-C17-C23-C24)</f>
        <v>340163</v>
      </c>
      <c r="D34" s="47">
        <f>(D25-D15-D17-D23-D24)</f>
        <v>474622</v>
      </c>
      <c r="E34" s="47">
        <f>(E25-E15-E17-E23-E24)</f>
        <v>549109</v>
      </c>
      <c r="F34" s="47">
        <f>(F25-F15-F17-F23-F24)</f>
        <v>454631.33333333337</v>
      </c>
      <c r="G34" s="138">
        <f t="shared" si="2"/>
        <v>23</v>
      </c>
      <c r="H34" s="47"/>
    </row>
    <row r="35" spans="1:9">
      <c r="A35" s="135">
        <f t="shared" si="1"/>
        <v>24</v>
      </c>
      <c r="B35" s="29" t="s">
        <v>142</v>
      </c>
      <c r="C35" s="47"/>
      <c r="D35" s="47"/>
      <c r="E35" s="47"/>
      <c r="G35" s="135">
        <f t="shared" si="2"/>
        <v>24</v>
      </c>
    </row>
    <row r="36" spans="1:9">
      <c r="A36" s="135">
        <f t="shared" si="1"/>
        <v>25</v>
      </c>
      <c r="G36" s="135">
        <f t="shared" si="2"/>
        <v>25</v>
      </c>
    </row>
    <row r="37" spans="1:9">
      <c r="A37" s="135">
        <f t="shared" si="1"/>
        <v>26</v>
      </c>
      <c r="B37" s="29" t="s">
        <v>87</v>
      </c>
      <c r="C37" s="49">
        <f>C28/C34</f>
        <v>3.062723463997831E-2</v>
      </c>
      <c r="D37" s="49">
        <f>D28/D34</f>
        <v>1.7651239199457987E-2</v>
      </c>
      <c r="E37" s="49">
        <f>E28/E34</f>
        <v>2.0742720372105276E-2</v>
      </c>
      <c r="F37" s="49">
        <f>F28/F34</f>
        <v>2.212620932576247E-2</v>
      </c>
      <c r="G37" s="135">
        <f t="shared" si="2"/>
        <v>26</v>
      </c>
      <c r="I37" s="68"/>
    </row>
    <row r="38" spans="1:9">
      <c r="A38" s="135">
        <f t="shared" si="1"/>
        <v>27</v>
      </c>
      <c r="B38" s="28" t="s">
        <v>139</v>
      </c>
      <c r="G38" s="135">
        <f t="shared" si="2"/>
        <v>27</v>
      </c>
    </row>
    <row r="39" spans="1:9">
      <c r="A39" s="135">
        <f t="shared" si="1"/>
        <v>28</v>
      </c>
      <c r="G39" s="135">
        <f t="shared" si="2"/>
        <v>28</v>
      </c>
    </row>
    <row r="40" spans="1:9">
      <c r="A40" s="135">
        <f t="shared" si="1"/>
        <v>29</v>
      </c>
      <c r="B40" s="29" t="s">
        <v>61</v>
      </c>
      <c r="C40" s="47">
        <f>C15+C17+C23</f>
        <v>48387</v>
      </c>
      <c r="D40" s="47">
        <f>D15+D17+D23</f>
        <v>61004</v>
      </c>
      <c r="E40" s="47">
        <f>E15+E17+E23</f>
        <v>96861</v>
      </c>
      <c r="F40" s="47">
        <f>F15+F17+F23</f>
        <v>68750.666666666657</v>
      </c>
      <c r="G40" s="135">
        <f t="shared" si="2"/>
        <v>29</v>
      </c>
      <c r="H40" s="47"/>
    </row>
    <row r="41" spans="1:9">
      <c r="A41" s="135">
        <f t="shared" si="1"/>
        <v>30</v>
      </c>
      <c r="B41" s="29" t="s">
        <v>140</v>
      </c>
      <c r="G41" s="135">
        <f t="shared" si="2"/>
        <v>30</v>
      </c>
    </row>
    <row r="42" spans="1:9">
      <c r="A42" s="135">
        <f t="shared" si="1"/>
        <v>31</v>
      </c>
      <c r="G42" s="135">
        <f t="shared" si="2"/>
        <v>31</v>
      </c>
    </row>
    <row r="43" spans="1:9">
      <c r="A43" s="135">
        <f t="shared" si="1"/>
        <v>32</v>
      </c>
      <c r="B43" s="29" t="s">
        <v>90</v>
      </c>
      <c r="C43" s="49">
        <f>C31/C40</f>
        <v>0.14588173116314607</v>
      </c>
      <c r="D43" s="49">
        <f>D31/D40</f>
        <v>0.15322089474364858</v>
      </c>
      <c r="E43" s="49">
        <f>E31/E40</f>
        <v>0.33147872955025992</v>
      </c>
      <c r="F43" s="49">
        <f>F31/F40</f>
        <v>0.22435932199515685</v>
      </c>
      <c r="G43" s="135">
        <f t="shared" si="2"/>
        <v>32</v>
      </c>
      <c r="I43" s="68"/>
    </row>
    <row r="44" spans="1:9">
      <c r="A44" s="135">
        <f t="shared" si="1"/>
        <v>33</v>
      </c>
      <c r="B44" s="28" t="s">
        <v>143</v>
      </c>
      <c r="C44" s="47"/>
      <c r="F44" s="66"/>
      <c r="G44" s="135">
        <f t="shared" si="2"/>
        <v>33</v>
      </c>
    </row>
    <row r="45" spans="1:9">
      <c r="A45" s="138">
        <f t="shared" si="1"/>
        <v>34</v>
      </c>
      <c r="B45" s="28"/>
      <c r="C45" s="47"/>
      <c r="F45" s="66"/>
      <c r="G45" s="139">
        <f t="shared" si="2"/>
        <v>34</v>
      </c>
    </row>
    <row r="46" spans="1:9">
      <c r="A46" s="138">
        <f t="shared" si="1"/>
        <v>35</v>
      </c>
      <c r="B46" s="28" t="s">
        <v>132</v>
      </c>
      <c r="C46" s="47">
        <f>C28+C31</f>
        <v>17477.031342630093</v>
      </c>
      <c r="D46" s="47">
        <f t="shared" ref="D46:F46" si="4">D28+D31</f>
        <v>17724.753914266686</v>
      </c>
      <c r="E46" s="47">
        <f t="shared" si="4"/>
        <v>43497.375663774081</v>
      </c>
      <c r="F46" s="47">
        <f t="shared" si="4"/>
        <v>25484.121007432186</v>
      </c>
      <c r="G46" s="139">
        <f t="shared" si="2"/>
        <v>35</v>
      </c>
    </row>
    <row r="47" spans="1:9">
      <c r="A47" s="138">
        <f t="shared" si="1"/>
        <v>36</v>
      </c>
      <c r="B47" s="28" t="s">
        <v>144</v>
      </c>
      <c r="C47" s="47"/>
      <c r="F47" s="66"/>
      <c r="G47" s="139">
        <f t="shared" si="2"/>
        <v>36</v>
      </c>
    </row>
    <row r="48" spans="1:9">
      <c r="A48" s="138">
        <f t="shared" si="1"/>
        <v>37</v>
      </c>
      <c r="B48" s="28"/>
      <c r="C48" s="47"/>
      <c r="F48" s="66"/>
      <c r="G48" s="139">
        <f t="shared" si="2"/>
        <v>37</v>
      </c>
    </row>
    <row r="49" spans="1:7">
      <c r="A49" s="138">
        <f t="shared" si="1"/>
        <v>38</v>
      </c>
      <c r="B49" s="28" t="s">
        <v>133</v>
      </c>
      <c r="C49" s="49">
        <f>C46/(C34+C40)</f>
        <v>4.4980134712727042E-2</v>
      </c>
      <c r="D49" s="49">
        <f t="shared" ref="D49:F49" si="5">D46/(D34+D40)</f>
        <v>3.3091660812333022E-2</v>
      </c>
      <c r="E49" s="49">
        <f t="shared" si="5"/>
        <v>6.7336525943579542E-2</v>
      </c>
      <c r="F49" s="49">
        <f t="shared" si="5"/>
        <v>4.869124465004946E-2</v>
      </c>
      <c r="G49" s="139">
        <f t="shared" si="2"/>
        <v>38</v>
      </c>
    </row>
    <row r="50" spans="1:7">
      <c r="A50" s="138">
        <f t="shared" si="1"/>
        <v>39</v>
      </c>
      <c r="B50" s="28" t="s">
        <v>145</v>
      </c>
      <c r="C50" s="47"/>
      <c r="F50" s="66"/>
      <c r="G50" s="139">
        <f t="shared" si="2"/>
        <v>39</v>
      </c>
    </row>
    <row r="51" spans="1:7">
      <c r="C51" s="47"/>
      <c r="G51" s="46"/>
    </row>
    <row r="52" spans="1:7" s="28" customFormat="1">
      <c r="A52" s="38" t="s">
        <v>79</v>
      </c>
    </row>
    <row r="53" spans="1:7" s="28" customFormat="1">
      <c r="A53" s="38"/>
      <c r="B53" s="100" t="s">
        <v>108</v>
      </c>
    </row>
    <row r="54" spans="1:7" s="28" customFormat="1">
      <c r="A54" s="38"/>
      <c r="B54" s="100" t="s">
        <v>102</v>
      </c>
    </row>
    <row r="55" spans="1:7">
      <c r="B55" s="100" t="s">
        <v>88</v>
      </c>
    </row>
    <row r="56" spans="1:7">
      <c r="B56" s="100" t="s">
        <v>89</v>
      </c>
    </row>
    <row r="57" spans="1:7">
      <c r="B57" s="54" t="s">
        <v>131</v>
      </c>
    </row>
    <row r="58" spans="1:7">
      <c r="B58" s="54" t="s">
        <v>130</v>
      </c>
    </row>
    <row r="59" spans="1:7">
      <c r="A59" s="138"/>
      <c r="B59" s="54" t="s">
        <v>134</v>
      </c>
    </row>
    <row r="60" spans="1:7">
      <c r="A60" s="138"/>
      <c r="B60" s="54" t="s">
        <v>135</v>
      </c>
    </row>
    <row r="61" spans="1:7">
      <c r="B61" s="102" t="s">
        <v>136</v>
      </c>
    </row>
  </sheetData>
  <phoneticPr fontId="0" type="noConversion"/>
  <printOptions horizontalCentered="1"/>
  <pageMargins left="0.75" right="0.75" top="1" bottom="1" header="0.5" footer="0.5"/>
  <pageSetup scale="60" orientation="landscape" r:id="rId1"/>
  <headerFooter alignWithMargins="0">
    <oddFooter>&amp;L&amp;F  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AH48"/>
  <sheetViews>
    <sheetView zoomScale="90" zoomScaleNormal="90" workbookViewId="0">
      <selection activeCell="B37" sqref="B37"/>
    </sheetView>
  </sheetViews>
  <sheetFormatPr defaultColWidth="9.140625" defaultRowHeight="12.75"/>
  <cols>
    <col min="1" max="1" width="5.28515625" style="46" bestFit="1" customWidth="1"/>
    <col min="2" max="2" width="50.5703125" style="29" customWidth="1"/>
    <col min="3" max="15" width="10.28515625" style="29" customWidth="1"/>
    <col min="16" max="16" width="5.28515625" style="29" bestFit="1" customWidth="1"/>
    <col min="17" max="17" width="9.140625" style="29"/>
    <col min="18" max="18" width="12" style="29" bestFit="1" customWidth="1"/>
    <col min="19" max="16384" width="9.140625" style="29"/>
  </cols>
  <sheetData>
    <row r="1" spans="1:34">
      <c r="A1" s="161" t="str">
        <f>'Marg Distrib Demand Cost Sum'!A1:E1</f>
        <v>SAN DIEGO GAS &amp; ELECTRIC COMPANY ("SDG&amp;E")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34">
      <c r="A2" s="161" t="str">
        <f>'Marg Distrib Demand Cost Sum'!A2:E2</f>
        <v>TEST YEAR ("TY") 2019 GENERAL RATE CASE ("GRC") PHASE 2, APPLICATION ("A.") 19-03-002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34">
      <c r="A3" s="53" t="str">
        <f>'Marg Distrib Demand Cost Sum'!A3:E3</f>
        <v>MARGINAL DISTRIBUTION DEMAND COST WORKPAPER - CHAPTER 5 (SAXE)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34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34">
      <c r="A5" s="56" t="s">
        <v>138</v>
      </c>
      <c r="B5" s="53"/>
      <c r="C5" s="56"/>
      <c r="D5" s="56"/>
      <c r="E5" s="56"/>
      <c r="F5" s="56"/>
      <c r="G5" s="56"/>
      <c r="H5" s="53"/>
      <c r="I5" s="53"/>
      <c r="J5" s="53"/>
      <c r="K5" s="53"/>
      <c r="L5" s="53"/>
      <c r="M5" s="53"/>
      <c r="N5" s="53"/>
      <c r="O5" s="53"/>
      <c r="P5" s="53"/>
    </row>
    <row r="6" spans="1:34">
      <c r="A6" s="46" t="s">
        <v>19</v>
      </c>
      <c r="P6" s="46" t="s">
        <v>19</v>
      </c>
    </row>
    <row r="7" spans="1:34" s="46" customFormat="1">
      <c r="A7" s="61" t="s">
        <v>67</v>
      </c>
      <c r="B7" s="61" t="s">
        <v>0</v>
      </c>
      <c r="C7" s="61">
        <v>2005</v>
      </c>
      <c r="D7" s="61">
        <v>2006</v>
      </c>
      <c r="E7" s="61">
        <v>2007</v>
      </c>
      <c r="F7" s="61">
        <v>2008</v>
      </c>
      <c r="G7" s="61">
        <v>2009</v>
      </c>
      <c r="H7" s="61">
        <v>2010</v>
      </c>
      <c r="I7" s="61">
        <v>2011</v>
      </c>
      <c r="J7" s="61">
        <v>2012</v>
      </c>
      <c r="K7" s="61">
        <v>2013</v>
      </c>
      <c r="L7" s="123">
        <v>2014</v>
      </c>
      <c r="M7" s="123">
        <v>2015</v>
      </c>
      <c r="N7" s="123">
        <v>2016</v>
      </c>
      <c r="O7" s="123">
        <v>2017</v>
      </c>
      <c r="P7" s="61" t="s">
        <v>67</v>
      </c>
    </row>
    <row r="8" spans="1:34">
      <c r="C8" s="47"/>
      <c r="D8" s="47"/>
      <c r="L8" s="28"/>
      <c r="M8" s="28"/>
      <c r="N8" s="28"/>
      <c r="O8" s="28"/>
      <c r="P8" s="46"/>
    </row>
    <row r="9" spans="1:34">
      <c r="B9" s="107" t="s">
        <v>62</v>
      </c>
      <c r="C9" s="47"/>
      <c r="D9" s="47"/>
      <c r="L9" s="28"/>
      <c r="M9" s="28"/>
      <c r="N9" s="28"/>
      <c r="O9" s="28"/>
      <c r="P9" s="46"/>
    </row>
    <row r="10" spans="1:34">
      <c r="C10" s="47"/>
      <c r="D10" s="47"/>
      <c r="L10" s="28"/>
      <c r="M10" s="28"/>
      <c r="N10" s="28"/>
      <c r="O10" s="28"/>
      <c r="P10" s="46"/>
    </row>
    <row r="11" spans="1:34">
      <c r="A11" s="46">
        <v>1</v>
      </c>
      <c r="B11" s="28" t="s">
        <v>7</v>
      </c>
      <c r="C11" s="105">
        <v>9667.2360000000008</v>
      </c>
      <c r="D11" s="105">
        <v>1684.3520000000001</v>
      </c>
      <c r="E11" s="105">
        <v>1993.202</v>
      </c>
      <c r="F11" s="105">
        <v>1121.6659999999999</v>
      </c>
      <c r="G11" s="105">
        <v>1624.499</v>
      </c>
      <c r="H11" s="105">
        <v>1995.934</v>
      </c>
      <c r="I11" s="105">
        <v>1979.203</v>
      </c>
      <c r="J11" s="105">
        <v>1824.518</v>
      </c>
      <c r="K11" s="105">
        <v>1450.7739999999999</v>
      </c>
      <c r="L11" s="105">
        <v>4920.9449999999997</v>
      </c>
      <c r="M11" s="105">
        <v>1616.3810000000001</v>
      </c>
      <c r="N11" s="105">
        <v>1528.9469999999999</v>
      </c>
      <c r="O11" s="105">
        <v>1764.8050000000001</v>
      </c>
      <c r="P11" s="46">
        <v>1</v>
      </c>
      <c r="Q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34">
      <c r="A12" s="46">
        <f>A11+1</f>
        <v>2</v>
      </c>
      <c r="B12" s="28" t="s">
        <v>18</v>
      </c>
      <c r="C12" s="105">
        <v>13.005000000000001</v>
      </c>
      <c r="D12" s="105">
        <v>195.09800000000001</v>
      </c>
      <c r="E12" s="105">
        <v>94.049000000000007</v>
      </c>
      <c r="F12" s="105">
        <v>22.091000000000001</v>
      </c>
      <c r="G12" s="105">
        <v>3.335</v>
      </c>
      <c r="H12" s="105">
        <v>65.257000000000005</v>
      </c>
      <c r="I12" s="105">
        <v>178.69900000000001</v>
      </c>
      <c r="J12" s="105">
        <v>31.013999999999999</v>
      </c>
      <c r="K12" s="105">
        <v>491.94900000000001</v>
      </c>
      <c r="L12" s="105">
        <v>32.17</v>
      </c>
      <c r="M12" s="105">
        <v>-7.0999999999999994E-2</v>
      </c>
      <c r="N12" s="105">
        <v>632.30100000000004</v>
      </c>
      <c r="O12" s="105">
        <v>-33.622</v>
      </c>
      <c r="P12" s="46">
        <f>P11+1</f>
        <v>2</v>
      </c>
      <c r="Q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>
      <c r="A13" s="46">
        <f t="shared" ref="A13:A31" si="0">A12+1</f>
        <v>3</v>
      </c>
      <c r="B13" s="28" t="s">
        <v>8</v>
      </c>
      <c r="C13" s="105">
        <v>17159.687999999998</v>
      </c>
      <c r="D13" s="105">
        <v>15050.275</v>
      </c>
      <c r="E13" s="105">
        <v>20588.525000000001</v>
      </c>
      <c r="F13" s="105">
        <v>14533.432000000001</v>
      </c>
      <c r="G13" s="105">
        <v>23662.29</v>
      </c>
      <c r="H13" s="105">
        <v>25633.42</v>
      </c>
      <c r="I13" s="105">
        <v>33568.760999999999</v>
      </c>
      <c r="J13" s="105">
        <v>12127.403</v>
      </c>
      <c r="K13" s="105">
        <v>25311.081999999999</v>
      </c>
      <c r="L13" s="105">
        <v>39776.620000000003</v>
      </c>
      <c r="M13" s="105">
        <v>9852.518</v>
      </c>
      <c r="N13" s="105">
        <v>24545.646000000001</v>
      </c>
      <c r="O13" s="105">
        <v>18896.215</v>
      </c>
      <c r="P13" s="46">
        <f t="shared" ref="P13:P31" si="1">P12+1</f>
        <v>3</v>
      </c>
      <c r="Q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</row>
    <row r="14" spans="1:34">
      <c r="A14" s="46">
        <f t="shared" si="0"/>
        <v>4</v>
      </c>
      <c r="B14" s="28" t="s">
        <v>59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6219.0119999999997</v>
      </c>
      <c r="L14" s="105">
        <v>673.55200000000002</v>
      </c>
      <c r="M14" s="105">
        <v>30743.932000000001</v>
      </c>
      <c r="N14" s="105">
        <v>626.38699999999994</v>
      </c>
      <c r="O14" s="105">
        <v>86799.714999999997</v>
      </c>
      <c r="P14" s="46">
        <f t="shared" si="1"/>
        <v>4</v>
      </c>
      <c r="Q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spans="1:34">
      <c r="A15" s="46">
        <f t="shared" si="0"/>
        <v>5</v>
      </c>
      <c r="B15" s="28" t="s">
        <v>9</v>
      </c>
      <c r="C15" s="105">
        <v>20624.330999999998</v>
      </c>
      <c r="D15" s="105">
        <v>18020.495999999999</v>
      </c>
      <c r="E15" s="105">
        <v>54910.125999999997</v>
      </c>
      <c r="F15" s="105">
        <v>23118.23</v>
      </c>
      <c r="G15" s="105">
        <v>31921.308000000001</v>
      </c>
      <c r="H15" s="105">
        <v>39200.97</v>
      </c>
      <c r="I15" s="105">
        <v>28798.588</v>
      </c>
      <c r="J15" s="105">
        <v>28688.014999999999</v>
      </c>
      <c r="K15" s="105">
        <v>36488.207000000002</v>
      </c>
      <c r="L15" s="105">
        <v>44940.737000000001</v>
      </c>
      <c r="M15" s="105">
        <v>57766.235000000001</v>
      </c>
      <c r="N15" s="105">
        <v>41987.673999999999</v>
      </c>
      <c r="O15" s="105">
        <v>53470.904999999999</v>
      </c>
      <c r="P15" s="46">
        <f t="shared" si="1"/>
        <v>5</v>
      </c>
      <c r="Q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4">
      <c r="A16" s="46">
        <f t="shared" si="0"/>
        <v>6</v>
      </c>
      <c r="B16" s="28" t="s">
        <v>10</v>
      </c>
      <c r="C16" s="105">
        <v>15810.562</v>
      </c>
      <c r="D16" s="105">
        <v>14991.468999999999</v>
      </c>
      <c r="E16" s="105">
        <v>30967.341</v>
      </c>
      <c r="F16" s="105">
        <v>18973.544999999998</v>
      </c>
      <c r="G16" s="105">
        <v>25740.92</v>
      </c>
      <c r="H16" s="105">
        <v>25992.451000000001</v>
      </c>
      <c r="I16" s="105">
        <v>22575.234</v>
      </c>
      <c r="J16" s="105">
        <v>22302.311000000002</v>
      </c>
      <c r="K16" s="105">
        <v>23553.167000000001</v>
      </c>
      <c r="L16" s="105">
        <v>37422.968999999997</v>
      </c>
      <c r="M16" s="105">
        <v>86823.006999999998</v>
      </c>
      <c r="N16" s="105">
        <v>65814.148000000001</v>
      </c>
      <c r="O16" s="105">
        <v>72245.22</v>
      </c>
      <c r="P16" s="46">
        <f t="shared" si="1"/>
        <v>6</v>
      </c>
      <c r="Q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</row>
    <row r="17" spans="1:34">
      <c r="A17" s="46">
        <f t="shared" si="0"/>
        <v>7</v>
      </c>
      <c r="B17" s="28" t="s">
        <v>11</v>
      </c>
      <c r="C17" s="105">
        <v>32992.572</v>
      </c>
      <c r="D17" s="105">
        <v>42451.442000000003</v>
      </c>
      <c r="E17" s="105">
        <v>35560.347000000002</v>
      </c>
      <c r="F17" s="105">
        <v>52494.885999999999</v>
      </c>
      <c r="G17" s="105">
        <v>47181.328999999998</v>
      </c>
      <c r="H17" s="105">
        <v>36277.131000000001</v>
      </c>
      <c r="I17" s="105">
        <v>34688.205999999998</v>
      </c>
      <c r="J17" s="105">
        <v>51543.87</v>
      </c>
      <c r="K17" s="105">
        <v>45107.415000000001</v>
      </c>
      <c r="L17" s="105">
        <v>41227.036</v>
      </c>
      <c r="M17" s="105">
        <v>52047.726000000002</v>
      </c>
      <c r="N17" s="105">
        <v>77055.668000000005</v>
      </c>
      <c r="O17" s="105">
        <v>77662.334000000003</v>
      </c>
      <c r="P17" s="46">
        <f t="shared" si="1"/>
        <v>7</v>
      </c>
      <c r="Q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>
      <c r="A18" s="46">
        <f t="shared" si="0"/>
        <v>8</v>
      </c>
      <c r="B18" s="28" t="s">
        <v>12</v>
      </c>
      <c r="C18" s="105">
        <v>66707.346999999994</v>
      </c>
      <c r="D18" s="105">
        <v>73886.129000000001</v>
      </c>
      <c r="E18" s="105">
        <v>71263.862999999998</v>
      </c>
      <c r="F18" s="105">
        <v>56880.516000000003</v>
      </c>
      <c r="G18" s="105">
        <v>52148.703999999998</v>
      </c>
      <c r="H18" s="105">
        <v>52754.985000000001</v>
      </c>
      <c r="I18" s="105">
        <v>45632.671999999999</v>
      </c>
      <c r="J18" s="105">
        <v>63556.491000000002</v>
      </c>
      <c r="K18" s="105">
        <v>49766.701999999997</v>
      </c>
      <c r="L18" s="105">
        <v>45203.245999999999</v>
      </c>
      <c r="M18" s="105">
        <v>60904.39</v>
      </c>
      <c r="N18" s="105">
        <v>60691.737000000001</v>
      </c>
      <c r="O18" s="105">
        <v>72843.972999999998</v>
      </c>
      <c r="P18" s="46">
        <f t="shared" si="1"/>
        <v>8</v>
      </c>
      <c r="Q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>
      <c r="A19" s="46">
        <f t="shared" si="0"/>
        <v>9</v>
      </c>
      <c r="B19" s="28" t="s">
        <v>13</v>
      </c>
      <c r="C19" s="105">
        <v>27360.044000000002</v>
      </c>
      <c r="D19" s="105">
        <v>35116.858999999997</v>
      </c>
      <c r="E19" s="105">
        <v>43436.014999999999</v>
      </c>
      <c r="F19" s="105">
        <v>32762.904999999999</v>
      </c>
      <c r="G19" s="105">
        <v>33553.273000000001</v>
      </c>
      <c r="H19" s="105">
        <v>34550.987999999998</v>
      </c>
      <c r="I19" s="105">
        <v>28652.896000000001</v>
      </c>
      <c r="J19" s="105">
        <v>30975.852999999999</v>
      </c>
      <c r="K19" s="105">
        <v>32166.859</v>
      </c>
      <c r="L19" s="105">
        <v>26168.397000000001</v>
      </c>
      <c r="M19" s="105">
        <v>41506.540999999997</v>
      </c>
      <c r="N19" s="105">
        <v>42468.671000000002</v>
      </c>
      <c r="O19" s="105">
        <v>28385.580999999998</v>
      </c>
      <c r="P19" s="46">
        <f t="shared" si="1"/>
        <v>9</v>
      </c>
      <c r="Q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</row>
    <row r="20" spans="1:34">
      <c r="A20" s="46">
        <f t="shared" si="0"/>
        <v>10</v>
      </c>
      <c r="B20" s="44" t="s">
        <v>14</v>
      </c>
      <c r="C20" s="105">
        <v>18333.812000000002</v>
      </c>
      <c r="D20" s="105">
        <v>19627.059000000001</v>
      </c>
      <c r="E20" s="105">
        <v>21643.155999999999</v>
      </c>
      <c r="F20" s="105">
        <v>18792.738000000001</v>
      </c>
      <c r="G20" s="105">
        <v>16768.473000000002</v>
      </c>
      <c r="H20" s="105">
        <v>15606.927</v>
      </c>
      <c r="I20" s="105">
        <v>13330.726000000001</v>
      </c>
      <c r="J20" s="105">
        <v>13941.334999999999</v>
      </c>
      <c r="K20" s="105">
        <v>14086.584000000001</v>
      </c>
      <c r="L20" s="105">
        <v>14403.208000000001</v>
      </c>
      <c r="M20" s="105">
        <v>14821.208000000001</v>
      </c>
      <c r="N20" s="105">
        <v>22102.203000000001</v>
      </c>
      <c r="O20" s="105">
        <v>24576.587</v>
      </c>
      <c r="P20" s="46">
        <f t="shared" si="1"/>
        <v>10</v>
      </c>
      <c r="Q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</row>
    <row r="21" spans="1:34">
      <c r="A21" s="46">
        <f t="shared" si="0"/>
        <v>11</v>
      </c>
      <c r="B21" s="44" t="s">
        <v>15</v>
      </c>
      <c r="C21" s="105">
        <v>4608.6660000000002</v>
      </c>
      <c r="D21" s="105">
        <v>5775.2520000000004</v>
      </c>
      <c r="E21" s="105">
        <v>5268.17</v>
      </c>
      <c r="F21" s="105">
        <v>7657.8760000000002</v>
      </c>
      <c r="G21" s="105">
        <v>33201.572999999997</v>
      </c>
      <c r="H21" s="105">
        <v>138718.72099999999</v>
      </c>
      <c r="I21" s="105">
        <v>53588.514999999999</v>
      </c>
      <c r="J21" s="105">
        <v>19713.233</v>
      </c>
      <c r="K21" s="105">
        <v>6733.1080000000002</v>
      </c>
      <c r="L21" s="105">
        <v>2825.04</v>
      </c>
      <c r="M21" s="105">
        <v>3984.6030000000001</v>
      </c>
      <c r="N21" s="105">
        <v>1765.998</v>
      </c>
      <c r="O21" s="105">
        <v>4815.1229999999996</v>
      </c>
      <c r="P21" s="46">
        <f t="shared" si="1"/>
        <v>11</v>
      </c>
      <c r="Q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</row>
    <row r="22" spans="1:34">
      <c r="A22" s="46">
        <f t="shared" si="0"/>
        <v>12</v>
      </c>
      <c r="B22" s="44" t="s">
        <v>16</v>
      </c>
      <c r="C22" s="105">
        <v>278.21899999999999</v>
      </c>
      <c r="D22" s="105">
        <v>164.25800000000001</v>
      </c>
      <c r="E22" s="105">
        <v>117.033</v>
      </c>
      <c r="F22" s="105">
        <v>188.41399999999999</v>
      </c>
      <c r="G22" s="105">
        <v>107.535</v>
      </c>
      <c r="H22" s="105">
        <v>112.514</v>
      </c>
      <c r="I22" s="105">
        <v>133.214</v>
      </c>
      <c r="J22" s="105">
        <v>148.81899999999999</v>
      </c>
      <c r="K22" s="105">
        <v>186.63200000000001</v>
      </c>
      <c r="L22" s="105">
        <v>1162.271</v>
      </c>
      <c r="M22" s="105">
        <v>180.791</v>
      </c>
      <c r="N22" s="105">
        <v>650.62599999999998</v>
      </c>
      <c r="O22" s="105">
        <v>563.96</v>
      </c>
      <c r="P22" s="46">
        <f t="shared" si="1"/>
        <v>12</v>
      </c>
      <c r="Q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34">
      <c r="A23" s="46">
        <f t="shared" si="0"/>
        <v>13</v>
      </c>
      <c r="B23" s="44" t="s">
        <v>17</v>
      </c>
      <c r="C23" s="105">
        <v>672.75199999999995</v>
      </c>
      <c r="D23" s="105">
        <v>568.12300000000005</v>
      </c>
      <c r="E23" s="105">
        <v>572.76700000000005</v>
      </c>
      <c r="F23" s="105">
        <v>633.36</v>
      </c>
      <c r="G23" s="105">
        <v>1023.183</v>
      </c>
      <c r="H23" s="105">
        <v>-5.0090000000000003</v>
      </c>
      <c r="I23" s="105">
        <v>421.76100000000002</v>
      </c>
      <c r="J23" s="105">
        <v>461.86900000000003</v>
      </c>
      <c r="K23" s="105">
        <v>1143.1389999999999</v>
      </c>
      <c r="L23" s="105">
        <v>793.04700000000003</v>
      </c>
      <c r="M23" s="105">
        <v>1604.749</v>
      </c>
      <c r="N23" s="105">
        <v>1727.739</v>
      </c>
      <c r="O23" s="105">
        <v>1077.8530000000001</v>
      </c>
      <c r="P23" s="46">
        <f t="shared" si="1"/>
        <v>13</v>
      </c>
      <c r="Q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</row>
    <row r="24" spans="1:34">
      <c r="A24" s="46">
        <f>A23+1</f>
        <v>14</v>
      </c>
      <c r="C24" s="50"/>
      <c r="D24" s="50"/>
      <c r="E24" s="50"/>
      <c r="F24" s="50"/>
      <c r="G24" s="50"/>
      <c r="H24" s="50"/>
      <c r="L24" s="28"/>
      <c r="M24" s="28"/>
      <c r="N24" s="28"/>
      <c r="O24" s="28"/>
      <c r="P24" s="46">
        <f>P23+1</f>
        <v>14</v>
      </c>
      <c r="Q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</row>
    <row r="25" spans="1:34">
      <c r="A25" s="46">
        <f t="shared" si="0"/>
        <v>15</v>
      </c>
      <c r="B25" s="29" t="s">
        <v>1</v>
      </c>
      <c r="C25" s="50">
        <f t="shared" ref="C25:K25" si="2">SUM(C11:C23)</f>
        <v>214228.234</v>
      </c>
      <c r="D25" s="50">
        <f t="shared" si="2"/>
        <v>227530.81200000001</v>
      </c>
      <c r="E25" s="50">
        <f t="shared" si="2"/>
        <v>286414.59399999998</v>
      </c>
      <c r="F25" s="50">
        <f t="shared" si="2"/>
        <v>227179.65899999999</v>
      </c>
      <c r="G25" s="50">
        <f t="shared" si="2"/>
        <v>266936.42199999996</v>
      </c>
      <c r="H25" s="50">
        <f t="shared" si="2"/>
        <v>370904.28899999999</v>
      </c>
      <c r="I25" s="50">
        <f t="shared" si="2"/>
        <v>263548.47499999998</v>
      </c>
      <c r="J25" s="50">
        <f t="shared" si="2"/>
        <v>245314.731</v>
      </c>
      <c r="K25" s="50">
        <f t="shared" si="2"/>
        <v>242704.63</v>
      </c>
      <c r="L25" s="50">
        <f t="shared" ref="L25:M25" si="3">SUM(L11:L23)</f>
        <v>259549.23800000004</v>
      </c>
      <c r="M25" s="50">
        <f t="shared" si="3"/>
        <v>361852.01</v>
      </c>
      <c r="N25" s="50">
        <f t="shared" ref="N25:O25" si="4">SUM(N11:N23)</f>
        <v>341597.745</v>
      </c>
      <c r="O25" s="50">
        <f t="shared" si="4"/>
        <v>443068.64900000003</v>
      </c>
      <c r="P25" s="46">
        <f t="shared" si="1"/>
        <v>15</v>
      </c>
      <c r="Q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</row>
    <row r="26" spans="1:34">
      <c r="A26" s="46">
        <f>A25+1</f>
        <v>16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46">
        <f>P25+1</f>
        <v>16</v>
      </c>
    </row>
    <row r="27" spans="1:34">
      <c r="A27" s="46">
        <f t="shared" si="0"/>
        <v>17</v>
      </c>
      <c r="B27" s="28" t="s">
        <v>115</v>
      </c>
      <c r="C27" s="133">
        <v>0.21682250746878118</v>
      </c>
      <c r="D27" s="133">
        <v>0.21682250746878118</v>
      </c>
      <c r="E27" s="133">
        <v>0.21682250746878118</v>
      </c>
      <c r="F27" s="133">
        <v>0.21682250746878118</v>
      </c>
      <c r="G27" s="133">
        <v>0.21682250746878118</v>
      </c>
      <c r="H27" s="133">
        <v>0.17162814111686597</v>
      </c>
      <c r="I27" s="133">
        <v>0.17162814111686597</v>
      </c>
      <c r="J27" s="133">
        <v>0.17162814111686597</v>
      </c>
      <c r="K27" s="133">
        <v>0.17162814111686597</v>
      </c>
      <c r="L27" s="133">
        <v>6.6308024609402369E-2</v>
      </c>
      <c r="M27" s="133">
        <v>6.6308024609402369E-2</v>
      </c>
      <c r="N27" s="133">
        <v>6.6308024609402369E-2</v>
      </c>
      <c r="O27" s="49">
        <f>'Distrib Capital Forecast Data'!C37</f>
        <v>3.062723463997831E-2</v>
      </c>
      <c r="P27" s="46">
        <f t="shared" si="1"/>
        <v>17</v>
      </c>
    </row>
    <row r="28" spans="1:34">
      <c r="A28" s="46">
        <f t="shared" si="0"/>
        <v>18</v>
      </c>
      <c r="B28" s="29" t="s">
        <v>86</v>
      </c>
      <c r="C28" s="50">
        <f>C27*SUM(C15:C18)+C11*SUM(C15:C18)/(C25-SUM(C19:C23)-C11)</f>
        <v>38101.454825690533</v>
      </c>
      <c r="D28" s="50">
        <f t="shared" ref="D28:O28" si="5">D27*SUM(D15:D18)+D11*SUM(D15:D18)/(D25-SUM(D19:D23)-D11)</f>
        <v>33910.682139047422</v>
      </c>
      <c r="E28" s="50">
        <f t="shared" si="5"/>
        <v>43582.068843345893</v>
      </c>
      <c r="F28" s="50">
        <f t="shared" si="5"/>
        <v>33864.820544214745</v>
      </c>
      <c r="G28" s="50">
        <f t="shared" si="5"/>
        <v>35451.150332414763</v>
      </c>
      <c r="H28" s="50">
        <f t="shared" si="5"/>
        <v>28180.295848721846</v>
      </c>
      <c r="I28" s="50">
        <f t="shared" si="5"/>
        <v>24177.994930525114</v>
      </c>
      <c r="J28" s="50">
        <f t="shared" si="5"/>
        <v>30205.903026936398</v>
      </c>
      <c r="K28" s="50">
        <f t="shared" si="5"/>
        <v>27790.116931617005</v>
      </c>
      <c r="L28" s="50">
        <f t="shared" si="5"/>
        <v>15161.434985395503</v>
      </c>
      <c r="M28" s="50">
        <f t="shared" si="5"/>
        <v>18473.342723710972</v>
      </c>
      <c r="N28" s="50">
        <f t="shared" si="5"/>
        <v>17665.436157052303</v>
      </c>
      <c r="O28" s="50">
        <f t="shared" si="5"/>
        <v>9736.4367229211493</v>
      </c>
      <c r="P28" s="46">
        <f t="shared" si="1"/>
        <v>18</v>
      </c>
    </row>
    <row r="29" spans="1:34">
      <c r="A29" s="46">
        <f t="shared" si="0"/>
        <v>19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46">
        <f t="shared" si="1"/>
        <v>19</v>
      </c>
    </row>
    <row r="30" spans="1:34">
      <c r="A30" s="46">
        <f t="shared" si="0"/>
        <v>20</v>
      </c>
      <c r="B30" s="29" t="s">
        <v>114</v>
      </c>
      <c r="C30" s="134">
        <v>0.4209333386109872</v>
      </c>
      <c r="D30" s="134">
        <v>0.4209333386109872</v>
      </c>
      <c r="E30" s="134">
        <v>0.4209333386109872</v>
      </c>
      <c r="F30" s="134">
        <v>0.4209333386109872</v>
      </c>
      <c r="G30" s="134">
        <v>0.4209333386109872</v>
      </c>
      <c r="H30" s="134">
        <v>0.4209333386109872</v>
      </c>
      <c r="I30" s="134">
        <v>0.4209333386109872</v>
      </c>
      <c r="J30" s="134">
        <v>0.4209333386109872</v>
      </c>
      <c r="K30" s="134">
        <v>0.4209333386109872</v>
      </c>
      <c r="L30" s="134">
        <v>0.3270270501648177</v>
      </c>
      <c r="M30" s="134">
        <v>0.3270270501648177</v>
      </c>
      <c r="N30" s="134">
        <v>0.3270270501648177</v>
      </c>
      <c r="O30" s="132">
        <f>'Distrib Capital Forecast Data'!C43</f>
        <v>0.14588173116314607</v>
      </c>
      <c r="P30" s="46">
        <f t="shared" si="1"/>
        <v>20</v>
      </c>
    </row>
    <row r="31" spans="1:34">
      <c r="A31" s="46">
        <f t="shared" si="0"/>
        <v>21</v>
      </c>
      <c r="B31" s="29" t="s">
        <v>2</v>
      </c>
      <c r="C31" s="50">
        <f>C30*(C12+C13)+C11*(C12+C13)/(C25-SUM(C19:C23)-C11)</f>
        <v>8311.4314633721096</v>
      </c>
      <c r="D31" s="50">
        <f t="shared" ref="D31:O31" si="6">D30*(D12+D13)+D11*(D12+D13)/(D25-SUM(D19:D23)-D11)</f>
        <v>6573.2965010313856</v>
      </c>
      <c r="E31" s="50">
        <f t="shared" si="6"/>
        <v>8899.1788821220725</v>
      </c>
      <c r="F31" s="50">
        <f t="shared" si="6"/>
        <v>6225.2434637619663</v>
      </c>
      <c r="G31" s="50">
        <f t="shared" si="6"/>
        <v>10174.454892364231</v>
      </c>
      <c r="H31" s="50">
        <f t="shared" si="6"/>
        <v>11102.51028683398</v>
      </c>
      <c r="I31" s="50">
        <f t="shared" si="6"/>
        <v>14609.155632858958</v>
      </c>
      <c r="J31" s="50">
        <f t="shared" si="6"/>
        <v>5242.333899731404</v>
      </c>
      <c r="K31" s="50">
        <f t="shared" si="6"/>
        <v>11061.606655457012</v>
      </c>
      <c r="L31" s="50">
        <f t="shared" si="6"/>
        <v>13954.619118630875</v>
      </c>
      <c r="M31" s="50">
        <f t="shared" si="6"/>
        <v>3275.4326215389424</v>
      </c>
      <c r="N31" s="50">
        <f t="shared" si="6"/>
        <v>8375.735376373872</v>
      </c>
      <c r="O31" s="50">
        <f t="shared" si="6"/>
        <v>2838.8774740111012</v>
      </c>
      <c r="P31" s="46">
        <f t="shared" si="1"/>
        <v>21</v>
      </c>
    </row>
    <row r="32" spans="1:34"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>
      <c r="A33" s="103" t="s">
        <v>79</v>
      </c>
      <c r="B33" s="54"/>
      <c r="C33" s="47"/>
      <c r="D33" s="47"/>
      <c r="I33" s="51"/>
      <c r="J33" s="51"/>
    </row>
    <row r="34" spans="1:15">
      <c r="B34" s="100" t="s">
        <v>152</v>
      </c>
      <c r="C34" s="124"/>
      <c r="D34" s="124"/>
      <c r="E34" s="124"/>
      <c r="F34" s="124"/>
      <c r="G34" s="124"/>
      <c r="H34" s="124"/>
      <c r="I34" s="28"/>
      <c r="J34" s="28"/>
      <c r="K34" s="28"/>
      <c r="L34" s="28"/>
      <c r="M34" s="28"/>
    </row>
    <row r="35" spans="1:15">
      <c r="B35" s="100" t="s">
        <v>92</v>
      </c>
      <c r="C35" s="125"/>
      <c r="D35" s="125"/>
      <c r="E35" s="125"/>
      <c r="F35" s="125"/>
      <c r="G35" s="125"/>
      <c r="H35" s="125"/>
      <c r="I35" s="28"/>
      <c r="J35" s="28"/>
      <c r="K35" s="28"/>
      <c r="L35" s="28"/>
      <c r="M35" s="28"/>
    </row>
    <row r="36" spans="1:15">
      <c r="B36" s="100" t="s">
        <v>96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5">
      <c r="A37" s="131"/>
      <c r="B37" s="102" t="s">
        <v>159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5">
      <c r="A38" s="131"/>
      <c r="B38" s="102" t="s">
        <v>117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5">
      <c r="A39" s="131"/>
      <c r="B39" s="102" t="s">
        <v>160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5">
      <c r="A40" s="131"/>
      <c r="B40" s="102" t="s">
        <v>118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</row>
    <row r="41" spans="1:15">
      <c r="B41" s="102" t="s">
        <v>116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</row>
    <row r="45" spans="1:15"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1:15"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</row>
    <row r="47" spans="1:15"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1:15">
      <c r="K48" s="137"/>
      <c r="L48" s="137"/>
      <c r="M48" s="137"/>
      <c r="N48" s="137"/>
      <c r="O48" s="137"/>
    </row>
  </sheetData>
  <mergeCells count="2">
    <mergeCell ref="A1:P1"/>
    <mergeCell ref="A2:P2"/>
  </mergeCells>
  <phoneticPr fontId="0" type="noConversion"/>
  <printOptions horizontalCentered="1"/>
  <pageMargins left="0.75" right="0.75" top="1" bottom="1" header="0.5" footer="0.5"/>
  <pageSetup scale="63" orientation="landscape" r:id="rId1"/>
  <headerFooter alignWithMargins="0">
    <oddFooter>&amp;L&amp;F  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G35"/>
  <sheetViews>
    <sheetView zoomScaleNormal="100" workbookViewId="0">
      <selection activeCell="B28" sqref="B28"/>
    </sheetView>
  </sheetViews>
  <sheetFormatPr defaultRowHeight="12.75"/>
  <cols>
    <col min="1" max="1" width="8.7109375" customWidth="1"/>
    <col min="2" max="2" width="70.7109375" customWidth="1"/>
    <col min="3" max="3" width="54.7109375" customWidth="1"/>
    <col min="4" max="4" width="8.42578125" customWidth="1"/>
  </cols>
  <sheetData>
    <row r="1" spans="1:7" ht="15.75">
      <c r="A1" s="52" t="str">
        <f>'Marg Distrib Demand Cost Sum'!A1:E1</f>
        <v>SAN DIEGO GAS &amp; ELECTRIC COMPANY ("SDG&amp;E")</v>
      </c>
      <c r="B1" s="52"/>
      <c r="C1" s="52"/>
      <c r="D1" s="52"/>
    </row>
    <row r="2" spans="1:7" s="54" customFormat="1" ht="15.75">
      <c r="A2" s="52" t="str">
        <f>'Marg Distrib Demand Cost Sum'!A2:E2</f>
        <v>TEST YEAR ("TY") 2019 GENERAL RATE CASE ("GRC") PHASE 2, APPLICATION ("A.") 19-03-002</v>
      </c>
      <c r="B2" s="52"/>
      <c r="C2" s="53"/>
      <c r="D2" s="53"/>
    </row>
    <row r="3" spans="1:7" ht="15.75">
      <c r="A3" s="52" t="str">
        <f>'Marg Distrib Demand Cost Sum'!A3:E3</f>
        <v>MARGINAL DISTRIBUTION DEMAND COST WORKPAPER - CHAPTER 5 (SAXE)</v>
      </c>
      <c r="B3" s="52"/>
      <c r="C3" s="52"/>
      <c r="D3" s="52"/>
    </row>
    <row r="4" spans="1:7" ht="15.75">
      <c r="A4" s="52"/>
      <c r="B4" s="52"/>
      <c r="C4" s="52"/>
      <c r="D4" s="52"/>
    </row>
    <row r="5" spans="1:7" s="54" customFormat="1" ht="15.75">
      <c r="A5" s="53"/>
      <c r="B5" s="52"/>
      <c r="C5" s="53"/>
      <c r="D5" s="53"/>
    </row>
    <row r="6" spans="1:7" s="54" customFormat="1" ht="15.75">
      <c r="A6" s="1" t="s">
        <v>19</v>
      </c>
      <c r="B6" s="52"/>
      <c r="C6" s="52"/>
      <c r="D6" s="1" t="s">
        <v>19</v>
      </c>
    </row>
    <row r="7" spans="1:7" s="55" customFormat="1" ht="15.75">
      <c r="A7" s="82" t="s">
        <v>67</v>
      </c>
      <c r="B7" s="87"/>
      <c r="C7" s="88"/>
      <c r="D7" s="82" t="s">
        <v>67</v>
      </c>
    </row>
    <row r="8" spans="1:7" s="55" customFormat="1" ht="16.5" thickBot="1">
      <c r="A8" s="80"/>
      <c r="B8" s="162" t="s">
        <v>84</v>
      </c>
      <c r="C8" s="162"/>
      <c r="D8" s="80"/>
    </row>
    <row r="9" spans="1:7" s="55" customFormat="1" ht="15.75">
      <c r="A9" s="80">
        <v>1</v>
      </c>
      <c r="B9" s="109" t="s">
        <v>58</v>
      </c>
      <c r="C9" s="112">
        <v>2.7723662892949787E-2</v>
      </c>
      <c r="D9" s="80">
        <v>1</v>
      </c>
      <c r="G9" s="57"/>
    </row>
    <row r="10" spans="1:7" s="55" customFormat="1" ht="15.75">
      <c r="A10" s="136">
        <f>A9+1</f>
        <v>2</v>
      </c>
      <c r="B10" s="89" t="s">
        <v>121</v>
      </c>
      <c r="C10" s="113">
        <v>1.5023E-2</v>
      </c>
      <c r="D10" s="136">
        <f>D9+1</f>
        <v>2</v>
      </c>
      <c r="G10" s="57"/>
    </row>
    <row r="11" spans="1:7" s="55" customFormat="1" ht="15.75">
      <c r="A11" s="136">
        <f t="shared" ref="A11:A19" si="0">A10+1</f>
        <v>3</v>
      </c>
      <c r="B11" s="90"/>
      <c r="C11" s="114"/>
      <c r="D11" s="136">
        <f t="shared" ref="D11:D19" si="1">D10+1</f>
        <v>3</v>
      </c>
      <c r="G11" s="57"/>
    </row>
    <row r="12" spans="1:7" s="55" customFormat="1" ht="15.75">
      <c r="A12" s="136">
        <f t="shared" si="0"/>
        <v>4</v>
      </c>
      <c r="B12" s="89" t="s">
        <v>57</v>
      </c>
      <c r="C12" s="113">
        <v>0.31455682511593847</v>
      </c>
      <c r="D12" s="136">
        <f t="shared" si="1"/>
        <v>4</v>
      </c>
      <c r="G12" s="57"/>
    </row>
    <row r="13" spans="1:7" s="55" customFormat="1" ht="15.75">
      <c r="A13" s="136">
        <f t="shared" si="0"/>
        <v>5</v>
      </c>
      <c r="B13" s="89" t="s">
        <v>55</v>
      </c>
      <c r="C13" s="115">
        <v>2.1006754967757096E-2</v>
      </c>
      <c r="D13" s="136">
        <f t="shared" si="1"/>
        <v>5</v>
      </c>
      <c r="G13" s="57"/>
    </row>
    <row r="14" spans="1:7" s="55" customFormat="1" ht="15.75">
      <c r="A14" s="136">
        <f t="shared" si="0"/>
        <v>6</v>
      </c>
      <c r="B14" s="89" t="s">
        <v>54</v>
      </c>
      <c r="C14" s="113">
        <v>7.0621840537004127E-2</v>
      </c>
      <c r="D14" s="136">
        <f t="shared" si="1"/>
        <v>6</v>
      </c>
      <c r="G14" s="57"/>
    </row>
    <row r="15" spans="1:7" s="55" customFormat="1" ht="16.5" thickBot="1">
      <c r="A15" s="136">
        <f t="shared" si="0"/>
        <v>7</v>
      </c>
      <c r="B15" s="92" t="s">
        <v>85</v>
      </c>
      <c r="C15" s="116">
        <v>7.182678421054596E-2</v>
      </c>
      <c r="D15" s="136">
        <f t="shared" si="1"/>
        <v>7</v>
      </c>
      <c r="G15" s="57"/>
    </row>
    <row r="16" spans="1:7" s="55" customFormat="1" ht="15.75">
      <c r="A16" s="136">
        <f t="shared" si="0"/>
        <v>8</v>
      </c>
      <c r="B16" s="91"/>
      <c r="C16" s="91"/>
      <c r="D16" s="136">
        <f t="shared" si="1"/>
        <v>8</v>
      </c>
      <c r="G16" s="57"/>
    </row>
    <row r="17" spans="1:7" s="55" customFormat="1" ht="15.75">
      <c r="A17" s="136">
        <f t="shared" si="0"/>
        <v>9</v>
      </c>
      <c r="B17" s="4"/>
      <c r="C17" s="4"/>
      <c r="D17" s="136">
        <f t="shared" si="1"/>
        <v>9</v>
      </c>
      <c r="G17" s="57"/>
    </row>
    <row r="18" spans="1:7" s="55" customFormat="1" ht="16.5" thickBot="1">
      <c r="A18" s="136">
        <f t="shared" si="0"/>
        <v>10</v>
      </c>
      <c r="B18" s="162" t="s">
        <v>53</v>
      </c>
      <c r="C18" s="162"/>
      <c r="D18" s="136">
        <f t="shared" si="1"/>
        <v>10</v>
      </c>
      <c r="G18" s="57"/>
    </row>
    <row r="19" spans="1:7" s="55" customFormat="1" ht="16.5" thickBot="1">
      <c r="A19" s="136">
        <f t="shared" si="0"/>
        <v>11</v>
      </c>
      <c r="B19" s="149" t="s">
        <v>106</v>
      </c>
      <c r="C19" s="150">
        <v>1.085144063993809</v>
      </c>
      <c r="D19" s="136">
        <f t="shared" si="1"/>
        <v>11</v>
      </c>
      <c r="G19" s="57"/>
    </row>
    <row r="20" spans="1:7" s="55" customFormat="1" ht="15.75">
      <c r="A20" s="88"/>
      <c r="B20" s="110"/>
      <c r="C20" s="111"/>
      <c r="D20" s="88"/>
      <c r="G20" s="57"/>
    </row>
    <row r="21" spans="1:7">
      <c r="A21" s="29" t="s">
        <v>79</v>
      </c>
      <c r="B21" s="54"/>
    </row>
    <row r="22" spans="1:7">
      <c r="B22" s="99" t="s">
        <v>111</v>
      </c>
      <c r="C22" s="127"/>
    </row>
    <row r="23" spans="1:7">
      <c r="B23" s="99" t="s">
        <v>161</v>
      </c>
      <c r="C23" s="127"/>
    </row>
    <row r="24" spans="1:7">
      <c r="B24" s="99" t="s">
        <v>137</v>
      </c>
      <c r="C24" s="127"/>
    </row>
    <row r="25" spans="1:7">
      <c r="B25" s="54" t="s">
        <v>122</v>
      </c>
      <c r="C25" s="127"/>
    </row>
    <row r="26" spans="1:7">
      <c r="B26" s="100" t="s">
        <v>123</v>
      </c>
      <c r="C26" s="127"/>
    </row>
    <row r="27" spans="1:7">
      <c r="B27" s="99" t="s">
        <v>124</v>
      </c>
    </row>
    <row r="28" spans="1:7">
      <c r="B28" s="99" t="s">
        <v>125</v>
      </c>
    </row>
    <row r="29" spans="1:7">
      <c r="B29" s="54" t="s">
        <v>126</v>
      </c>
    </row>
    <row r="30" spans="1:7">
      <c r="B30" s="54" t="s">
        <v>107</v>
      </c>
    </row>
    <row r="31" spans="1:7">
      <c r="B31" s="102" t="s">
        <v>148</v>
      </c>
    </row>
    <row r="32" spans="1:7">
      <c r="B32" s="102"/>
    </row>
    <row r="34" spans="2:2">
      <c r="B34" s="129"/>
    </row>
    <row r="35" spans="2:2">
      <c r="B35" s="54"/>
    </row>
  </sheetData>
  <mergeCells count="2">
    <mergeCell ref="B18:C18"/>
    <mergeCell ref="B8:C8"/>
  </mergeCells>
  <phoneticPr fontId="2" type="noConversion"/>
  <printOptions horizontalCentered="1"/>
  <pageMargins left="0.75" right="0.75" top="1" bottom="1" header="0.5" footer="0.5"/>
  <pageSetup scale="86" orientation="landscape" r:id="rId1"/>
  <headerFooter alignWithMargins="0">
    <oddFooter>&amp;L&amp;F  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411980-9012-4FCA-96CF-B7245A25CEFA}"/>
</file>

<file path=customXml/itemProps2.xml><?xml version="1.0" encoding="utf-8"?>
<ds:datastoreItem xmlns:ds="http://schemas.openxmlformats.org/officeDocument/2006/customXml" ds:itemID="{D13AD3B2-71A9-41E8-9CB0-B8D1831920EF}"/>
</file>

<file path=customXml/itemProps3.xml><?xml version="1.0" encoding="utf-8"?>
<ds:datastoreItem xmlns:ds="http://schemas.openxmlformats.org/officeDocument/2006/customXml" ds:itemID="{F80D2670-BCAC-47F8-941C-06B4F6D7B2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Tab Descriptions</vt:lpstr>
      <vt:lpstr>Marg Distrib Demand Cost Sum</vt:lpstr>
      <vt:lpstr>Marg F&amp;LD Costs</vt:lpstr>
      <vt:lpstr>Marg Substation Costs</vt:lpstr>
      <vt:lpstr>Marg F&amp;LD Cost Cal</vt:lpstr>
      <vt:lpstr>Marg Substation Cost Cal</vt:lpstr>
      <vt:lpstr>Distrib Capital Forecast Data</vt:lpstr>
      <vt:lpstr>Distrib Capital Historic Data</vt:lpstr>
      <vt:lpstr>Inputs</vt:lpstr>
      <vt:lpstr>'Distrib Capital Forecast Data'!Print_Area</vt:lpstr>
      <vt:lpstr>'Marg Distrib Demand Cost Sum'!Print_Area</vt:lpstr>
      <vt:lpstr>'Marg F&amp;LD Cost Cal'!Print_Area</vt:lpstr>
      <vt:lpstr>'Marg F&amp;LD Costs'!Print_Area</vt:lpstr>
      <vt:lpstr>'Marg Substation Cost Cal'!Print_Area</vt:lpstr>
      <vt:lpstr>'Marg Substation Costs'!Print_Area</vt:lpstr>
      <vt:lpstr>'Tab Descriptions'!Print_Area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Parsons</dc:creator>
  <cp:lastModifiedBy>Saxe, William</cp:lastModifiedBy>
  <cp:lastPrinted>2019-04-08T20:51:43Z</cp:lastPrinted>
  <dcterms:created xsi:type="dcterms:W3CDTF">2003-08-15T18:05:54Z</dcterms:created>
  <dcterms:modified xsi:type="dcterms:W3CDTF">2019-04-08T20:52:41Z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