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0.xml" ContentType="application/vnd.openxmlformats-officedocument.drawing+xml"/>
  <Override PartName="/xl/drawings/drawing9.xml" ContentType="application/vnd.openxmlformats-officedocument.drawing+xml"/>
  <Override PartName="/xl/drawings/drawing8.xml" ContentType="application/vnd.openxmlformats-officedocument.drawing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drawings/drawing2.xml" ContentType="application/vnd.openxmlformats-officedocument.drawing+xml"/>
  <Override PartName="/xl/worksheets/sheet1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worksheets/sheet7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ERRATA\Direct Testimony\Revenue Allocations\"/>
    </mc:Choice>
  </mc:AlternateContent>
  <xr:revisionPtr revIDLastSave="0" documentId="13_ncr:1_{F41CED69-AD1D-4DD8-955B-4E2FEF0DC407}" xr6:coauthVersionLast="36" xr6:coauthVersionMax="36" xr10:uidLastSave="{00000000-0000-0000-0000-000000000000}"/>
  <bookViews>
    <workbookView xWindow="9010" yWindow="230" windowWidth="18300" windowHeight="10420" tabRatio="783" firstSheet="4" activeTab="17" xr2:uid="{00000000-000D-0000-FFFF-FFFF00000000}"/>
  </bookViews>
  <sheets>
    <sheet name="Description" sheetId="28" r:id="rId1"/>
    <sheet name="Distribution 1 Year" sheetId="5" r:id="rId2"/>
    <sheet name="Distribution 3 Year" sheetId="21" state="hidden" r:id="rId3"/>
    <sheet name="Misc. Programs" sheetId="27" r:id="rId4"/>
    <sheet name="Commodity" sheetId="6" r:id="rId5"/>
    <sheet name="CTC" sheetId="7" r:id="rId6"/>
    <sheet name="LGC" sheetId="12" r:id="rId7"/>
    <sheet name="Total PPP" sheetId="17" r:id="rId8"/>
    <sheet name="PPP-EE and EPEEBA" sheetId="8" r:id="rId9"/>
    <sheet name="PPP - CARE" sheetId="10" r:id="rId10"/>
    <sheet name="PPP - FERA" sheetId="32" r:id="rId11"/>
    <sheet name="PPP - ESAP" sheetId="11" r:id="rId12"/>
    <sheet name="PPP- EPIC" sheetId="9" r:id="rId13"/>
    <sheet name="PPP - SGIP" sheetId="30" r:id="rId14"/>
    <sheet name="PPP - CSI" sheetId="31" r:id="rId15"/>
    <sheet name="PPP - Food Bank" sheetId="33" r:id="rId16"/>
    <sheet name="Sales %" sheetId="13" r:id="rId17"/>
    <sheet name="PPP Rates" sheetId="24" r:id="rId18"/>
  </sheets>
  <externalReferences>
    <externalReference r:id="rId19"/>
    <externalReference r:id="rId20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jj" hidden="1">#REF!</definedName>
    <definedName name="jkl" hidden="1">{#N/A,#N/A,FALSE,"trates"}</definedName>
    <definedName name="limcount" hidden="1">1</definedName>
    <definedName name="_xlnm.Print_Area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6" l="1"/>
  <c r="C12" i="13" l="1"/>
  <c r="C11" i="13"/>
  <c r="C19" i="7" l="1"/>
  <c r="C18" i="7"/>
  <c r="C17" i="7"/>
  <c r="C16" i="7"/>
  <c r="C15" i="7"/>
  <c r="E10" i="6"/>
  <c r="C15" i="6" l="1"/>
  <c r="C20" i="6" l="1"/>
  <c r="C23" i="5" l="1"/>
  <c r="E23" i="13"/>
  <c r="F98" i="24" l="1"/>
  <c r="C99" i="24" l="1"/>
  <c r="I20" i="17" l="1"/>
  <c r="J20" i="17"/>
  <c r="A3" i="33" l="1"/>
  <c r="A2" i="33"/>
  <c r="A1" i="33"/>
  <c r="D84" i="24" l="1"/>
  <c r="D88" i="24"/>
  <c r="D87" i="24"/>
  <c r="D86" i="24"/>
  <c r="D85" i="24"/>
  <c r="F88" i="24"/>
  <c r="D89" i="24" l="1"/>
  <c r="C23" i="24"/>
  <c r="C43" i="24"/>
  <c r="C79" i="24"/>
  <c r="C53" i="24"/>
  <c r="C13" i="24"/>
  <c r="C66" i="24"/>
  <c r="C89" i="24"/>
  <c r="C33" i="24"/>
  <c r="D95" i="24" l="1"/>
  <c r="D96" i="24"/>
  <c r="D97" i="24"/>
  <c r="D94" i="24"/>
  <c r="D98" i="24"/>
  <c r="D99" i="24" l="1"/>
  <c r="C19" i="6" l="1"/>
  <c r="C18" i="6"/>
  <c r="C17" i="6"/>
  <c r="C16" i="6"/>
  <c r="D21" i="6" l="1"/>
  <c r="D16" i="6" s="1"/>
  <c r="D17" i="6" l="1"/>
  <c r="D15" i="6"/>
  <c r="A3" i="32"/>
  <c r="A2" i="32"/>
  <c r="A1" i="32"/>
  <c r="C9" i="5" l="1"/>
  <c r="C12" i="5"/>
  <c r="C10" i="5"/>
  <c r="C8" i="5"/>
  <c r="C11" i="5"/>
  <c r="C7" i="5"/>
  <c r="A3" i="31"/>
  <c r="A2" i="31"/>
  <c r="A1" i="31"/>
  <c r="D71" i="24" l="1"/>
  <c r="D78" i="24"/>
  <c r="D8" i="31"/>
  <c r="D74" i="24"/>
  <c r="D10" i="31"/>
  <c r="D9" i="31"/>
  <c r="D72" i="24"/>
  <c r="D7" i="31"/>
  <c r="D11" i="31"/>
  <c r="D77" i="24"/>
  <c r="E10" i="31" l="1"/>
  <c r="H19" i="17" s="1"/>
  <c r="E8" i="31"/>
  <c r="E7" i="31"/>
  <c r="E9" i="31"/>
  <c r="E11" i="31"/>
  <c r="D79" i="24"/>
  <c r="H17" i="17" l="1"/>
  <c r="H18" i="17"/>
  <c r="H16" i="17"/>
  <c r="H20" i="17"/>
  <c r="G42" i="24" l="1"/>
  <c r="G32" i="24" l="1"/>
  <c r="E9" i="30" l="1"/>
  <c r="D61" i="24"/>
  <c r="E10" i="30"/>
  <c r="D64" i="24"/>
  <c r="E7" i="30"/>
  <c r="D58" i="24"/>
  <c r="E11" i="30"/>
  <c r="D65" i="24"/>
  <c r="E8" i="30"/>
  <c r="D59" i="24"/>
  <c r="D66" i="24" l="1"/>
  <c r="G18" i="17"/>
  <c r="G19" i="17"/>
  <c r="G20" i="17"/>
  <c r="G17" i="17"/>
  <c r="G16" i="17"/>
  <c r="A3" i="30"/>
  <c r="A2" i="30"/>
  <c r="A1" i="30"/>
  <c r="A2" i="27" l="1"/>
  <c r="A7" i="28" l="1"/>
  <c r="A9" i="28" s="1"/>
  <c r="A11" i="28" s="1"/>
  <c r="A13" i="28" s="1"/>
  <c r="A15" i="28" s="1"/>
  <c r="A17" i="28" s="1"/>
  <c r="A19" i="28" s="1"/>
  <c r="A21" i="28" s="1"/>
  <c r="A23" i="28" s="1"/>
  <c r="A25" i="28" s="1"/>
  <c r="A27" i="28" s="1"/>
  <c r="A29" i="28" s="1"/>
  <c r="A31" i="28" s="1"/>
  <c r="A33" i="28" s="1"/>
  <c r="A35" i="28" s="1"/>
  <c r="A37" i="28" s="1"/>
  <c r="A39" i="28" s="1"/>
  <c r="A2" i="24" l="1"/>
  <c r="A3" i="24"/>
  <c r="A1" i="24"/>
  <c r="A2" i="13"/>
  <c r="A3" i="13"/>
  <c r="A1" i="13"/>
  <c r="A3" i="12"/>
  <c r="A2" i="12"/>
  <c r="A1" i="12"/>
  <c r="A2" i="11"/>
  <c r="A3" i="11"/>
  <c r="A1" i="11"/>
  <c r="A2" i="10"/>
  <c r="A3" i="10"/>
  <c r="A1" i="10"/>
  <c r="A2" i="9"/>
  <c r="A3" i="9"/>
  <c r="A1" i="9"/>
  <c r="A2" i="8"/>
  <c r="A3" i="8"/>
  <c r="A1" i="8"/>
  <c r="A3" i="17"/>
  <c r="A2" i="17"/>
  <c r="A1" i="17"/>
  <c r="A3" i="7"/>
  <c r="A2" i="7"/>
  <c r="A1" i="7"/>
  <c r="A3" i="6"/>
  <c r="A2" i="6"/>
  <c r="A1" i="6"/>
  <c r="A3" i="27"/>
  <c r="A1" i="27"/>
  <c r="B3" i="21"/>
  <c r="B2" i="21"/>
  <c r="B1" i="21"/>
  <c r="G37" i="24" l="1"/>
  <c r="G27" i="24"/>
  <c r="G17" i="24"/>
  <c r="F47" i="24"/>
  <c r="F37" i="24"/>
  <c r="F27" i="24"/>
  <c r="F70" i="24" s="1"/>
  <c r="F17" i="24"/>
  <c r="F57" i="24" s="1"/>
  <c r="F93" i="24" l="1"/>
  <c r="F83" i="24"/>
  <c r="C21" i="21" l="1"/>
  <c r="C20" i="21"/>
  <c r="C19" i="21"/>
  <c r="C18" i="21"/>
  <c r="C17" i="21"/>
  <c r="C22" i="21" l="1"/>
  <c r="C7" i="21" s="1"/>
  <c r="C9" i="21" l="1"/>
  <c r="C8" i="21"/>
  <c r="C11" i="21"/>
  <c r="C10" i="21"/>
  <c r="D32" i="24" l="1"/>
  <c r="D42" i="24" l="1"/>
  <c r="E21" i="6" l="1"/>
  <c r="C23" i="13" l="1"/>
  <c r="D48" i="24" l="1"/>
  <c r="D19" i="24"/>
  <c r="D9" i="24"/>
  <c r="D30" i="24"/>
  <c r="D41" i="24"/>
  <c r="D52" i="24"/>
  <c r="D29" i="24"/>
  <c r="D40" i="24"/>
  <c r="D51" i="24"/>
  <c r="D28" i="24"/>
  <c r="D39" i="24"/>
  <c r="D50" i="24"/>
  <c r="D21" i="24"/>
  <c r="D11" i="24"/>
  <c r="D38" i="24"/>
  <c r="D49" i="24"/>
  <c r="D31" i="24"/>
  <c r="D43" i="24" l="1"/>
  <c r="D33" i="24"/>
  <c r="D53" i="24"/>
  <c r="D20" i="24"/>
  <c r="D10" i="24"/>
  <c r="D22" i="24"/>
  <c r="D12" i="24"/>
  <c r="D18" i="24"/>
  <c r="D8" i="24"/>
  <c r="D23" i="24" l="1"/>
  <c r="D13" i="24"/>
  <c r="D13" i="27" l="1"/>
  <c r="E13" i="27" s="1"/>
  <c r="D12" i="27"/>
  <c r="E12" i="27" s="1"/>
  <c r="D11" i="27"/>
  <c r="E11" i="27" s="1"/>
  <c r="D10" i="27"/>
  <c r="E10" i="27" s="1"/>
  <c r="D9" i="27"/>
  <c r="E9" i="27" s="1"/>
  <c r="E7" i="12" l="1"/>
  <c r="E8" i="12"/>
  <c r="E9" i="12"/>
  <c r="E10" i="12"/>
  <c r="E11" i="12"/>
  <c r="D23" i="13" l="1"/>
  <c r="E8" i="7" l="1"/>
  <c r="E9" i="7"/>
  <c r="E7" i="7"/>
  <c r="E10" i="7"/>
  <c r="E11" i="7"/>
  <c r="E12" i="7"/>
  <c r="F77" i="24" l="1"/>
  <c r="F51" i="24"/>
  <c r="F64" i="24"/>
  <c r="F11" i="24"/>
  <c r="E9" i="13"/>
  <c r="F41" i="24"/>
  <c r="F21" i="24"/>
  <c r="E7" i="13" l="1"/>
  <c r="F49" i="24"/>
  <c r="F72" i="24"/>
  <c r="F19" i="24"/>
  <c r="F39" i="24"/>
  <c r="F9" i="24"/>
  <c r="F59" i="24"/>
  <c r="E6" i="13"/>
  <c r="F48" i="24"/>
  <c r="F71" i="24"/>
  <c r="F58" i="24"/>
  <c r="F38" i="24"/>
  <c r="F8" i="24"/>
  <c r="F18" i="24"/>
  <c r="D12" i="13"/>
  <c r="G6" i="13" s="1"/>
  <c r="D7" i="11" s="1"/>
  <c r="F50" i="24"/>
  <c r="F10" i="24"/>
  <c r="F40" i="24"/>
  <c r="E8" i="13"/>
  <c r="F20" i="24"/>
  <c r="F97" i="24"/>
  <c r="F31" i="24"/>
  <c r="F87" i="24"/>
  <c r="G8" i="13" l="1"/>
  <c r="D9" i="11" s="1"/>
  <c r="F96" i="24"/>
  <c r="F86" i="24"/>
  <c r="F30" i="24"/>
  <c r="G12" i="13"/>
  <c r="G9" i="13"/>
  <c r="D10" i="11" s="1"/>
  <c r="F95" i="24"/>
  <c r="F29" i="24"/>
  <c r="F85" i="24"/>
  <c r="E7" i="11"/>
  <c r="G7" i="13"/>
  <c r="D8" i="11" s="1"/>
  <c r="F43" i="24"/>
  <c r="F94" i="24"/>
  <c r="F28" i="24"/>
  <c r="F84" i="24"/>
  <c r="E11" i="13"/>
  <c r="H7" i="13" s="1"/>
  <c r="E9" i="11" l="1"/>
  <c r="D18" i="17" s="1"/>
  <c r="D8" i="32"/>
  <c r="D8" i="33"/>
  <c r="D8" i="10"/>
  <c r="F89" i="24"/>
  <c r="F33" i="24"/>
  <c r="D16" i="17"/>
  <c r="H11" i="13"/>
  <c r="H9" i="13"/>
  <c r="H6" i="13"/>
  <c r="F99" i="24"/>
  <c r="H8" i="13"/>
  <c r="E8" i="11"/>
  <c r="E10" i="11"/>
  <c r="D19" i="17" l="1"/>
  <c r="D7" i="10"/>
  <c r="D7" i="33"/>
  <c r="D7" i="32"/>
  <c r="E8" i="10"/>
  <c r="D10" i="33"/>
  <c r="D10" i="32"/>
  <c r="D10" i="10"/>
  <c r="E8" i="33"/>
  <c r="D17" i="17"/>
  <c r="D9" i="32"/>
  <c r="D9" i="10"/>
  <c r="D9" i="33"/>
  <c r="E8" i="32"/>
  <c r="E9" i="10" l="1"/>
  <c r="I17" i="17"/>
  <c r="E10" i="32"/>
  <c r="E7" i="33"/>
  <c r="J17" i="17"/>
  <c r="E9" i="33"/>
  <c r="E10" i="33"/>
  <c r="C17" i="17"/>
  <c r="E7" i="10"/>
  <c r="E9" i="32"/>
  <c r="E10" i="10"/>
  <c r="E7" i="32"/>
  <c r="C19" i="17" l="1"/>
  <c r="I16" i="17"/>
  <c r="I18" i="17"/>
  <c r="C16" i="17"/>
  <c r="J16" i="17"/>
  <c r="J18" i="17"/>
  <c r="C18" i="17"/>
  <c r="J19" i="17"/>
  <c r="I19" i="17"/>
  <c r="D20" i="6" l="1"/>
  <c r="E7" i="6"/>
  <c r="E15" i="6" l="1"/>
  <c r="E20" i="6"/>
  <c r="E8" i="6"/>
  <c r="D19" i="6"/>
  <c r="E11" i="6"/>
  <c r="D18" i="6"/>
  <c r="E9" i="6"/>
  <c r="E16" i="6" l="1"/>
  <c r="E18" i="6"/>
  <c r="E17" i="6"/>
  <c r="E19" i="6"/>
  <c r="G76" i="24" l="1"/>
  <c r="G63" i="24"/>
  <c r="G61" i="24" l="1"/>
  <c r="G74" i="24"/>
  <c r="G11" i="24" l="1"/>
  <c r="G8" i="24"/>
  <c r="G9" i="24"/>
  <c r="G18" i="24" l="1"/>
  <c r="G21" i="24"/>
  <c r="G39" i="24"/>
  <c r="G41" i="24"/>
  <c r="G19" i="24"/>
  <c r="G10" i="24"/>
  <c r="G30" i="24" l="1"/>
  <c r="G77" i="24"/>
  <c r="G72" i="24"/>
  <c r="G20" i="24"/>
  <c r="G96" i="24"/>
  <c r="G43" i="24"/>
  <c r="G40" i="24"/>
  <c r="G31" i="24"/>
  <c r="G49" i="24"/>
  <c r="G48" i="24"/>
  <c r="G97" i="24"/>
  <c r="G64" i="24"/>
  <c r="G50" i="24"/>
  <c r="G85" i="24"/>
  <c r="G59" i="24"/>
  <c r="G86" i="24"/>
  <c r="G51" i="24"/>
  <c r="G38" i="24"/>
  <c r="G29" i="24"/>
  <c r="G95" i="24"/>
  <c r="G99" i="24" l="1"/>
  <c r="G58" i="24"/>
  <c r="G94" i="24"/>
  <c r="G87" i="24"/>
  <c r="G84" i="24" l="1"/>
  <c r="G89" i="24"/>
  <c r="G71" i="24"/>
  <c r="G28" i="24"/>
  <c r="G33" i="24"/>
  <c r="F78" i="24" l="1"/>
  <c r="F12" i="24"/>
  <c r="D11" i="13"/>
  <c r="F22" i="24"/>
  <c r="F65" i="24"/>
  <c r="F52" i="24"/>
  <c r="F13" i="24" l="1"/>
  <c r="G13" i="24" s="1"/>
  <c r="G12" i="24"/>
  <c r="F10" i="13"/>
  <c r="D11" i="9" s="1"/>
  <c r="F8" i="13"/>
  <c r="D9" i="9" s="1"/>
  <c r="F6" i="13"/>
  <c r="D7" i="9" s="1"/>
  <c r="F7" i="13"/>
  <c r="D8" i="9" s="1"/>
  <c r="F11" i="13"/>
  <c r="F9" i="13"/>
  <c r="D10" i="9" s="1"/>
  <c r="G52" i="24"/>
  <c r="F53" i="24"/>
  <c r="G53" i="24" s="1"/>
  <c r="G65" i="24"/>
  <c r="F66" i="24"/>
  <c r="G66" i="24" s="1"/>
  <c r="G78" i="24"/>
  <c r="F79" i="24"/>
  <c r="G79" i="24" s="1"/>
  <c r="F23" i="24"/>
  <c r="G23" i="24" s="1"/>
  <c r="G22" i="24"/>
  <c r="E8" i="9" l="1"/>
  <c r="E7" i="9"/>
  <c r="E10" i="9"/>
  <c r="E9" i="9"/>
  <c r="E11" i="9"/>
  <c r="F16" i="17" l="1"/>
  <c r="F17" i="17"/>
  <c r="F20" i="17"/>
  <c r="F19" i="17"/>
  <c r="F18" i="17"/>
  <c r="E9" i="8" l="1"/>
  <c r="E8" i="8"/>
  <c r="E10" i="8"/>
  <c r="E7" i="8"/>
  <c r="E11" i="8"/>
  <c r="E17" i="17" l="1"/>
  <c r="E19" i="17"/>
  <c r="E18" i="17"/>
  <c r="E16" i="17"/>
  <c r="E20" i="17"/>
  <c r="H22" i="17" l="1"/>
  <c r="G22" i="17"/>
  <c r="E22" i="17"/>
  <c r="D22" i="17"/>
  <c r="F22" i="17"/>
  <c r="J22" i="17"/>
  <c r="I22" i="17"/>
  <c r="C22" i="17"/>
  <c r="E9" i="17" l="1"/>
  <c r="E10" i="17"/>
  <c r="E11" i="17"/>
  <c r="E7" i="17"/>
  <c r="E8" i="17"/>
  <c r="D21" i="21" l="1"/>
  <c r="E21" i="5"/>
  <c r="E21" i="21" l="1"/>
  <c r="F21" i="21" s="1"/>
  <c r="F11" i="21" l="1"/>
  <c r="I11" i="21"/>
  <c r="H11" i="21"/>
  <c r="G11" i="21"/>
  <c r="E17" i="5" l="1"/>
  <c r="D17" i="21"/>
  <c r="E17" i="21" l="1"/>
  <c r="F17" i="21" s="1"/>
  <c r="F7" i="21" l="1"/>
  <c r="G7" i="21"/>
  <c r="I7" i="21"/>
  <c r="H7" i="21"/>
  <c r="D20" i="7" l="1"/>
  <c r="D16" i="7"/>
  <c r="D19" i="7"/>
  <c r="D15" i="7"/>
  <c r="D18" i="7"/>
  <c r="D17" i="7"/>
  <c r="E21" i="7"/>
  <c r="E15" i="7" l="1"/>
  <c r="E19" i="7"/>
  <c r="E17" i="7"/>
  <c r="E16" i="7"/>
  <c r="E18" i="7"/>
  <c r="E20" i="7"/>
  <c r="D20" i="21" l="1"/>
  <c r="E20" i="5"/>
  <c r="E20" i="21" l="1"/>
  <c r="F20" i="21" s="1"/>
  <c r="F10" i="21" l="1"/>
  <c r="G10" i="21"/>
  <c r="H10" i="21"/>
  <c r="I10" i="21"/>
  <c r="D19" i="21" l="1"/>
  <c r="E19" i="5"/>
  <c r="E19" i="21" l="1"/>
  <c r="F19" i="21" s="1"/>
  <c r="E22" i="5"/>
  <c r="F9" i="21" l="1"/>
  <c r="G9" i="21"/>
  <c r="H9" i="21"/>
  <c r="I9" i="21"/>
  <c r="D18" i="21" l="1"/>
  <c r="E18" i="5"/>
  <c r="D23" i="5"/>
  <c r="E18" i="21" l="1"/>
  <c r="F18" i="21" s="1"/>
  <c r="D22" i="21"/>
  <c r="D8" i="21" s="1"/>
  <c r="E8" i="21" s="1"/>
  <c r="D12" i="5"/>
  <c r="E23" i="5"/>
  <c r="D11" i="5"/>
  <c r="D7" i="5"/>
  <c r="D10" i="5"/>
  <c r="D9" i="5"/>
  <c r="D8" i="5"/>
  <c r="E9" i="5" l="1"/>
  <c r="E7" i="5"/>
  <c r="E12" i="5"/>
  <c r="E8" i="5"/>
  <c r="E11" i="5"/>
  <c r="E22" i="21"/>
  <c r="F22" i="21" s="1"/>
  <c r="D11" i="21"/>
  <c r="E11" i="21" s="1"/>
  <c r="G21" i="21"/>
  <c r="I21" i="21"/>
  <c r="H21" i="21"/>
  <c r="D7" i="21"/>
  <c r="E7" i="21" s="1"/>
  <c r="H17" i="21"/>
  <c r="I17" i="21"/>
  <c r="G17" i="21"/>
  <c r="D10" i="21"/>
  <c r="E10" i="21" s="1"/>
  <c r="G20" i="21"/>
  <c r="H20" i="21"/>
  <c r="I20" i="21"/>
  <c r="D9" i="21"/>
  <c r="E9" i="21" s="1"/>
  <c r="I19" i="21"/>
  <c r="G19" i="21"/>
  <c r="H19" i="21"/>
  <c r="E10" i="5"/>
  <c r="F8" i="21"/>
  <c r="I8" i="21"/>
  <c r="H8" i="21"/>
  <c r="G8" i="21"/>
  <c r="H18" i="21" l="1"/>
  <c r="I18" i="21"/>
  <c r="I22" i="21" s="1"/>
  <c r="G18" i="21"/>
  <c r="G22" i="21" s="1"/>
  <c r="H22" i="21"/>
</calcChain>
</file>

<file path=xl/sharedStrings.xml><?xml version="1.0" encoding="utf-8"?>
<sst xmlns="http://schemas.openxmlformats.org/spreadsheetml/2006/main" count="370" uniqueCount="113">
  <si>
    <t>LGC</t>
  </si>
  <si>
    <t>Commodity</t>
  </si>
  <si>
    <t>Residential</t>
  </si>
  <si>
    <t>Agriculture</t>
  </si>
  <si>
    <t>System</t>
  </si>
  <si>
    <t>Small Commercial</t>
  </si>
  <si>
    <t>Total</t>
  </si>
  <si>
    <t>Current (%)</t>
  </si>
  <si>
    <t>Updated (%)</t>
  </si>
  <si>
    <t>% Change from Current</t>
  </si>
  <si>
    <t>Small Comm</t>
  </si>
  <si>
    <t>M/L C&amp;I</t>
  </si>
  <si>
    <t>Streetlighting</t>
  </si>
  <si>
    <r>
      <t>Present ($000)</t>
    </r>
    <r>
      <rPr>
        <sz val="8"/>
        <color theme="1"/>
        <rFont val="Times New Roman"/>
        <family val="1"/>
      </rPr>
      <t> </t>
    </r>
  </si>
  <si>
    <r>
      <t>Uncapped  Updated Allocation ($000)</t>
    </r>
    <r>
      <rPr>
        <sz val="8"/>
        <color theme="1"/>
        <rFont val="Times New Roman"/>
        <family val="1"/>
      </rPr>
      <t> </t>
    </r>
  </si>
  <si>
    <t>Percentage Change (%)</t>
  </si>
  <si>
    <t>Agricultural</t>
  </si>
  <si>
    <t>Present ($000)</t>
  </si>
  <si>
    <t>Uncapped  Updated Allocation ($000)</t>
  </si>
  <si>
    <t xml:space="preserve">*EE Forecasted Spending by class, from Customer Programs </t>
  </si>
  <si>
    <t>*Class Average Sales</t>
  </si>
  <si>
    <t>*Non-CARE Sales (exclude streetlighting)</t>
  </si>
  <si>
    <t xml:space="preserve">Streetlighting </t>
  </si>
  <si>
    <t>*Non-Lighting Sales</t>
  </si>
  <si>
    <t>Current (%)*</t>
  </si>
  <si>
    <t>Small Comm***</t>
  </si>
  <si>
    <t>Updated %</t>
  </si>
  <si>
    <t>Non-Lighting %</t>
  </si>
  <si>
    <t>-</t>
  </si>
  <si>
    <t>Total System w/o Lighting</t>
  </si>
  <si>
    <t>Current TOU</t>
  </si>
  <si>
    <t>Updated (%)**</t>
  </si>
  <si>
    <t>Percentage Change (%/year)</t>
  </si>
  <si>
    <t>Allocation Year 1</t>
  </si>
  <si>
    <t>Allocation Year 2</t>
  </si>
  <si>
    <t>Allocation Year 3</t>
  </si>
  <si>
    <t>Proposed % Year 1</t>
  </si>
  <si>
    <t>Proposed (%) Year 2</t>
  </si>
  <si>
    <t>Proposed (%) Year 3</t>
  </si>
  <si>
    <t>% Change/year</t>
  </si>
  <si>
    <t>CARE</t>
  </si>
  <si>
    <t>ESAP</t>
  </si>
  <si>
    <t>EPIC</t>
  </si>
  <si>
    <t>Current Allocation</t>
  </si>
  <si>
    <t>Current Revenues</t>
  </si>
  <si>
    <t>Current Rate</t>
  </si>
  <si>
    <t>New Revenues</t>
  </si>
  <si>
    <t>EPEEBA</t>
  </si>
  <si>
    <t>EE</t>
  </si>
  <si>
    <t>Current Rev</t>
  </si>
  <si>
    <t>% of Total Rev</t>
  </si>
  <si>
    <t>Rev</t>
  </si>
  <si>
    <t>DR Allocation</t>
  </si>
  <si>
    <t>Updated Revenues</t>
  </si>
  <si>
    <t>SAN DIEGO GAS &amp; ELECTRIC COMPANY</t>
  </si>
  <si>
    <t>DESCRIPTION</t>
  </si>
  <si>
    <t>Description - This page</t>
  </si>
  <si>
    <t>Total PPP</t>
  </si>
  <si>
    <t>CTC</t>
  </si>
  <si>
    <t>Distribution 1 Year</t>
  </si>
  <si>
    <t>Distribution 3 Year</t>
  </si>
  <si>
    <t>Misc. Programs</t>
  </si>
  <si>
    <t>PPP - EPIC</t>
  </si>
  <si>
    <t>PPP - EE and EPEEBA</t>
  </si>
  <si>
    <t>PPP - CARE</t>
  </si>
  <si>
    <t>PPP - ESAP</t>
  </si>
  <si>
    <t>Sales %</t>
  </si>
  <si>
    <t>PPP Rates</t>
  </si>
  <si>
    <t>Distribution Allocation Update and Proposal - 1 Year</t>
  </si>
  <si>
    <t>Distribution Allocation Update and Proposal - 3 Years</t>
  </si>
  <si>
    <t>CTC Allocation Update and Proposal</t>
  </si>
  <si>
    <t xml:space="preserve">Total PPP Allocation Update </t>
  </si>
  <si>
    <t>PPP Allocation Update for EE and EPEEBA</t>
  </si>
  <si>
    <t xml:space="preserve">PPP Allocation Update for EPIC </t>
  </si>
  <si>
    <t>PPP Allocation Update for CARE</t>
  </si>
  <si>
    <t>PPP Allocation Update for ESAP</t>
  </si>
  <si>
    <t>LGC Allocation Update</t>
  </si>
  <si>
    <t>Updated PPP Revenue Calculations</t>
  </si>
  <si>
    <t>Allocation Inputs - Sales</t>
  </si>
  <si>
    <t>Current Authorized System Sales (2016 TY)</t>
  </si>
  <si>
    <t xml:space="preserve">REVENUE ALLOCATION WORKPAPERS - CHAPTER 2 </t>
  </si>
  <si>
    <t>REVENUE ALLOCATION WORKPAPERS - CHAPTER 2</t>
  </si>
  <si>
    <t>PPP - SGIP</t>
  </si>
  <si>
    <t>PPP Allocation Update for SGIP</t>
  </si>
  <si>
    <t>*SGIP based on completed 2015-2017 project incentive amounts</t>
  </si>
  <si>
    <t>SGIP</t>
  </si>
  <si>
    <t xml:space="preserve">                      Energy</t>
  </si>
  <si>
    <t xml:space="preserve">                      NCD</t>
  </si>
  <si>
    <t>Updated System Sales (2020 TY)</t>
  </si>
  <si>
    <t>CARE System Sales (2020 TY)</t>
  </si>
  <si>
    <t>Non-CARE Non-Lighting %</t>
  </si>
  <si>
    <t>Non-CARE System Sales without Lighting (2020 TY)</t>
  </si>
  <si>
    <t>CSI</t>
  </si>
  <si>
    <t>*CSI allocations do not have proposed updates</t>
  </si>
  <si>
    <t>M/L C&amp;I schedules AL-TOU, AL-TOU2 Substation and Transmission only; Schedule A6-TOU all voltage levels</t>
  </si>
  <si>
    <t>M/L C&amp;I schedules AL-TOU, AL-TOU2 Secondary and Primary only; Schedules DG-R, OL-TOU, VGI all voltage levels</t>
  </si>
  <si>
    <t xml:space="preserve">M/L C&amp;I </t>
  </si>
  <si>
    <t>FERA</t>
  </si>
  <si>
    <t>Food Bank</t>
  </si>
  <si>
    <t>PPP - FERA</t>
  </si>
  <si>
    <t>PPP Allocation Update for FERA</t>
  </si>
  <si>
    <t>PPP - CSI</t>
  </si>
  <si>
    <t>PPP Allocation Update for CSI</t>
  </si>
  <si>
    <t>PPP - Food Bank</t>
  </si>
  <si>
    <t>PPP Allocation Update for Food Bank</t>
  </si>
  <si>
    <t xml:space="preserve">Commodity Allocation Update and Proposal </t>
  </si>
  <si>
    <t>Allocations for Demand Response</t>
  </si>
  <si>
    <t>FERA System Sales (2020 TY)</t>
  </si>
  <si>
    <t>Schools</t>
  </si>
  <si>
    <t xml:space="preserve">Schools </t>
  </si>
  <si>
    <t xml:space="preserve">*Current and Updated 12-CP% taken from TO4 Cycle 3 BTRR Filing </t>
  </si>
  <si>
    <r>
      <t xml:space="preserve">TEST YEAR 2019 GENERAL RATE CASE PHASE 2, APPLICATION </t>
    </r>
    <r>
      <rPr>
        <b/>
        <sz val="11"/>
        <color rgb="FFFF0000"/>
        <rFont val="Calibri"/>
        <family val="2"/>
        <scheme val="minor"/>
      </rPr>
      <t>19-03-002</t>
    </r>
  </si>
  <si>
    <r>
      <t>TEST YEAR 2019 GENERAL RATE CASE PHASE 2, APPLICATION</t>
    </r>
    <r>
      <rPr>
        <b/>
        <sz val="11"/>
        <color rgb="FFFF0000"/>
        <rFont val="Calibri"/>
        <family val="2"/>
        <scheme val="minor"/>
      </rPr>
      <t xml:space="preserve"> 19-03-002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</si>
</sst>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.00000_);[Red]\(&quot;$&quot;#,##0.00000\)"/>
    <numFmt numFmtId="167" formatCode="_(* #,##0_);_(* \(#,##0\);_(* &quot;-&quot;??_);_(@_)"/>
    <numFmt numFmtId="168" formatCode="_(&quot;$&quot;* #,##0_);_(&quot;$&quot;* \(#,##0\);_(&quot;$&quot;* &quot;-&quot;??_);_(@_)"/>
    <numFmt numFmtId="169" formatCode="#,#00,"/>
    <numFmt numFmtId="170" formatCode="0.000%"/>
    <numFmt numFmtId="171" formatCode="0.00000000000000%"/>
    <numFmt numFmtId="172" formatCode="0.000000000000000%"/>
  </numFmts>
  <fonts count="39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System"/>
      <family val="2"/>
    </font>
    <font>
      <i/>
      <sz val="11"/>
      <name val="Calibri"/>
      <family val="2"/>
      <scheme val="minor"/>
    </font>
    <font>
      <b/>
      <sz val="8"/>
      <name val="Arial"/>
      <family val="2"/>
    </font>
    <font>
      <sz val="10"/>
      <name val="Times New Roman"/>
      <family val="1"/>
    </font>
    <font>
      <b/>
      <u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u/>
      <sz val="8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6">
    <xf numFmtId="164" fontId="0" fillId="0" borderId="0"/>
    <xf numFmtId="40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1" fillId="0" borderId="0"/>
    <xf numFmtId="164" fontId="15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0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44" fontId="16" fillId="0" borderId="0" applyFont="0" applyFill="0" applyBorder="0" applyAlignment="0" applyProtection="0"/>
    <xf numFmtId="8" fontId="14" fillId="0" borderId="0" applyFont="0" applyFill="0" applyBorder="0" applyAlignment="0" applyProtection="0"/>
    <xf numFmtId="164" fontId="11" fillId="0" borderId="0"/>
    <xf numFmtId="0" fontId="13" fillId="0" borderId="0"/>
    <xf numFmtId="0" fontId="13" fillId="0" borderId="0"/>
    <xf numFmtId="164" fontId="11" fillId="0" borderId="0"/>
    <xf numFmtId="0" fontId="13" fillId="0" borderId="0"/>
    <xf numFmtId="0" fontId="13" fillId="0" borderId="0"/>
    <xf numFmtId="0" fontId="13" fillId="0" borderId="0"/>
    <xf numFmtId="164" fontId="11" fillId="0" borderId="0"/>
    <xf numFmtId="0" fontId="13" fillId="0" borderId="0"/>
    <xf numFmtId="164" fontId="11" fillId="0" borderId="0"/>
    <xf numFmtId="164" fontId="11" fillId="0" borderId="0"/>
    <xf numFmtId="0" fontId="13" fillId="0" borderId="0"/>
    <xf numFmtId="0" fontId="13" fillId="0" borderId="0"/>
    <xf numFmtId="0" fontId="10" fillId="0" borderId="0"/>
    <xf numFmtId="164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 applyNumberFormat="0" applyFont="0" applyBorder="0" applyAlignment="0" applyProtection="0"/>
    <xf numFmtId="0" fontId="18" fillId="0" borderId="0" applyNumberFormat="0" applyFill="0" applyBorder="0" applyAlignment="0" applyProtection="0"/>
    <xf numFmtId="0" fontId="12" fillId="3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11" fillId="0" borderId="0" applyNumberFormat="0" applyFill="0" applyBorder="0" applyProtection="0">
      <alignment vertical="top" wrapText="1"/>
    </xf>
    <xf numFmtId="0" fontId="19" fillId="0" borderId="0" applyNumberFormat="0" applyFill="0" applyBorder="0" applyAlignment="0" applyProtection="0"/>
    <xf numFmtId="0" fontId="13" fillId="0" borderId="2" applyNumberFormat="0" applyFont="0" applyFill="0" applyAlignment="0" applyProtection="0"/>
    <xf numFmtId="0" fontId="13" fillId="0" borderId="3" applyNumberFormat="0" applyFont="0" applyFill="0" applyAlignment="0" applyProtection="0"/>
    <xf numFmtId="0" fontId="13" fillId="0" borderId="4" applyNumberFormat="0" applyFont="0" applyFill="0" applyAlignment="0" applyProtection="0"/>
    <xf numFmtId="0" fontId="20" fillId="4" borderId="5" applyNumberFormat="0" applyAlignment="0" applyProtection="0"/>
    <xf numFmtId="0" fontId="20" fillId="5" borderId="6" applyNumberFormat="0" applyAlignment="0" applyProtection="0"/>
    <xf numFmtId="0" fontId="13" fillId="6" borderId="7" applyNumberFormat="0" applyFont="0" applyAlignment="0" applyProtection="0"/>
    <xf numFmtId="0" fontId="13" fillId="7" borderId="8" applyNumberFormat="0" applyFont="0" applyAlignment="0" applyProtection="0"/>
    <xf numFmtId="0" fontId="13" fillId="8" borderId="9" applyNumberFormat="0" applyFont="0" applyAlignment="0" applyProtection="0"/>
    <xf numFmtId="0" fontId="13" fillId="9" borderId="10" applyNumberFormat="0" applyFont="0" applyAlignment="0" applyProtection="0"/>
    <xf numFmtId="0" fontId="13" fillId="2" borderId="0" applyNumberFormat="0" applyFon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3" fillId="0" borderId="0" applyNumberFormat="0" applyFont="0" applyBorder="0" applyAlignment="0" applyProtection="0"/>
    <xf numFmtId="9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4" fontId="11" fillId="0" borderId="0"/>
    <xf numFmtId="164" fontId="11" fillId="0" borderId="0"/>
    <xf numFmtId="43" fontId="9" fillId="0" borderId="0" applyFont="0" applyFill="0" applyBorder="0" applyAlignment="0" applyProtection="0"/>
    <xf numFmtId="0" fontId="30" fillId="0" borderId="0"/>
    <xf numFmtId="4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1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08">
    <xf numFmtId="164" fontId="0" fillId="0" borderId="0" xfId="0"/>
    <xf numFmtId="0" fontId="9" fillId="0" borderId="0" xfId="68"/>
    <xf numFmtId="0" fontId="24" fillId="0" borderId="0" xfId="68" applyFont="1"/>
    <xf numFmtId="10" fontId="0" fillId="0" borderId="0" xfId="69" applyNumberFormat="1" applyFont="1"/>
    <xf numFmtId="10" fontId="9" fillId="0" borderId="0" xfId="68" applyNumberFormat="1"/>
    <xf numFmtId="165" fontId="9" fillId="0" borderId="0" xfId="68" applyNumberFormat="1"/>
    <xf numFmtId="0" fontId="25" fillId="0" borderId="12" xfId="68" applyFont="1" applyBorder="1" applyAlignment="1">
      <alignment horizontal="center" vertical="center" wrapText="1"/>
    </xf>
    <xf numFmtId="0" fontId="25" fillId="0" borderId="13" xfId="68" applyFont="1" applyBorder="1" applyAlignment="1">
      <alignment horizontal="center" vertical="center" wrapText="1"/>
    </xf>
    <xf numFmtId="0" fontId="25" fillId="0" borderId="14" xfId="68" applyFont="1" applyBorder="1" applyAlignment="1">
      <alignment vertical="center" wrapText="1"/>
    </xf>
    <xf numFmtId="0" fontId="26" fillId="0" borderId="0" xfId="68" applyFont="1" applyAlignment="1">
      <alignment vertical="center"/>
    </xf>
    <xf numFmtId="0" fontId="27" fillId="0" borderId="0" xfId="68" applyFont="1"/>
    <xf numFmtId="0" fontId="24" fillId="0" borderId="0" xfId="68" applyFont="1" applyFill="1" applyBorder="1"/>
    <xf numFmtId="3" fontId="25" fillId="0" borderId="1" xfId="68" applyNumberFormat="1" applyFont="1" applyBorder="1" applyAlignment="1">
      <alignment horizontal="center" vertical="center" wrapText="1"/>
    </xf>
    <xf numFmtId="0" fontId="24" fillId="0" borderId="0" xfId="68" applyFont="1" applyFill="1"/>
    <xf numFmtId="165" fontId="0" fillId="0" borderId="0" xfId="69" applyNumberFormat="1" applyFont="1"/>
    <xf numFmtId="167" fontId="0" fillId="0" borderId="0" xfId="72" applyNumberFormat="1" applyFont="1"/>
    <xf numFmtId="0" fontId="9" fillId="0" borderId="0" xfId="68" applyFont="1"/>
    <xf numFmtId="0" fontId="27" fillId="0" borderId="0" xfId="68" applyFont="1" applyFill="1"/>
    <xf numFmtId="10" fontId="24" fillId="0" borderId="0" xfId="68" applyNumberFormat="1" applyFont="1"/>
    <xf numFmtId="0" fontId="9" fillId="0" borderId="0" xfId="68" applyFill="1"/>
    <xf numFmtId="0" fontId="28" fillId="0" borderId="0" xfId="68" applyFont="1" applyFill="1"/>
    <xf numFmtId="0" fontId="29" fillId="0" borderId="0" xfId="68" applyFont="1" applyFill="1"/>
    <xf numFmtId="3" fontId="28" fillId="0" borderId="0" xfId="73" applyNumberFormat="1" applyFont="1" applyFill="1" applyAlignment="1">
      <alignment horizontal="right"/>
    </xf>
    <xf numFmtId="0" fontId="29" fillId="0" borderId="0" xfId="73" applyFont="1" applyFill="1"/>
    <xf numFmtId="3" fontId="28" fillId="0" borderId="0" xfId="68" applyNumberFormat="1" applyFont="1" applyFill="1"/>
    <xf numFmtId="0" fontId="31" fillId="0" borderId="0" xfId="73" applyFont="1" applyFill="1"/>
    <xf numFmtId="0" fontId="31" fillId="0" borderId="0" xfId="68" applyFont="1" applyFill="1"/>
    <xf numFmtId="0" fontId="34" fillId="0" borderId="0" xfId="68" applyFont="1"/>
    <xf numFmtId="10" fontId="25" fillId="0" borderId="1" xfId="2" applyNumberFormat="1" applyFont="1" applyBorder="1" applyAlignment="1">
      <alignment horizontal="center" vertical="center" wrapText="1"/>
    </xf>
    <xf numFmtId="0" fontId="8" fillId="0" borderId="0" xfId="68" applyFont="1"/>
    <xf numFmtId="10" fontId="8" fillId="0" borderId="0" xfId="68" applyNumberFormat="1" applyFont="1"/>
    <xf numFmtId="165" fontId="8" fillId="0" borderId="0" xfId="68" applyNumberFormat="1" applyFont="1"/>
    <xf numFmtId="10" fontId="28" fillId="0" borderId="0" xfId="69" applyNumberFormat="1" applyFont="1"/>
    <xf numFmtId="10" fontId="28" fillId="0" borderId="0" xfId="69" applyNumberFormat="1" applyFont="1" applyFill="1"/>
    <xf numFmtId="38" fontId="9" fillId="0" borderId="0" xfId="1" applyNumberFormat="1" applyFont="1"/>
    <xf numFmtId="10" fontId="9" fillId="0" borderId="0" xfId="2" applyNumberFormat="1" applyFont="1"/>
    <xf numFmtId="0" fontId="24" fillId="0" borderId="0" xfId="68" applyFont="1" applyAlignment="1">
      <alignment horizontal="center"/>
    </xf>
    <xf numFmtId="168" fontId="28" fillId="0" borderId="0" xfId="67" applyNumberFormat="1" applyFont="1"/>
    <xf numFmtId="0" fontId="29" fillId="0" borderId="0" xfId="68" applyFont="1" applyFill="1" applyAlignment="1">
      <alignment horizontal="center" wrapText="1"/>
    </xf>
    <xf numFmtId="1" fontId="12" fillId="0" borderId="0" xfId="79" applyNumberFormat="1" applyFont="1" applyAlignment="1">
      <alignment horizontal="center"/>
    </xf>
    <xf numFmtId="0" fontId="12" fillId="0" borderId="0" xfId="79" applyFont="1"/>
    <xf numFmtId="0" fontId="12" fillId="0" borderId="0" xfId="79" applyFont="1" applyAlignment="1">
      <alignment wrapText="1"/>
    </xf>
    <xf numFmtId="0" fontId="12" fillId="0" borderId="0" xfId="79" applyFont="1" applyFill="1"/>
    <xf numFmtId="169" fontId="9" fillId="0" borderId="0" xfId="68" applyNumberFormat="1"/>
    <xf numFmtId="0" fontId="24" fillId="0" borderId="0" xfId="68" applyFont="1" applyAlignment="1">
      <alignment horizontal="center"/>
    </xf>
    <xf numFmtId="164" fontId="32" fillId="0" borderId="0" xfId="0" applyFont="1" applyAlignment="1">
      <alignment horizontal="center"/>
    </xf>
    <xf numFmtId="0" fontId="24" fillId="0" borderId="0" xfId="68" applyFont="1" applyAlignment="1"/>
    <xf numFmtId="0" fontId="9" fillId="0" borderId="0" xfId="68" applyAlignment="1"/>
    <xf numFmtId="0" fontId="24" fillId="0" borderId="0" xfId="90" applyFont="1" applyFill="1"/>
    <xf numFmtId="10" fontId="28" fillId="0" borderId="0" xfId="91" applyNumberFormat="1" applyFont="1" applyFill="1"/>
    <xf numFmtId="167" fontId="0" fillId="0" borderId="0" xfId="72" applyNumberFormat="1" applyFont="1" applyFill="1"/>
    <xf numFmtId="10" fontId="0" fillId="0" borderId="0" xfId="69" applyNumberFormat="1" applyFont="1" applyFill="1"/>
    <xf numFmtId="38" fontId="9" fillId="0" borderId="0" xfId="68" applyNumberFormat="1" applyFill="1"/>
    <xf numFmtId="38" fontId="9" fillId="0" borderId="0" xfId="1" applyNumberFormat="1" applyFont="1" applyFill="1"/>
    <xf numFmtId="164" fontId="32" fillId="0" borderId="0" xfId="0" applyFont="1" applyFill="1"/>
    <xf numFmtId="164" fontId="0" fillId="0" borderId="0" xfId="0" applyFill="1"/>
    <xf numFmtId="38" fontId="23" fillId="0" borderId="0" xfId="63" applyNumberFormat="1" applyFill="1" applyBorder="1"/>
    <xf numFmtId="10" fontId="0" fillId="0" borderId="0" xfId="2" applyNumberFormat="1" applyFont="1" applyFill="1"/>
    <xf numFmtId="0" fontId="8" fillId="0" borderId="0" xfId="68" applyFont="1" applyFill="1"/>
    <xf numFmtId="10" fontId="8" fillId="0" borderId="0" xfId="68" applyNumberFormat="1" applyFont="1" applyFill="1"/>
    <xf numFmtId="171" fontId="9" fillId="0" borderId="0" xfId="68" applyNumberFormat="1"/>
    <xf numFmtId="9" fontId="24" fillId="0" borderId="0" xfId="90" applyNumberFormat="1" applyFont="1" applyFill="1"/>
    <xf numFmtId="0" fontId="24" fillId="0" borderId="0" xfId="68" applyFont="1" applyFill="1" applyAlignment="1">
      <alignment wrapText="1"/>
    </xf>
    <xf numFmtId="3" fontId="9" fillId="0" borderId="0" xfId="68" applyNumberFormat="1" applyFill="1"/>
    <xf numFmtId="10" fontId="9" fillId="0" borderId="0" xfId="2" applyNumberFormat="1" applyFont="1" applyFill="1"/>
    <xf numFmtId="0" fontId="9" fillId="0" borderId="0" xfId="68" applyFill="1" applyBorder="1"/>
    <xf numFmtId="0" fontId="34" fillId="0" borderId="0" xfId="68" applyFont="1" applyFill="1" applyBorder="1"/>
    <xf numFmtId="0" fontId="8" fillId="0" borderId="0" xfId="68" applyFont="1" applyFill="1" applyBorder="1"/>
    <xf numFmtId="10" fontId="28" fillId="0" borderId="0" xfId="69" applyNumberFormat="1" applyFont="1" applyFill="1" applyBorder="1"/>
    <xf numFmtId="10" fontId="8" fillId="0" borderId="0" xfId="68" applyNumberFormat="1" applyFont="1" applyFill="1" applyBorder="1"/>
    <xf numFmtId="10" fontId="0" fillId="0" borderId="0" xfId="69" applyNumberFormat="1" applyFont="1" applyFill="1" applyBorder="1"/>
    <xf numFmtId="0" fontId="25" fillId="0" borderId="0" xfId="68" applyFont="1" applyFill="1" applyBorder="1" applyAlignment="1">
      <alignment horizontal="center" vertical="center" wrapText="1"/>
    </xf>
    <xf numFmtId="0" fontId="25" fillId="0" borderId="0" xfId="68" applyFont="1" applyFill="1" applyBorder="1" applyAlignment="1">
      <alignment vertical="center" wrapText="1"/>
    </xf>
    <xf numFmtId="3" fontId="25" fillId="0" borderId="0" xfId="68" applyNumberFormat="1" applyFont="1" applyFill="1" applyBorder="1" applyAlignment="1">
      <alignment horizontal="center" vertical="center" wrapText="1"/>
    </xf>
    <xf numFmtId="10" fontId="25" fillId="0" borderId="0" xfId="2" applyNumberFormat="1" applyFont="1" applyFill="1" applyBorder="1" applyAlignment="1">
      <alignment horizontal="center" vertical="center" wrapText="1"/>
    </xf>
    <xf numFmtId="9" fontId="28" fillId="0" borderId="0" xfId="91" applyNumberFormat="1" applyFont="1" applyFill="1"/>
    <xf numFmtId="9" fontId="0" fillId="0" borderId="0" xfId="0" applyNumberFormat="1" applyFill="1"/>
    <xf numFmtId="164" fontId="36" fillId="0" borderId="0" xfId="0" applyFont="1" applyFill="1" applyAlignment="1"/>
    <xf numFmtId="164" fontId="0" fillId="0" borderId="0" xfId="0" applyFill="1" applyAlignment="1"/>
    <xf numFmtId="172" fontId="9" fillId="0" borderId="0" xfId="68" applyNumberFormat="1"/>
    <xf numFmtId="38" fontId="0" fillId="0" borderId="0" xfId="1" applyNumberFormat="1" applyFont="1" applyFill="1"/>
    <xf numFmtId="166" fontId="23" fillId="0" borderId="0" xfId="63" applyNumberFormat="1" applyFill="1" applyBorder="1" applyAlignment="1">
      <alignment horizontal="right"/>
    </xf>
    <xf numFmtId="164" fontId="38" fillId="0" borderId="0" xfId="0" applyFont="1"/>
    <xf numFmtId="38" fontId="25" fillId="0" borderId="1" xfId="1" applyNumberFormat="1" applyFont="1" applyBorder="1" applyAlignment="1">
      <alignment horizontal="center" vertical="center" wrapText="1"/>
    </xf>
    <xf numFmtId="9" fontId="9" fillId="0" borderId="0" xfId="2" applyFont="1"/>
    <xf numFmtId="164" fontId="35" fillId="0" borderId="12" xfId="3" applyFont="1" applyFill="1" applyBorder="1" applyAlignment="1">
      <alignment horizontal="center" wrapText="1"/>
    </xf>
    <xf numFmtId="40" fontId="0" fillId="0" borderId="0" xfId="1" applyFont="1" applyFill="1"/>
    <xf numFmtId="170" fontId="0" fillId="0" borderId="0" xfId="2" applyNumberFormat="1" applyFont="1" applyFill="1"/>
    <xf numFmtId="0" fontId="23" fillId="0" borderId="0" xfId="63" applyNumberFormat="1" applyFill="1" applyBorder="1"/>
    <xf numFmtId="10" fontId="9" fillId="0" borderId="0" xfId="68" applyNumberFormat="1" applyFill="1"/>
    <xf numFmtId="0" fontId="7" fillId="0" borderId="0" xfId="68" applyFont="1" applyFill="1"/>
    <xf numFmtId="10" fontId="0" fillId="0" borderId="0" xfId="69" applyNumberFormat="1" applyFont="1" applyFill="1" applyAlignment="1">
      <alignment horizontal="center"/>
    </xf>
    <xf numFmtId="10" fontId="1" fillId="0" borderId="0" xfId="68" applyNumberFormat="1" applyFont="1" applyFill="1"/>
    <xf numFmtId="0" fontId="5" fillId="0" borderId="0" xfId="68" applyFont="1" applyFill="1"/>
    <xf numFmtId="10" fontId="2" fillId="0" borderId="0" xfId="68" applyNumberFormat="1" applyFont="1" applyFill="1"/>
    <xf numFmtId="3" fontId="28" fillId="0" borderId="0" xfId="68" applyNumberFormat="1" applyFont="1" applyFill="1" applyAlignment="1">
      <alignment horizontal="center"/>
    </xf>
    <xf numFmtId="0" fontId="24" fillId="0" borderId="0" xfId="68" applyFont="1" applyFill="1" applyAlignment="1">
      <alignment horizontal="center"/>
    </xf>
    <xf numFmtId="0" fontId="24" fillId="0" borderId="0" xfId="68" applyFont="1" applyFill="1" applyAlignment="1">
      <alignment horizontal="center" wrapText="1"/>
    </xf>
    <xf numFmtId="38" fontId="28" fillId="0" borderId="0" xfId="73" applyNumberFormat="1" applyFont="1" applyFill="1" applyAlignment="1">
      <alignment horizontal="right"/>
    </xf>
    <xf numFmtId="0" fontId="1" fillId="0" borderId="0" xfId="68" applyFont="1" applyFill="1"/>
    <xf numFmtId="0" fontId="24" fillId="0" borderId="0" xfId="68" applyFont="1" applyAlignment="1">
      <alignment horizontal="center"/>
    </xf>
    <xf numFmtId="0" fontId="24" fillId="0" borderId="0" xfId="68" applyFont="1" applyAlignment="1"/>
    <xf numFmtId="164" fontId="32" fillId="0" borderId="0" xfId="0" applyFont="1" applyAlignment="1">
      <alignment horizontal="center"/>
    </xf>
    <xf numFmtId="164" fontId="32" fillId="0" borderId="0" xfId="0" applyFont="1" applyAlignment="1"/>
    <xf numFmtId="0" fontId="24" fillId="0" borderId="0" xfId="68" applyFont="1" applyFill="1" applyAlignment="1">
      <alignment horizontal="center"/>
    </xf>
    <xf numFmtId="0" fontId="24" fillId="0" borderId="0" xfId="68" applyFont="1" applyFill="1" applyAlignment="1"/>
    <xf numFmtId="164" fontId="32" fillId="0" borderId="0" xfId="0" applyFont="1" applyFill="1" applyAlignment="1">
      <alignment horizontal="center"/>
    </xf>
    <xf numFmtId="164" fontId="32" fillId="0" borderId="0" xfId="0" applyFont="1" applyFill="1" applyAlignment="1"/>
  </cellXfs>
  <cellStyles count="96">
    <cellStyle name="ariel" xfId="4" xr:uid="{00000000-0005-0000-0000-000000000000}"/>
    <cellStyle name="Comma" xfId="1" builtinId="3"/>
    <cellStyle name="Comma 2" xfId="5" xr:uid="{00000000-0005-0000-0000-000002000000}"/>
    <cellStyle name="Comma 2 2" xfId="6" xr:uid="{00000000-0005-0000-0000-000003000000}"/>
    <cellStyle name="Comma 2 3" xfId="62" xr:uid="{00000000-0005-0000-0000-000004000000}"/>
    <cellStyle name="Comma 3" xfId="7" xr:uid="{00000000-0005-0000-0000-000005000000}"/>
    <cellStyle name="Comma 3 2" xfId="8" xr:uid="{00000000-0005-0000-0000-000006000000}"/>
    <cellStyle name="Comma 3 3" xfId="75" xr:uid="{00000000-0005-0000-0000-000007000000}"/>
    <cellStyle name="Comma 4" xfId="9" xr:uid="{00000000-0005-0000-0000-000008000000}"/>
    <cellStyle name="Comma 5" xfId="10" xr:uid="{00000000-0005-0000-0000-000009000000}"/>
    <cellStyle name="Comma 6" xfId="65" xr:uid="{00000000-0005-0000-0000-00000A000000}"/>
    <cellStyle name="Comma 6 2" xfId="88" xr:uid="{00000000-0005-0000-0000-00000B000000}"/>
    <cellStyle name="Comma 7" xfId="72" xr:uid="{00000000-0005-0000-0000-00000C000000}"/>
    <cellStyle name="Comma 7 2" xfId="92" xr:uid="{00000000-0005-0000-0000-00000D000000}"/>
    <cellStyle name="Currency" xfId="67" builtinId="4"/>
    <cellStyle name="Currency 12" xfId="74" xr:uid="{00000000-0005-0000-0000-00000F000000}"/>
    <cellStyle name="Currency 2" xfId="11" xr:uid="{00000000-0005-0000-0000-000010000000}"/>
    <cellStyle name="Currency 3" xfId="12" xr:uid="{00000000-0005-0000-0000-000011000000}"/>
    <cellStyle name="Currency 4" xfId="13" xr:uid="{00000000-0005-0000-0000-000012000000}"/>
    <cellStyle name="Currency 5" xfId="66" xr:uid="{00000000-0005-0000-0000-000013000000}"/>
    <cellStyle name="Currency 5 2" xfId="89" xr:uid="{00000000-0005-0000-0000-000014000000}"/>
    <cellStyle name="Normal" xfId="0" builtinId="0"/>
    <cellStyle name="Normal 10" xfId="14" xr:uid="{00000000-0005-0000-0000-000016000000}"/>
    <cellStyle name="Normal 10 2" xfId="70" xr:uid="{00000000-0005-0000-0000-000017000000}"/>
    <cellStyle name="Normal 11" xfId="63" xr:uid="{00000000-0005-0000-0000-000018000000}"/>
    <cellStyle name="Normal 11 2" xfId="86" xr:uid="{00000000-0005-0000-0000-000019000000}"/>
    <cellStyle name="Normal 12" xfId="68" xr:uid="{00000000-0005-0000-0000-00001A000000}"/>
    <cellStyle name="Normal 12 2" xfId="76" xr:uid="{00000000-0005-0000-0000-00001B000000}"/>
    <cellStyle name="Normal 12 2 2" xfId="93" xr:uid="{00000000-0005-0000-0000-00001C000000}"/>
    <cellStyle name="Normal 12 3" xfId="90" xr:uid="{00000000-0005-0000-0000-00001D000000}"/>
    <cellStyle name="Normal 13" xfId="77" xr:uid="{00000000-0005-0000-0000-00001E000000}"/>
    <cellStyle name="Normal 13 2" xfId="94" xr:uid="{00000000-0005-0000-0000-00001F000000}"/>
    <cellStyle name="Normal 2" xfId="15" xr:uid="{00000000-0005-0000-0000-000020000000}"/>
    <cellStyle name="Normal 2 2" xfId="16" xr:uid="{00000000-0005-0000-0000-000021000000}"/>
    <cellStyle name="Normal 2 3" xfId="17" xr:uid="{00000000-0005-0000-0000-000022000000}"/>
    <cellStyle name="Normal 2 3 2" xfId="73" xr:uid="{00000000-0005-0000-0000-000023000000}"/>
    <cellStyle name="Normal 2_Book1" xfId="18" xr:uid="{00000000-0005-0000-0000-000024000000}"/>
    <cellStyle name="Normal 3" xfId="19" xr:uid="{00000000-0005-0000-0000-000025000000}"/>
    <cellStyle name="Normal 3 2" xfId="20" xr:uid="{00000000-0005-0000-0000-000026000000}"/>
    <cellStyle name="Normal 4" xfId="21" xr:uid="{00000000-0005-0000-0000-000027000000}"/>
    <cellStyle name="Normal 5" xfId="22" xr:uid="{00000000-0005-0000-0000-000028000000}"/>
    <cellStyle name="Normal 6" xfId="23" xr:uid="{00000000-0005-0000-0000-000029000000}"/>
    <cellStyle name="Normal 6 2" xfId="24" xr:uid="{00000000-0005-0000-0000-00002A000000}"/>
    <cellStyle name="Normal 7" xfId="25" xr:uid="{00000000-0005-0000-0000-00002B000000}"/>
    <cellStyle name="Normal 7 2" xfId="26" xr:uid="{00000000-0005-0000-0000-00002C000000}"/>
    <cellStyle name="Normal 8" xfId="27" xr:uid="{00000000-0005-0000-0000-00002D000000}"/>
    <cellStyle name="Normal 8 2" xfId="80" xr:uid="{00000000-0005-0000-0000-00002E000000}"/>
    <cellStyle name="Normal 8 2 2" xfId="71" xr:uid="{00000000-0005-0000-0000-00002F000000}"/>
    <cellStyle name="Normal 9" xfId="28" xr:uid="{00000000-0005-0000-0000-000030000000}"/>
    <cellStyle name="Normal_Lighting Model GRC Phase 2 Workpapers" xfId="79" xr:uid="{00000000-0005-0000-0000-000031000000}"/>
    <cellStyle name="Normal_RD-WP(Combined 1-01-01 filing)" xfId="3" xr:uid="{00000000-0005-0000-0000-000032000000}"/>
    <cellStyle name="Percent" xfId="2" builtinId="5"/>
    <cellStyle name="Percent 10" xfId="78" xr:uid="{00000000-0005-0000-0000-000034000000}"/>
    <cellStyle name="Percent 10 2" xfId="95" xr:uid="{00000000-0005-0000-0000-000035000000}"/>
    <cellStyle name="Percent 2" xfId="29" xr:uid="{00000000-0005-0000-0000-000036000000}"/>
    <cellStyle name="Percent 2 2" xfId="30" xr:uid="{00000000-0005-0000-0000-000037000000}"/>
    <cellStyle name="Percent 2 3" xfId="61" xr:uid="{00000000-0005-0000-0000-000038000000}"/>
    <cellStyle name="Percent 3" xfId="31" xr:uid="{00000000-0005-0000-0000-000039000000}"/>
    <cellStyle name="Percent 3 2" xfId="32" xr:uid="{00000000-0005-0000-0000-00003A000000}"/>
    <cellStyle name="Percent 4" xfId="33" xr:uid="{00000000-0005-0000-0000-00003B000000}"/>
    <cellStyle name="Percent 5" xfId="34" xr:uid="{00000000-0005-0000-0000-00003C000000}"/>
    <cellStyle name="Percent 6" xfId="35" xr:uid="{00000000-0005-0000-0000-00003D000000}"/>
    <cellStyle name="Percent 6 2" xfId="36" xr:uid="{00000000-0005-0000-0000-00003E000000}"/>
    <cellStyle name="Percent 6 2 2" xfId="37" xr:uid="{00000000-0005-0000-0000-00003F000000}"/>
    <cellStyle name="Percent 6 2 2 2" xfId="83" xr:uid="{00000000-0005-0000-0000-000040000000}"/>
    <cellStyle name="Percent 6 2 3" xfId="82" xr:uid="{00000000-0005-0000-0000-000041000000}"/>
    <cellStyle name="Percent 6 3" xfId="38" xr:uid="{00000000-0005-0000-0000-000042000000}"/>
    <cellStyle name="Percent 6 3 2" xfId="84" xr:uid="{00000000-0005-0000-0000-000043000000}"/>
    <cellStyle name="Percent 6 4" xfId="81" xr:uid="{00000000-0005-0000-0000-000044000000}"/>
    <cellStyle name="Percent 7" xfId="39" xr:uid="{00000000-0005-0000-0000-000045000000}"/>
    <cellStyle name="Percent 7 2" xfId="40" xr:uid="{00000000-0005-0000-0000-000046000000}"/>
    <cellStyle name="Percent 7 3" xfId="85" xr:uid="{00000000-0005-0000-0000-000047000000}"/>
    <cellStyle name="Percent 8" xfId="64" xr:uid="{00000000-0005-0000-0000-000048000000}"/>
    <cellStyle name="Percent 8 2" xfId="87" xr:uid="{00000000-0005-0000-0000-000049000000}"/>
    <cellStyle name="Percent 9" xfId="69" xr:uid="{00000000-0005-0000-0000-00004A000000}"/>
    <cellStyle name="Percent 9 2" xfId="91" xr:uid="{00000000-0005-0000-0000-00004B000000}"/>
    <cellStyle name="Style 168" xfId="41" xr:uid="{00000000-0005-0000-0000-00004C000000}"/>
    <cellStyle name="Style 21" xfId="42" xr:uid="{00000000-0005-0000-0000-00004D000000}"/>
    <cellStyle name="Style 22" xfId="43" xr:uid="{00000000-0005-0000-0000-00004E000000}"/>
    <cellStyle name="Style 23" xfId="44" xr:uid="{00000000-0005-0000-0000-00004F000000}"/>
    <cellStyle name="Style 24" xfId="45" xr:uid="{00000000-0005-0000-0000-000050000000}"/>
    <cellStyle name="Style 25" xfId="46" xr:uid="{00000000-0005-0000-0000-000051000000}"/>
    <cellStyle name="Style 26" xfId="47" xr:uid="{00000000-0005-0000-0000-000052000000}"/>
    <cellStyle name="Style 27" xfId="48" xr:uid="{00000000-0005-0000-0000-000053000000}"/>
    <cellStyle name="Style 28" xfId="49" xr:uid="{00000000-0005-0000-0000-000054000000}"/>
    <cellStyle name="Style 29" xfId="50" xr:uid="{00000000-0005-0000-0000-000055000000}"/>
    <cellStyle name="Style 30" xfId="51" xr:uid="{00000000-0005-0000-0000-000056000000}"/>
    <cellStyle name="Style 31" xfId="52" xr:uid="{00000000-0005-0000-0000-000057000000}"/>
    <cellStyle name="Style 32" xfId="53" xr:uid="{00000000-0005-0000-0000-000058000000}"/>
    <cellStyle name="Style 33" xfId="54" xr:uid="{00000000-0005-0000-0000-000059000000}"/>
    <cellStyle name="Style 34" xfId="55" xr:uid="{00000000-0005-0000-0000-00005A000000}"/>
    <cellStyle name="Style 35" xfId="56" xr:uid="{00000000-0005-0000-0000-00005B000000}"/>
    <cellStyle name="Style 36" xfId="57" xr:uid="{00000000-0005-0000-0000-00005C000000}"/>
    <cellStyle name="Style 37" xfId="58" xr:uid="{00000000-0005-0000-0000-00005D000000}"/>
    <cellStyle name="Style 38" xfId="59" xr:uid="{00000000-0005-0000-0000-00005E000000}"/>
    <cellStyle name="Style 82" xfId="60" xr:uid="{00000000-0005-0000-0000-00005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500529</xdr:colOff>
      <xdr:row>16</xdr:row>
      <xdr:rowOff>59764</xdr:rowOff>
    </xdr:from>
    <xdr:to>
      <xdr:col>4</xdr:col>
      <xdr:colOff>1553882</xdr:colOff>
      <xdr:row>22</xdr:row>
      <xdr:rowOff>112059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4E22C4-52ED-4A5B-AABB-C0621B7D2B3C}"/>
            </a:ext>
          </a:extLst>
        </xdr:cNvPr>
        <xdr:cNvSpPr txBox="1"/>
      </xdr:nvSpPr>
      <xdr:spPr>
        <a:xfrm>
          <a:off x="500529" y="2599764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</a:t>
          </a:r>
          <a:r>
            <a:rPr lang="en-US" sz="1100"/>
            <a:t>misc</a:t>
          </a:r>
          <a:r>
            <a:rPr lang="en-US" sz="1100" baseline="0"/>
            <a:t> program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427318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750D346-B95F-426C-8FCA-02A802D330B7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Food Bank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22413</xdr:colOff>
      <xdr:row>16</xdr:row>
      <xdr:rowOff>22412</xdr:rowOff>
    </xdr:from>
    <xdr:to>
      <xdr:col>4</xdr:col>
      <xdr:colOff>1292413</xdr:colOff>
      <xdr:row>20</xdr:row>
      <xdr:rowOff>89648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09AF616-51FF-4A46-974C-515C0250744F}"/>
            </a:ext>
          </a:extLst>
        </xdr:cNvPr>
        <xdr:cNvSpPr txBox="1"/>
      </xdr:nvSpPr>
      <xdr:spPr>
        <a:xfrm>
          <a:off x="635001" y="3010647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LGC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4</xdr:col>
      <xdr:colOff>1150471</xdr:colOff>
      <xdr:row>19</xdr:row>
      <xdr:rowOff>67237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72C7CAC-AAD5-48C8-82B7-643700D3908C}"/>
            </a:ext>
          </a:extLst>
        </xdr:cNvPr>
        <xdr:cNvSpPr txBox="1"/>
      </xdr:nvSpPr>
      <xdr:spPr>
        <a:xfrm>
          <a:off x="530412" y="2801471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EE and EPEEBA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5</xdr:col>
      <xdr:colOff>425824</xdr:colOff>
      <xdr:row>19</xdr:row>
      <xdr:rowOff>67237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61521FD-15C8-42CC-B93F-C583BABFCF67}"/>
            </a:ext>
          </a:extLst>
        </xdr:cNvPr>
        <xdr:cNvSpPr txBox="1"/>
      </xdr:nvSpPr>
      <xdr:spPr>
        <a:xfrm>
          <a:off x="530412" y="2801471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CARE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427318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58F89A3-DF7D-45A4-8C6F-10AEFB851B28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FERA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37353</xdr:colOff>
      <xdr:row>14</xdr:row>
      <xdr:rowOff>14941</xdr:rowOff>
    </xdr:from>
    <xdr:to>
      <xdr:col>5</xdr:col>
      <xdr:colOff>455707</xdr:colOff>
      <xdr:row>18</xdr:row>
      <xdr:rowOff>82177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771F4D-CA51-418E-B88F-2F289A16B3F8}"/>
            </a:ext>
          </a:extLst>
        </xdr:cNvPr>
        <xdr:cNvSpPr txBox="1"/>
      </xdr:nvSpPr>
      <xdr:spPr>
        <a:xfrm>
          <a:off x="567765" y="2629647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ESAP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530411</xdr:colOff>
      <xdr:row>13</xdr:row>
      <xdr:rowOff>171823</xdr:rowOff>
    </xdr:from>
    <xdr:to>
      <xdr:col>5</xdr:col>
      <xdr:colOff>388470</xdr:colOff>
      <xdr:row>18</xdr:row>
      <xdr:rowOff>52294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4BD000E-82BB-41DE-A9E1-7F3BB71BF054}"/>
            </a:ext>
          </a:extLst>
        </xdr:cNvPr>
        <xdr:cNvSpPr txBox="1"/>
      </xdr:nvSpPr>
      <xdr:spPr>
        <a:xfrm>
          <a:off x="530411" y="2599764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EPIC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344768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B8C825C-34AF-4E1D-A7A5-648D4CE412A6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SGIP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420968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E948D6-2B8F-4EC2-A669-420CCBECA409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CSI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F51"/>
  <sheetViews>
    <sheetView zoomScale="85" zoomScaleNormal="85" workbookViewId="0">
      <selection activeCell="A2" sqref="A2:C2"/>
    </sheetView>
  </sheetViews>
  <sheetFormatPr defaultRowHeight="10" x14ac:dyDescent="0.2"/>
  <cols>
    <col min="1" max="1" width="10.88671875" customWidth="1"/>
    <col min="2" max="2" width="45.88671875" customWidth="1"/>
    <col min="3" max="3" width="91.6640625" bestFit="1" customWidth="1"/>
  </cols>
  <sheetData>
    <row r="1" spans="1:6" ht="14.5" x14ac:dyDescent="0.35">
      <c r="A1" s="100" t="s">
        <v>54</v>
      </c>
      <c r="B1" s="100"/>
      <c r="C1" s="100"/>
      <c r="D1" s="46"/>
      <c r="E1" s="46"/>
      <c r="F1" s="46"/>
    </row>
    <row r="2" spans="1:6" ht="14.5" x14ac:dyDescent="0.35">
      <c r="A2" s="100" t="s">
        <v>111</v>
      </c>
      <c r="B2" s="100"/>
      <c r="C2" s="100"/>
      <c r="D2" s="46"/>
      <c r="E2" s="46"/>
      <c r="F2" s="46"/>
    </row>
    <row r="3" spans="1:6" ht="14.5" x14ac:dyDescent="0.35">
      <c r="A3" s="100" t="s">
        <v>80</v>
      </c>
      <c r="B3" s="100"/>
      <c r="C3" s="100"/>
      <c r="D3" s="46"/>
      <c r="E3" s="46"/>
      <c r="F3" s="46"/>
    </row>
    <row r="4" spans="1:6" ht="14.5" x14ac:dyDescent="0.35">
      <c r="A4" s="44"/>
      <c r="B4" s="44"/>
      <c r="C4" s="44"/>
      <c r="D4" s="46"/>
      <c r="E4" s="46"/>
      <c r="F4" s="46"/>
    </row>
    <row r="5" spans="1:6" ht="13" x14ac:dyDescent="0.3">
      <c r="A5" s="39">
        <v>1</v>
      </c>
      <c r="B5" s="40" t="s">
        <v>55</v>
      </c>
      <c r="C5" s="41" t="s">
        <v>56</v>
      </c>
    </row>
    <row r="6" spans="1:6" ht="13" x14ac:dyDescent="0.3">
      <c r="A6" s="39"/>
      <c r="B6" s="40"/>
      <c r="C6" s="41"/>
    </row>
    <row r="7" spans="1:6" ht="13" x14ac:dyDescent="0.3">
      <c r="A7" s="39">
        <f>A5+1</f>
        <v>2</v>
      </c>
      <c r="B7" s="42" t="s">
        <v>59</v>
      </c>
      <c r="C7" s="41" t="s">
        <v>68</v>
      </c>
    </row>
    <row r="8" spans="1:6" ht="13" x14ac:dyDescent="0.3">
      <c r="A8" s="39"/>
      <c r="B8" s="42"/>
      <c r="C8" s="41"/>
    </row>
    <row r="9" spans="1:6" ht="13" x14ac:dyDescent="0.3">
      <c r="A9" s="39">
        <f>A7+1</f>
        <v>3</v>
      </c>
      <c r="B9" s="42" t="s">
        <v>60</v>
      </c>
      <c r="C9" s="41" t="s">
        <v>69</v>
      </c>
    </row>
    <row r="10" spans="1:6" ht="13" x14ac:dyDescent="0.3">
      <c r="A10" s="39"/>
      <c r="B10" s="42"/>
      <c r="C10" s="41"/>
    </row>
    <row r="11" spans="1:6" ht="13" x14ac:dyDescent="0.3">
      <c r="A11" s="39">
        <f>A9+1</f>
        <v>4</v>
      </c>
      <c r="B11" s="42" t="s">
        <v>61</v>
      </c>
      <c r="C11" s="41" t="s">
        <v>106</v>
      </c>
    </row>
    <row r="12" spans="1:6" ht="13" x14ac:dyDescent="0.3">
      <c r="A12" s="39"/>
      <c r="B12" s="42"/>
      <c r="C12" s="41"/>
    </row>
    <row r="13" spans="1:6" ht="13" x14ac:dyDescent="0.3">
      <c r="A13" s="39">
        <f>A11+1</f>
        <v>5</v>
      </c>
      <c r="B13" s="42" t="s">
        <v>1</v>
      </c>
      <c r="C13" s="41" t="s">
        <v>105</v>
      </c>
    </row>
    <row r="14" spans="1:6" ht="13" x14ac:dyDescent="0.3">
      <c r="A14" s="39"/>
      <c r="B14" s="42"/>
      <c r="C14" s="41"/>
    </row>
    <row r="15" spans="1:6" ht="13" x14ac:dyDescent="0.3">
      <c r="A15" s="39">
        <f>A13+1</f>
        <v>6</v>
      </c>
      <c r="B15" s="42" t="s">
        <v>58</v>
      </c>
      <c r="C15" s="41" t="s">
        <v>70</v>
      </c>
    </row>
    <row r="16" spans="1:6" ht="13" x14ac:dyDescent="0.3">
      <c r="A16" s="39"/>
      <c r="B16" s="42"/>
      <c r="C16" s="41"/>
    </row>
    <row r="17" spans="1:3" ht="13" x14ac:dyDescent="0.3">
      <c r="A17" s="39">
        <f>A15+1</f>
        <v>7</v>
      </c>
      <c r="B17" s="42" t="s">
        <v>0</v>
      </c>
      <c r="C17" s="40" t="s">
        <v>76</v>
      </c>
    </row>
    <row r="18" spans="1:3" ht="13" x14ac:dyDescent="0.3">
      <c r="A18" s="39"/>
      <c r="B18" s="42"/>
      <c r="C18" s="41"/>
    </row>
    <row r="19" spans="1:3" ht="13" x14ac:dyDescent="0.3">
      <c r="A19" s="39">
        <f>A17+1</f>
        <v>8</v>
      </c>
      <c r="B19" s="42" t="s">
        <v>57</v>
      </c>
      <c r="C19" s="41" t="s">
        <v>71</v>
      </c>
    </row>
    <row r="20" spans="1:3" ht="13" x14ac:dyDescent="0.3">
      <c r="A20" s="39"/>
      <c r="B20" s="42"/>
      <c r="C20" s="41"/>
    </row>
    <row r="21" spans="1:3" ht="13" x14ac:dyDescent="0.3">
      <c r="A21" s="39">
        <f>A19+1</f>
        <v>9</v>
      </c>
      <c r="B21" s="42" t="s">
        <v>63</v>
      </c>
      <c r="C21" s="41" t="s">
        <v>72</v>
      </c>
    </row>
    <row r="22" spans="1:3" ht="13" x14ac:dyDescent="0.3">
      <c r="A22" s="39"/>
      <c r="B22" s="42"/>
      <c r="C22" s="41"/>
    </row>
    <row r="23" spans="1:3" ht="13" x14ac:dyDescent="0.3">
      <c r="A23" s="39">
        <f>A21+1</f>
        <v>10</v>
      </c>
      <c r="B23" s="42" t="s">
        <v>64</v>
      </c>
      <c r="C23" s="41" t="s">
        <v>74</v>
      </c>
    </row>
    <row r="24" spans="1:3" ht="13" x14ac:dyDescent="0.3">
      <c r="A24" s="39"/>
      <c r="B24" s="42"/>
      <c r="C24" s="41"/>
    </row>
    <row r="25" spans="1:3" ht="13" x14ac:dyDescent="0.3">
      <c r="A25" s="39">
        <f>A23+1</f>
        <v>11</v>
      </c>
      <c r="B25" s="42" t="s">
        <v>99</v>
      </c>
      <c r="C25" s="41" t="s">
        <v>100</v>
      </c>
    </row>
    <row r="26" spans="1:3" ht="13" x14ac:dyDescent="0.3">
      <c r="A26" s="39"/>
      <c r="B26" s="42"/>
      <c r="C26" s="41"/>
    </row>
    <row r="27" spans="1:3" ht="13" x14ac:dyDescent="0.3">
      <c r="A27" s="39">
        <f>A25+1</f>
        <v>12</v>
      </c>
      <c r="B27" s="42" t="s">
        <v>65</v>
      </c>
      <c r="C27" s="41" t="s">
        <v>75</v>
      </c>
    </row>
    <row r="28" spans="1:3" ht="13" x14ac:dyDescent="0.3">
      <c r="A28" s="39"/>
      <c r="B28" s="42"/>
      <c r="C28" s="41"/>
    </row>
    <row r="29" spans="1:3" ht="13" x14ac:dyDescent="0.3">
      <c r="A29" s="39">
        <f>A27+1</f>
        <v>13</v>
      </c>
      <c r="B29" s="42" t="s">
        <v>62</v>
      </c>
      <c r="C29" s="40" t="s">
        <v>73</v>
      </c>
    </row>
    <row r="30" spans="1:3" ht="13" x14ac:dyDescent="0.3">
      <c r="A30" s="39"/>
      <c r="B30" s="42"/>
      <c r="C30" s="41"/>
    </row>
    <row r="31" spans="1:3" ht="13" x14ac:dyDescent="0.3">
      <c r="A31" s="39">
        <f>A29+1</f>
        <v>14</v>
      </c>
      <c r="B31" s="42" t="s">
        <v>82</v>
      </c>
      <c r="C31" s="41" t="s">
        <v>83</v>
      </c>
    </row>
    <row r="32" spans="1:3" ht="13" x14ac:dyDescent="0.3">
      <c r="A32" s="39"/>
      <c r="B32" s="42"/>
      <c r="C32" s="41"/>
    </row>
    <row r="33" spans="1:3" ht="13" x14ac:dyDescent="0.3">
      <c r="A33" s="39">
        <f>A31+1</f>
        <v>15</v>
      </c>
      <c r="B33" s="42" t="s">
        <v>101</v>
      </c>
      <c r="C33" s="41" t="s">
        <v>102</v>
      </c>
    </row>
    <row r="34" spans="1:3" ht="13" x14ac:dyDescent="0.3">
      <c r="A34" s="39"/>
      <c r="B34" s="42"/>
      <c r="C34" s="41"/>
    </row>
    <row r="35" spans="1:3" ht="13" x14ac:dyDescent="0.3">
      <c r="A35" s="39">
        <f>A33+1</f>
        <v>16</v>
      </c>
      <c r="B35" s="42" t="s">
        <v>103</v>
      </c>
      <c r="C35" s="41" t="s">
        <v>104</v>
      </c>
    </row>
    <row r="36" spans="1:3" ht="13" x14ac:dyDescent="0.3">
      <c r="A36" s="39"/>
      <c r="B36" s="42"/>
      <c r="C36" s="41"/>
    </row>
    <row r="37" spans="1:3" ht="13" x14ac:dyDescent="0.3">
      <c r="A37" s="39">
        <f>A35+1</f>
        <v>17</v>
      </c>
      <c r="B37" s="42" t="s">
        <v>66</v>
      </c>
      <c r="C37" s="41" t="s">
        <v>78</v>
      </c>
    </row>
    <row r="38" spans="1:3" ht="13" x14ac:dyDescent="0.3">
      <c r="A38" s="39"/>
      <c r="B38" s="42"/>
      <c r="C38" s="41"/>
    </row>
    <row r="39" spans="1:3" ht="13" x14ac:dyDescent="0.3">
      <c r="A39" s="39">
        <f>A37+1</f>
        <v>18</v>
      </c>
      <c r="B39" s="42" t="s">
        <v>67</v>
      </c>
      <c r="C39" s="40" t="s">
        <v>77</v>
      </c>
    </row>
    <row r="40" spans="1:3" ht="13" x14ac:dyDescent="0.3">
      <c r="A40" s="39"/>
      <c r="B40" s="42"/>
      <c r="C40" s="41"/>
    </row>
    <row r="41" spans="1:3" ht="13" x14ac:dyDescent="0.3">
      <c r="A41" s="39"/>
      <c r="B41" s="42"/>
      <c r="C41" s="41"/>
    </row>
    <row r="42" spans="1:3" ht="13" x14ac:dyDescent="0.3">
      <c r="A42" s="39"/>
      <c r="B42" s="42"/>
      <c r="C42" s="41"/>
    </row>
    <row r="43" spans="1:3" ht="13" x14ac:dyDescent="0.3">
      <c r="A43" s="39"/>
      <c r="B43" s="42"/>
      <c r="C43" s="41"/>
    </row>
    <row r="44" spans="1:3" ht="13" x14ac:dyDescent="0.3">
      <c r="A44" s="39"/>
      <c r="B44" s="42"/>
      <c r="C44" s="41"/>
    </row>
    <row r="45" spans="1:3" ht="13" x14ac:dyDescent="0.3">
      <c r="A45" s="39"/>
      <c r="B45" s="42"/>
      <c r="C45" s="41"/>
    </row>
    <row r="46" spans="1:3" ht="13" x14ac:dyDescent="0.3">
      <c r="A46" s="39"/>
      <c r="B46" s="42"/>
      <c r="C46" s="41"/>
    </row>
    <row r="47" spans="1:3" ht="13" x14ac:dyDescent="0.3">
      <c r="A47" s="39"/>
      <c r="B47" s="42"/>
      <c r="C47" s="40"/>
    </row>
    <row r="48" spans="1:3" ht="13" x14ac:dyDescent="0.3">
      <c r="A48" s="39"/>
      <c r="B48" s="42"/>
      <c r="C48" s="41"/>
    </row>
    <row r="49" spans="1:3" ht="13" x14ac:dyDescent="0.3">
      <c r="A49" s="39"/>
      <c r="B49" s="42"/>
      <c r="C49" s="41"/>
    </row>
    <row r="50" spans="1:3" ht="13" x14ac:dyDescent="0.3">
      <c r="A50" s="39"/>
      <c r="B50" s="42"/>
      <c r="C50" s="41"/>
    </row>
    <row r="51" spans="1:3" ht="13" x14ac:dyDescent="0.3">
      <c r="A51" s="39"/>
      <c r="B51" s="42"/>
      <c r="C51" s="40"/>
    </row>
  </sheetData>
  <mergeCells count="3"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F14"/>
  <sheetViews>
    <sheetView zoomScale="85" zoomScaleNormal="85" workbookViewId="0">
      <selection activeCell="E11" sqref="E11"/>
    </sheetView>
  </sheetViews>
  <sheetFormatPr defaultColWidth="9.33203125" defaultRowHeight="14.5" x14ac:dyDescent="0.35"/>
  <cols>
    <col min="1" max="1" width="9.33203125" style="1"/>
    <col min="2" max="2" width="15" style="1" customWidth="1"/>
    <col min="3" max="3" width="13" style="1" bestFit="1" customWidth="1"/>
    <col min="4" max="4" width="14.10937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29"/>
      <c r="C6" s="2" t="s">
        <v>7</v>
      </c>
      <c r="D6" s="2" t="s">
        <v>8</v>
      </c>
      <c r="E6" s="2" t="s">
        <v>9</v>
      </c>
    </row>
    <row r="7" spans="1:6" x14ac:dyDescent="0.35">
      <c r="B7" s="2" t="s">
        <v>2</v>
      </c>
      <c r="C7" s="32">
        <v>0.32469012958724708</v>
      </c>
      <c r="D7" s="33">
        <f>'Sales %'!H6</f>
        <v>0.31695711820870948</v>
      </c>
      <c r="E7" s="30">
        <f>(D7-C7)/C7</f>
        <v>-2.3816589030186932E-2</v>
      </c>
    </row>
    <row r="8" spans="1:6" x14ac:dyDescent="0.35">
      <c r="B8" s="2" t="s">
        <v>10</v>
      </c>
      <c r="C8" s="32">
        <v>0.11911757788890198</v>
      </c>
      <c r="D8" s="33">
        <f>'Sales %'!H7</f>
        <v>0.12360904867606727</v>
      </c>
      <c r="E8" s="30">
        <f>(D8-C8)/C8</f>
        <v>3.7706196404987118E-2</v>
      </c>
    </row>
    <row r="9" spans="1:6" x14ac:dyDescent="0.35">
      <c r="B9" s="2" t="s">
        <v>11</v>
      </c>
      <c r="C9" s="32">
        <v>0.5397275811009683</v>
      </c>
      <c r="D9" s="33">
        <f>'Sales %'!H8</f>
        <v>0.54088534529479504</v>
      </c>
      <c r="E9" s="30">
        <f>(D9-C9)/C9</f>
        <v>2.1450899201131469E-3</v>
      </c>
    </row>
    <row r="10" spans="1:6" x14ac:dyDescent="0.35">
      <c r="B10" s="2" t="s">
        <v>3</v>
      </c>
      <c r="C10" s="32">
        <v>1.6464711422882472E-2</v>
      </c>
      <c r="D10" s="33">
        <f>'Sales %'!H9</f>
        <v>1.8548487820428158E-2</v>
      </c>
      <c r="E10" s="30">
        <f>(D10-C10)/C10</f>
        <v>0.12656015304645285</v>
      </c>
    </row>
    <row r="11" spans="1:6" x14ac:dyDescent="0.35">
      <c r="B11" s="13" t="s">
        <v>12</v>
      </c>
      <c r="C11" s="33">
        <v>0</v>
      </c>
      <c r="D11" s="33">
        <v>0</v>
      </c>
      <c r="E11" s="30"/>
    </row>
    <row r="13" spans="1:6" x14ac:dyDescent="0.35">
      <c r="B13" s="10" t="s">
        <v>21</v>
      </c>
    </row>
    <row r="14" spans="1:6" x14ac:dyDescent="0.35">
      <c r="B14" s="2"/>
      <c r="C14" s="15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25D1E-160C-42F8-AF3B-13D383DA6466}">
  <dimension ref="A1:F14"/>
  <sheetViews>
    <sheetView workbookViewId="0">
      <selection activeCell="E11" sqref="E11"/>
    </sheetView>
  </sheetViews>
  <sheetFormatPr defaultColWidth="9.33203125" defaultRowHeight="14.5" x14ac:dyDescent="0.35"/>
  <cols>
    <col min="1" max="1" width="9.33203125" style="1"/>
    <col min="2" max="2" width="15" style="1" customWidth="1"/>
    <col min="3" max="3" width="13" style="1" bestFit="1" customWidth="1"/>
    <col min="4" max="4" width="14.10937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29"/>
      <c r="C6" s="2" t="s">
        <v>7</v>
      </c>
      <c r="D6" s="2" t="s">
        <v>8</v>
      </c>
      <c r="E6" s="2" t="s">
        <v>9</v>
      </c>
    </row>
    <row r="7" spans="1:6" x14ac:dyDescent="0.35">
      <c r="B7" s="2" t="s">
        <v>2</v>
      </c>
      <c r="C7" s="32">
        <v>0.32469012958724708</v>
      </c>
      <c r="D7" s="33">
        <f>'Sales %'!H6</f>
        <v>0.31695711820870948</v>
      </c>
      <c r="E7" s="30">
        <f>(D7-C7)/C7</f>
        <v>-2.3816589030186932E-2</v>
      </c>
    </row>
    <row r="8" spans="1:6" x14ac:dyDescent="0.35">
      <c r="B8" s="2" t="s">
        <v>10</v>
      </c>
      <c r="C8" s="32">
        <v>0.11911757788890198</v>
      </c>
      <c r="D8" s="33">
        <f>'Sales %'!H7</f>
        <v>0.12360904867606727</v>
      </c>
      <c r="E8" s="30">
        <f>(D8-C8)/C8</f>
        <v>3.7706196404987118E-2</v>
      </c>
    </row>
    <row r="9" spans="1:6" x14ac:dyDescent="0.35">
      <c r="B9" s="2" t="s">
        <v>11</v>
      </c>
      <c r="C9" s="32">
        <v>0.5397275811009683</v>
      </c>
      <c r="D9" s="33">
        <f>'Sales %'!H8</f>
        <v>0.54088534529479504</v>
      </c>
      <c r="E9" s="30">
        <f>(D9-C9)/C9</f>
        <v>2.1450899201131469E-3</v>
      </c>
    </row>
    <row r="10" spans="1:6" x14ac:dyDescent="0.35">
      <c r="B10" s="2" t="s">
        <v>3</v>
      </c>
      <c r="C10" s="32">
        <v>1.6464711422882472E-2</v>
      </c>
      <c r="D10" s="33">
        <f>'Sales %'!H9</f>
        <v>1.8548487820428158E-2</v>
      </c>
      <c r="E10" s="30">
        <f>(D10-C10)/C10</f>
        <v>0.12656015304645285</v>
      </c>
    </row>
    <row r="11" spans="1:6" x14ac:dyDescent="0.35">
      <c r="B11" s="13" t="s">
        <v>12</v>
      </c>
      <c r="C11" s="33">
        <v>0</v>
      </c>
      <c r="D11" s="33">
        <v>0</v>
      </c>
      <c r="E11" s="30"/>
    </row>
    <row r="13" spans="1:6" x14ac:dyDescent="0.35">
      <c r="B13" s="10" t="s">
        <v>21</v>
      </c>
    </row>
    <row r="14" spans="1:6" x14ac:dyDescent="0.35">
      <c r="B14" s="2"/>
      <c r="C14" s="15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F14"/>
  <sheetViews>
    <sheetView zoomScale="85" zoomScaleNormal="85" workbookViewId="0">
      <selection activeCell="E10" sqref="E10"/>
    </sheetView>
  </sheetViews>
  <sheetFormatPr defaultColWidth="9.33203125" defaultRowHeight="14.5" x14ac:dyDescent="0.35"/>
  <cols>
    <col min="1" max="1" width="9.33203125" style="1"/>
    <col min="2" max="2" width="15.109375" style="1" customWidth="1"/>
    <col min="3" max="3" width="13" style="1" bestFit="1" customWidth="1"/>
    <col min="4" max="4" width="14.10937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29"/>
      <c r="C6" s="2" t="s">
        <v>7</v>
      </c>
      <c r="D6" s="2" t="s">
        <v>8</v>
      </c>
      <c r="E6" s="2" t="s">
        <v>9</v>
      </c>
    </row>
    <row r="7" spans="1:6" x14ac:dyDescent="0.35">
      <c r="B7" s="2" t="s">
        <v>2</v>
      </c>
      <c r="C7" s="32">
        <v>0.36151633453219451</v>
      </c>
      <c r="D7" s="33">
        <f>'Sales %'!G6</f>
        <v>0.35357920016305383</v>
      </c>
      <c r="E7" s="30">
        <f>(D7-C7)/C7</f>
        <v>-2.1955119619730047E-2</v>
      </c>
    </row>
    <row r="8" spans="1:6" x14ac:dyDescent="0.35">
      <c r="B8" s="2" t="s">
        <v>10</v>
      </c>
      <c r="C8" s="32">
        <v>0.11259841004657432</v>
      </c>
      <c r="D8" s="33">
        <f>'Sales %'!G7</f>
        <v>0.11693952227297034</v>
      </c>
      <c r="E8" s="30">
        <f>(D8-C8)/C8</f>
        <v>3.8553938946388297E-2</v>
      </c>
    </row>
    <row r="9" spans="1:6" x14ac:dyDescent="0.35">
      <c r="B9" s="2" t="s">
        <v>11</v>
      </c>
      <c r="C9" s="32">
        <v>0.51034146250338597</v>
      </c>
      <c r="D9" s="33">
        <f>'Sales %'!G8</f>
        <v>0.51195172050871518</v>
      </c>
      <c r="E9" s="30">
        <f>(D9-C9)/C9</f>
        <v>3.1552560856615269E-3</v>
      </c>
    </row>
    <row r="10" spans="1:6" x14ac:dyDescent="0.35">
      <c r="B10" s="2" t="s">
        <v>3</v>
      </c>
      <c r="C10" s="32">
        <v>1.5543792917845268E-2</v>
      </c>
      <c r="D10" s="33">
        <f>'Sales %'!G9</f>
        <v>1.7529557055260624E-2</v>
      </c>
      <c r="E10" s="30">
        <f>(D10-C10)/C10</f>
        <v>0.12775286880820266</v>
      </c>
    </row>
    <row r="11" spans="1:6" x14ac:dyDescent="0.35">
      <c r="B11" s="13" t="s">
        <v>22</v>
      </c>
      <c r="C11" s="33">
        <v>0</v>
      </c>
      <c r="D11" s="33">
        <v>0</v>
      </c>
      <c r="E11" s="31"/>
    </row>
    <row r="13" spans="1:6" x14ac:dyDescent="0.35">
      <c r="B13" s="17" t="s">
        <v>23</v>
      </c>
    </row>
    <row r="14" spans="1:6" x14ac:dyDescent="0.35">
      <c r="B14" s="17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F20"/>
  <sheetViews>
    <sheetView topLeftCell="A2" zoomScale="85" zoomScaleNormal="85" workbookViewId="0">
      <selection activeCell="E11" sqref="E11"/>
    </sheetView>
  </sheetViews>
  <sheetFormatPr defaultColWidth="9.33203125" defaultRowHeight="14.5" x14ac:dyDescent="0.35"/>
  <cols>
    <col min="1" max="1" width="9.33203125" style="1"/>
    <col min="2" max="2" width="15.6640625" style="1" customWidth="1"/>
    <col min="3" max="3" width="13" style="1" bestFit="1" customWidth="1"/>
    <col min="4" max="4" width="14.10937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29"/>
      <c r="C6" s="2" t="s">
        <v>7</v>
      </c>
      <c r="D6" s="2" t="s">
        <v>8</v>
      </c>
      <c r="E6" s="2" t="s">
        <v>9</v>
      </c>
    </row>
    <row r="7" spans="1:6" x14ac:dyDescent="0.35">
      <c r="B7" s="2" t="s">
        <v>2</v>
      </c>
      <c r="C7" s="32">
        <v>0.35991938342165714</v>
      </c>
      <c r="D7" s="33">
        <f>'Sales %'!F6</f>
        <v>0.35197421781092891</v>
      </c>
      <c r="E7" s="30">
        <f>(D7-C7)/C7</f>
        <v>-2.2074847803960046E-2</v>
      </c>
    </row>
    <row r="8" spans="1:6" x14ac:dyDescent="0.35">
      <c r="B8" s="2" t="s">
        <v>10</v>
      </c>
      <c r="C8" s="32">
        <v>0.1121010213014674</v>
      </c>
      <c r="D8" s="33">
        <f>'Sales %'!F7</f>
        <v>0.11640870521860885</v>
      </c>
      <c r="E8" s="30">
        <f>(D8-C8)/C8</f>
        <v>3.8426803495010313E-2</v>
      </c>
    </row>
    <row r="9" spans="1:6" x14ac:dyDescent="0.35">
      <c r="B9" s="2" t="s">
        <v>11</v>
      </c>
      <c r="C9" s="32">
        <v>0.50808709586085887</v>
      </c>
      <c r="D9" s="33">
        <f>'Sales %'!F8</f>
        <v>0.50962784660386562</v>
      </c>
      <c r="E9" s="30">
        <f>(D9-C9)/C9</f>
        <v>3.0324539937315901E-3</v>
      </c>
    </row>
    <row r="10" spans="1:6" x14ac:dyDescent="0.35">
      <c r="B10" s="2" t="s">
        <v>3</v>
      </c>
      <c r="C10" s="32">
        <v>1.5475130246228404E-2</v>
      </c>
      <c r="D10" s="33">
        <f>'Sales %'!F9</f>
        <v>1.744998611414959E-2</v>
      </c>
      <c r="E10" s="30">
        <f>(D10-C10)/C10</f>
        <v>0.12761481399502256</v>
      </c>
    </row>
    <row r="11" spans="1:6" x14ac:dyDescent="0.35">
      <c r="B11" s="2" t="s">
        <v>12</v>
      </c>
      <c r="C11" s="32">
        <v>4.4173691697880326E-3</v>
      </c>
      <c r="D11" s="33">
        <f>'Sales %'!F10</f>
        <v>4.5392442524470151E-3</v>
      </c>
      <c r="E11" s="30">
        <f>(D11-C11)/C11</f>
        <v>2.7589969951465641E-2</v>
      </c>
    </row>
    <row r="13" spans="1:6" x14ac:dyDescent="0.35">
      <c r="B13" s="10" t="s">
        <v>20</v>
      </c>
    </row>
    <row r="14" spans="1:6" x14ac:dyDescent="0.35">
      <c r="B14" s="2"/>
      <c r="C14" s="15"/>
    </row>
    <row r="15" spans="1:6" x14ac:dyDescent="0.35">
      <c r="D15" s="4"/>
    </row>
    <row r="16" spans="1:6" x14ac:dyDescent="0.35">
      <c r="D16" s="4"/>
    </row>
    <row r="17" spans="4:4" x14ac:dyDescent="0.35">
      <c r="D17" s="4"/>
    </row>
    <row r="18" spans="4:4" x14ac:dyDescent="0.35">
      <c r="D18" s="4"/>
    </row>
    <row r="19" spans="4:4" x14ac:dyDescent="0.35">
      <c r="D19" s="4"/>
    </row>
    <row r="20" spans="4:4" x14ac:dyDescent="0.35">
      <c r="D20" s="4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F752B-9292-4863-A833-EB35744DB1C9}">
  <sheetPr codeName="Sheet14"/>
  <dimension ref="A1:F14"/>
  <sheetViews>
    <sheetView workbookViewId="0">
      <selection activeCell="E11" sqref="E11"/>
    </sheetView>
  </sheetViews>
  <sheetFormatPr defaultColWidth="9.33203125" defaultRowHeight="14.5" x14ac:dyDescent="0.35"/>
  <cols>
    <col min="1" max="1" width="9.33203125" style="1"/>
    <col min="2" max="2" width="15.109375" style="1" customWidth="1"/>
    <col min="3" max="3" width="13" style="1" bestFit="1" customWidth="1"/>
    <col min="4" max="4" width="15.4414062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58"/>
      <c r="C6" s="13" t="s">
        <v>7</v>
      </c>
      <c r="D6" s="13" t="s">
        <v>8</v>
      </c>
      <c r="E6" s="13" t="s">
        <v>9</v>
      </c>
    </row>
    <row r="7" spans="1:6" x14ac:dyDescent="0.35">
      <c r="B7" s="13" t="s">
        <v>2</v>
      </c>
      <c r="C7" s="33">
        <v>0.35991938342165714</v>
      </c>
      <c r="D7" s="33">
        <v>8.4156525586731964E-2</v>
      </c>
      <c r="E7" s="59">
        <f>(D7-C7)/C7</f>
        <v>-0.76617951279345264</v>
      </c>
    </row>
    <row r="8" spans="1:6" x14ac:dyDescent="0.35">
      <c r="B8" s="13" t="s">
        <v>10</v>
      </c>
      <c r="C8" s="33">
        <v>0.1121010213014674</v>
      </c>
      <c r="D8" s="33">
        <v>0</v>
      </c>
      <c r="E8" s="59">
        <f>(D8-C8)/C8</f>
        <v>-1</v>
      </c>
    </row>
    <row r="9" spans="1:6" x14ac:dyDescent="0.35">
      <c r="B9" s="13" t="s">
        <v>11</v>
      </c>
      <c r="C9" s="33">
        <v>0.50808709586085887</v>
      </c>
      <c r="D9" s="33">
        <v>0.87714842933187254</v>
      </c>
      <c r="E9" s="59">
        <f>(D9-C9)/C9</f>
        <v>0.72637415214355727</v>
      </c>
    </row>
    <row r="10" spans="1:6" x14ac:dyDescent="0.35">
      <c r="B10" s="13" t="s">
        <v>3</v>
      </c>
      <c r="C10" s="33">
        <v>1.5475130246228404E-2</v>
      </c>
      <c r="D10" s="33">
        <v>3.8695045081395513E-2</v>
      </c>
      <c r="E10" s="59">
        <f>(D10-C10)/C10</f>
        <v>1.5004665205209671</v>
      </c>
    </row>
    <row r="11" spans="1:6" x14ac:dyDescent="0.35">
      <c r="B11" s="13" t="s">
        <v>22</v>
      </c>
      <c r="C11" s="33">
        <v>4.4173691697880326E-3</v>
      </c>
      <c r="D11" s="33">
        <v>0</v>
      </c>
      <c r="E11" s="59">
        <f>(D11-C11)/C11</f>
        <v>-1</v>
      </c>
    </row>
    <row r="12" spans="1:6" x14ac:dyDescent="0.35">
      <c r="B12" s="19"/>
      <c r="C12" s="19"/>
      <c r="D12" s="19"/>
      <c r="E12" s="19"/>
    </row>
    <row r="13" spans="1:6" x14ac:dyDescent="0.35">
      <c r="B13" s="17" t="s">
        <v>84</v>
      </c>
      <c r="C13" s="19"/>
      <c r="D13" s="19"/>
      <c r="E13" s="19"/>
    </row>
    <row r="14" spans="1:6" x14ac:dyDescent="0.35">
      <c r="B14" s="17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4C76C-1192-4A18-AA4A-0D4E2527E675}">
  <dimension ref="A1:F14"/>
  <sheetViews>
    <sheetView workbookViewId="0">
      <selection activeCell="E7" sqref="E7"/>
    </sheetView>
  </sheetViews>
  <sheetFormatPr defaultColWidth="9.33203125" defaultRowHeight="14.5" x14ac:dyDescent="0.35"/>
  <cols>
    <col min="1" max="1" width="9.33203125" style="1"/>
    <col min="2" max="2" width="15.109375" style="1" customWidth="1"/>
    <col min="3" max="3" width="13" style="1" bestFit="1" customWidth="1"/>
    <col min="4" max="4" width="14.10937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58"/>
      <c r="C6" s="13" t="s">
        <v>7</v>
      </c>
      <c r="D6" s="13" t="s">
        <v>8</v>
      </c>
      <c r="E6" s="13" t="s">
        <v>9</v>
      </c>
    </row>
    <row r="7" spans="1:6" x14ac:dyDescent="0.35">
      <c r="B7" s="13" t="s">
        <v>2</v>
      </c>
      <c r="C7" s="33">
        <v>0.41548062462667729</v>
      </c>
      <c r="D7" s="33">
        <f>C7</f>
        <v>0.41548062462667729</v>
      </c>
      <c r="E7" s="59">
        <f>(D7-C7)/C7</f>
        <v>0</v>
      </c>
    </row>
    <row r="8" spans="1:6" x14ac:dyDescent="0.35">
      <c r="B8" s="13" t="s">
        <v>10</v>
      </c>
      <c r="C8" s="33">
        <v>0.11372317853934658</v>
      </c>
      <c r="D8" s="33">
        <f>C8</f>
        <v>0.11372317853934658</v>
      </c>
      <c r="E8" s="59">
        <f>(D8-C8)/C8</f>
        <v>0</v>
      </c>
    </row>
    <row r="9" spans="1:6" x14ac:dyDescent="0.35">
      <c r="B9" s="13" t="s">
        <v>11</v>
      </c>
      <c r="C9" s="33">
        <v>0.44959881335524515</v>
      </c>
      <c r="D9" s="33">
        <f>C9</f>
        <v>0.44959881335524515</v>
      </c>
      <c r="E9" s="59">
        <f>(D9-C9)/C9</f>
        <v>0</v>
      </c>
    </row>
    <row r="10" spans="1:6" x14ac:dyDescent="0.35">
      <c r="B10" s="13" t="s">
        <v>3</v>
      </c>
      <c r="C10" s="33">
        <v>1.5913655348609279E-2</v>
      </c>
      <c r="D10" s="33">
        <f>C10</f>
        <v>1.5913655348609279E-2</v>
      </c>
      <c r="E10" s="59">
        <f>(D10-C10)/C10</f>
        <v>0</v>
      </c>
    </row>
    <row r="11" spans="1:6" x14ac:dyDescent="0.35">
      <c r="B11" s="13" t="s">
        <v>22</v>
      </c>
      <c r="C11" s="33">
        <v>5.2837281301218514E-3</v>
      </c>
      <c r="D11" s="33">
        <f>C11</f>
        <v>5.2837281301218514E-3</v>
      </c>
      <c r="E11" s="59">
        <f>(D11-C11)/C11</f>
        <v>0</v>
      </c>
    </row>
    <row r="12" spans="1:6" x14ac:dyDescent="0.35">
      <c r="B12" s="19"/>
      <c r="C12" s="19"/>
      <c r="D12" s="19"/>
      <c r="E12" s="19"/>
    </row>
    <row r="13" spans="1:6" x14ac:dyDescent="0.35">
      <c r="B13" s="17" t="s">
        <v>93</v>
      </c>
      <c r="C13" s="19"/>
      <c r="D13" s="19"/>
      <c r="E13" s="19"/>
    </row>
    <row r="14" spans="1:6" x14ac:dyDescent="0.35">
      <c r="B14" s="17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30BF6-384A-48A9-AD41-8A27E7ECCA60}">
  <dimension ref="A1:F14"/>
  <sheetViews>
    <sheetView workbookViewId="0">
      <selection activeCell="E11" sqref="E11"/>
    </sheetView>
  </sheetViews>
  <sheetFormatPr defaultColWidth="9.33203125" defaultRowHeight="14.5" x14ac:dyDescent="0.35"/>
  <cols>
    <col min="1" max="1" width="9.33203125" style="1"/>
    <col min="2" max="2" width="15" style="1" customWidth="1"/>
    <col min="3" max="3" width="13" style="1" bestFit="1" customWidth="1"/>
    <col min="4" max="4" width="14.10937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29"/>
      <c r="C6" s="2" t="s">
        <v>7</v>
      </c>
      <c r="D6" s="2" t="s">
        <v>8</v>
      </c>
      <c r="E6" s="2" t="s">
        <v>9</v>
      </c>
    </row>
    <row r="7" spans="1:6" x14ac:dyDescent="0.35">
      <c r="B7" s="2" t="s">
        <v>2</v>
      </c>
      <c r="C7" s="32">
        <v>0.32469012958724708</v>
      </c>
      <c r="D7" s="33">
        <f>'Sales %'!H6</f>
        <v>0.31695711820870948</v>
      </c>
      <c r="E7" s="30">
        <f>(D7-C7)/C7</f>
        <v>-2.3816589030186932E-2</v>
      </c>
    </row>
    <row r="8" spans="1:6" x14ac:dyDescent="0.35">
      <c r="B8" s="2" t="s">
        <v>10</v>
      </c>
      <c r="C8" s="32">
        <v>0.11911757788890198</v>
      </c>
      <c r="D8" s="33">
        <f>'Sales %'!H7</f>
        <v>0.12360904867606727</v>
      </c>
      <c r="E8" s="30">
        <f>(D8-C8)/C8</f>
        <v>3.7706196404987118E-2</v>
      </c>
    </row>
    <row r="9" spans="1:6" x14ac:dyDescent="0.35">
      <c r="B9" s="2" t="s">
        <v>11</v>
      </c>
      <c r="C9" s="32">
        <v>0.5397275811009683</v>
      </c>
      <c r="D9" s="33">
        <f>'Sales %'!H8</f>
        <v>0.54088534529479504</v>
      </c>
      <c r="E9" s="30">
        <f>(D9-C9)/C9</f>
        <v>2.1450899201131469E-3</v>
      </c>
    </row>
    <row r="10" spans="1:6" x14ac:dyDescent="0.35">
      <c r="B10" s="2" t="s">
        <v>3</v>
      </c>
      <c r="C10" s="32">
        <v>1.6464711422882472E-2</v>
      </c>
      <c r="D10" s="33">
        <f>'Sales %'!H9</f>
        <v>1.8548487820428158E-2</v>
      </c>
      <c r="E10" s="30">
        <f>(D10-C10)/C10</f>
        <v>0.12656015304645285</v>
      </c>
    </row>
    <row r="11" spans="1:6" x14ac:dyDescent="0.35">
      <c r="B11" s="13" t="s">
        <v>12</v>
      </c>
      <c r="C11" s="33">
        <v>0</v>
      </c>
      <c r="D11" s="33">
        <v>0</v>
      </c>
      <c r="E11" s="30"/>
    </row>
    <row r="13" spans="1:6" x14ac:dyDescent="0.35">
      <c r="B13" s="10" t="s">
        <v>21</v>
      </c>
    </row>
    <row r="14" spans="1:6" x14ac:dyDescent="0.35">
      <c r="B14" s="2"/>
      <c r="C14" s="15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/>
  <dimension ref="A1:N37"/>
  <sheetViews>
    <sheetView zoomScale="85" zoomScaleNormal="85" workbookViewId="0">
      <selection activeCell="I20" sqref="I20"/>
    </sheetView>
  </sheetViews>
  <sheetFormatPr defaultColWidth="9.33203125" defaultRowHeight="14.5" x14ac:dyDescent="0.35"/>
  <cols>
    <col min="1" max="1" width="9.33203125" style="19"/>
    <col min="2" max="2" width="28" style="19" customWidth="1"/>
    <col min="3" max="3" width="24.88671875" style="19" bestFit="1" customWidth="1"/>
    <col min="4" max="4" width="31.6640625" style="19" bestFit="1" customWidth="1"/>
    <col min="5" max="5" width="31.44140625" style="19" bestFit="1" customWidth="1"/>
    <col min="6" max="6" width="12.44140625" style="19" bestFit="1" customWidth="1"/>
    <col min="7" max="7" width="17" style="19" bestFit="1" customWidth="1"/>
    <col min="8" max="8" width="16.6640625" style="19" bestFit="1" customWidth="1"/>
    <col min="9" max="9" width="20.88671875" style="19" bestFit="1" customWidth="1"/>
    <col min="10" max="10" width="14" style="19" bestFit="1" customWidth="1"/>
    <col min="11" max="12" width="20.109375" style="19" bestFit="1" customWidth="1"/>
    <col min="13" max="13" width="24.109375" style="19" bestFit="1" customWidth="1"/>
    <col min="14" max="14" width="23.109375" style="19" bestFit="1" customWidth="1"/>
    <col min="15" max="15" width="17" style="19" bestFit="1" customWidth="1"/>
    <col min="16" max="16" width="14.109375" style="19" bestFit="1" customWidth="1"/>
    <col min="17" max="16384" width="9.33203125" style="19"/>
  </cols>
  <sheetData>
    <row r="1" spans="1:14" x14ac:dyDescent="0.35">
      <c r="A1" s="104" t="str">
        <f>'Distribution 1 Year'!A1:F1</f>
        <v>SAN DIEGO GAS &amp; ELECTRIC COMPANY</v>
      </c>
      <c r="B1" s="104"/>
      <c r="C1" s="104"/>
      <c r="D1" s="104"/>
      <c r="E1" s="104"/>
      <c r="F1" s="104"/>
      <c r="G1" s="104"/>
      <c r="H1" s="104"/>
      <c r="I1" s="104"/>
    </row>
    <row r="2" spans="1:14" x14ac:dyDescent="0.35">
      <c r="A2" s="104" t="str">
        <f>'Distribution 1 Year'!A2:F2</f>
        <v>TEST YEAR 2019 GENERAL RATE CASE PHASE 2, APPLICATION 19-03-002</v>
      </c>
      <c r="B2" s="104"/>
      <c r="C2" s="104"/>
      <c r="D2" s="104"/>
      <c r="E2" s="104"/>
      <c r="F2" s="104"/>
      <c r="G2" s="104"/>
      <c r="H2" s="104"/>
      <c r="I2" s="104"/>
    </row>
    <row r="3" spans="1:14" x14ac:dyDescent="0.35">
      <c r="A3" s="104" t="str">
        <f>'Distribution 1 Year'!A3:F3</f>
        <v>REVENUE ALLOCATION WORKPAPERS - CHAPTER 2</v>
      </c>
      <c r="B3" s="104"/>
      <c r="C3" s="104"/>
      <c r="D3" s="104"/>
      <c r="E3" s="104"/>
      <c r="F3" s="104"/>
      <c r="G3" s="105"/>
      <c r="H3" s="105"/>
      <c r="I3" s="105"/>
    </row>
    <row r="4" spans="1:14" ht="18" customHeight="1" x14ac:dyDescent="0.35"/>
    <row r="5" spans="1:14" ht="30" customHeight="1" x14ac:dyDescent="0.35">
      <c r="A5" s="20"/>
      <c r="B5" s="20"/>
      <c r="C5" s="38" t="s">
        <v>79</v>
      </c>
      <c r="D5" s="38" t="s">
        <v>88</v>
      </c>
      <c r="E5" s="38" t="s">
        <v>91</v>
      </c>
      <c r="F5" s="13" t="s">
        <v>26</v>
      </c>
      <c r="G5" s="13" t="s">
        <v>27</v>
      </c>
      <c r="H5" s="62" t="s">
        <v>90</v>
      </c>
      <c r="I5" s="62"/>
      <c r="J5" s="62"/>
      <c r="M5" s="13"/>
      <c r="N5" s="13"/>
    </row>
    <row r="6" spans="1:14" x14ac:dyDescent="0.35">
      <c r="A6" s="20"/>
      <c r="B6" s="13" t="s">
        <v>2</v>
      </c>
      <c r="C6" s="22">
        <v>6824347300.4717369</v>
      </c>
      <c r="D6" s="22">
        <v>6652988141.1181479</v>
      </c>
      <c r="E6" s="22">
        <f>D6-D18</f>
        <v>5636285489.7572746</v>
      </c>
      <c r="F6" s="89">
        <f>D6/$D$11</f>
        <v>0.35197421781092891</v>
      </c>
      <c r="G6" s="89">
        <f>D6/$D$12</f>
        <v>0.35357920016305383</v>
      </c>
      <c r="H6" s="89">
        <f>E6/$E$11</f>
        <v>0.31695711820870948</v>
      </c>
      <c r="I6" s="63"/>
      <c r="J6" s="64"/>
      <c r="L6" s="13"/>
    </row>
    <row r="7" spans="1:14" x14ac:dyDescent="0.35">
      <c r="A7" s="20"/>
      <c r="B7" s="13" t="s">
        <v>10</v>
      </c>
      <c r="C7" s="22">
        <v>2281540064.3074284</v>
      </c>
      <c r="D7" s="22">
        <v>2200347912.2960796</v>
      </c>
      <c r="E7" s="22">
        <f>D7-D19</f>
        <v>2198076166.8739657</v>
      </c>
      <c r="F7" s="89">
        <f>D7/$D$11</f>
        <v>0.11640870521860885</v>
      </c>
      <c r="G7" s="89">
        <f>D7/$D$12</f>
        <v>0.11693952227297034</v>
      </c>
      <c r="H7" s="89">
        <f>E7/$E$11</f>
        <v>0.12360904867606727</v>
      </c>
      <c r="I7" s="63"/>
      <c r="J7" s="64"/>
      <c r="L7" s="13"/>
    </row>
    <row r="8" spans="1:14" x14ac:dyDescent="0.35">
      <c r="A8" s="20"/>
      <c r="B8" s="13" t="s">
        <v>11</v>
      </c>
      <c r="C8" s="22">
        <v>9547826937.2094955</v>
      </c>
      <c r="D8" s="22">
        <v>9632944256.333025</v>
      </c>
      <c r="E8" s="22">
        <f>D8-D20</f>
        <v>9618286033.5699387</v>
      </c>
      <c r="F8" s="89">
        <f>D8/$D$11</f>
        <v>0.50962784660386562</v>
      </c>
      <c r="G8" s="89">
        <f>D8/$D$12</f>
        <v>0.51195172050871518</v>
      </c>
      <c r="H8" s="89">
        <f>E8/$E$11</f>
        <v>0.54088534529479504</v>
      </c>
      <c r="I8" s="63"/>
      <c r="J8" s="64"/>
      <c r="L8" s="13"/>
    </row>
    <row r="9" spans="1:14" x14ac:dyDescent="0.35">
      <c r="A9" s="20"/>
      <c r="B9" s="11" t="s">
        <v>3</v>
      </c>
      <c r="C9" s="22">
        <v>335163783.59592795</v>
      </c>
      <c r="D9" s="22">
        <v>329838223.38509023</v>
      </c>
      <c r="E9" s="22">
        <f>D9-D21</f>
        <v>329838223.38509023</v>
      </c>
      <c r="F9" s="89">
        <f>D9/$D$11</f>
        <v>1.744998611414959E-2</v>
      </c>
      <c r="G9" s="89">
        <f>D9/$D$12</f>
        <v>1.7529557055260624E-2</v>
      </c>
      <c r="H9" s="89">
        <f>E9/$E$11</f>
        <v>1.8548487820428158E-2</v>
      </c>
      <c r="I9" s="63"/>
      <c r="J9" s="64"/>
      <c r="L9" s="13"/>
      <c r="N9" s="90"/>
    </row>
    <row r="10" spans="1:14" x14ac:dyDescent="0.35">
      <c r="A10" s="20"/>
      <c r="B10" s="13" t="s">
        <v>12</v>
      </c>
      <c r="C10" s="22">
        <v>79987055</v>
      </c>
      <c r="D10" s="22">
        <v>85800427</v>
      </c>
      <c r="E10" s="91" t="s">
        <v>28</v>
      </c>
      <c r="F10" s="89">
        <f>D10/$D$11</f>
        <v>4.5392442524470151E-3</v>
      </c>
      <c r="G10" s="92" t="s">
        <v>28</v>
      </c>
      <c r="H10" s="89" t="s">
        <v>28</v>
      </c>
      <c r="I10" s="63"/>
      <c r="J10" s="64"/>
      <c r="L10" s="13"/>
      <c r="N10" s="93"/>
    </row>
    <row r="11" spans="1:14" x14ac:dyDescent="0.35">
      <c r="A11" s="20"/>
      <c r="B11" s="23" t="s">
        <v>6</v>
      </c>
      <c r="C11" s="22">
        <f>SUM(C6:C10)</f>
        <v>19068865140.584591</v>
      </c>
      <c r="D11" s="22">
        <f>SUM(D6:D10)</f>
        <v>18901918960.132343</v>
      </c>
      <c r="E11" s="22">
        <f>SUM(E6:E10)</f>
        <v>17782485913.586269</v>
      </c>
      <c r="F11" s="89">
        <f t="shared" ref="F11" si="0">D11/$D$11</f>
        <v>1</v>
      </c>
      <c r="G11" s="94" t="s">
        <v>28</v>
      </c>
      <c r="H11" s="89">
        <f>E11/$E$11</f>
        <v>1</v>
      </c>
      <c r="I11" s="63"/>
      <c r="J11" s="64"/>
      <c r="L11" s="13"/>
    </row>
    <row r="12" spans="1:14" x14ac:dyDescent="0.35">
      <c r="A12" s="20"/>
      <c r="B12" s="21" t="s">
        <v>29</v>
      </c>
      <c r="C12" s="63">
        <f>C6+C7+C8+C9</f>
        <v>18988878085.584591</v>
      </c>
      <c r="D12" s="24">
        <f>SUM(D6:D9)</f>
        <v>18816118533.132343</v>
      </c>
      <c r="E12" s="95" t="s">
        <v>28</v>
      </c>
      <c r="F12" s="89" t="s">
        <v>28</v>
      </c>
      <c r="G12" s="89">
        <f>D12/$D$12</f>
        <v>1</v>
      </c>
      <c r="H12" s="89" t="s">
        <v>28</v>
      </c>
      <c r="L12" s="13"/>
    </row>
    <row r="13" spans="1:14" x14ac:dyDescent="0.35">
      <c r="A13" s="20"/>
      <c r="B13" s="20"/>
      <c r="D13" s="20"/>
      <c r="E13" s="20"/>
      <c r="L13" s="13"/>
    </row>
    <row r="14" spans="1:14" x14ac:dyDescent="0.35">
      <c r="A14" s="20"/>
      <c r="B14" s="20"/>
      <c r="C14" s="20"/>
      <c r="D14" s="24"/>
      <c r="E14" s="20"/>
    </row>
    <row r="15" spans="1:14" x14ac:dyDescent="0.35">
      <c r="A15" s="20"/>
      <c r="B15" s="25"/>
      <c r="C15" s="13"/>
      <c r="D15" s="20"/>
      <c r="E15" s="20"/>
    </row>
    <row r="16" spans="1:14" x14ac:dyDescent="0.35">
      <c r="C16" s="13"/>
    </row>
    <row r="17" spans="2:12" x14ac:dyDescent="0.35">
      <c r="C17" s="96" t="s">
        <v>7</v>
      </c>
      <c r="D17" s="97" t="s">
        <v>89</v>
      </c>
      <c r="E17" s="13" t="s">
        <v>107</v>
      </c>
    </row>
    <row r="18" spans="2:12" x14ac:dyDescent="0.35">
      <c r="B18" s="13" t="s">
        <v>2</v>
      </c>
      <c r="C18" s="89">
        <v>0.34517525554754974</v>
      </c>
      <c r="D18" s="22">
        <v>1016702651.3608736</v>
      </c>
      <c r="E18" s="22">
        <v>41096372.170683041</v>
      </c>
      <c r="G18" s="22"/>
      <c r="L18" s="22"/>
    </row>
    <row r="19" spans="2:12" x14ac:dyDescent="0.35">
      <c r="B19" s="13" t="s">
        <v>10</v>
      </c>
      <c r="C19" s="89">
        <v>0.15129290216594399</v>
      </c>
      <c r="D19" s="98">
        <v>2271745.422114118</v>
      </c>
      <c r="E19" s="98">
        <v>0</v>
      </c>
      <c r="F19" s="13"/>
      <c r="G19" s="22"/>
      <c r="L19" s="22"/>
    </row>
    <row r="20" spans="2:12" x14ac:dyDescent="0.35">
      <c r="B20" s="13" t="s">
        <v>11</v>
      </c>
      <c r="C20" s="89">
        <v>0.49283247057136387</v>
      </c>
      <c r="D20" s="98">
        <v>14658222.763086554</v>
      </c>
      <c r="E20" s="98">
        <v>0</v>
      </c>
      <c r="F20" s="51"/>
      <c r="G20" s="22"/>
    </row>
    <row r="21" spans="2:12" x14ac:dyDescent="0.35">
      <c r="B21" s="13" t="s">
        <v>3</v>
      </c>
      <c r="C21" s="89">
        <v>6.0292485077886619E-3</v>
      </c>
      <c r="D21" s="22">
        <v>0</v>
      </c>
      <c r="E21" s="22">
        <v>0</v>
      </c>
      <c r="F21" s="51"/>
      <c r="G21" s="22"/>
    </row>
    <row r="22" spans="2:12" x14ac:dyDescent="0.35">
      <c r="B22" s="13" t="s">
        <v>12</v>
      </c>
      <c r="C22" s="89">
        <v>4.6701232073534608E-3</v>
      </c>
      <c r="D22" s="22">
        <v>0</v>
      </c>
      <c r="E22" s="22">
        <v>0</v>
      </c>
      <c r="F22" s="51"/>
      <c r="G22" s="22"/>
    </row>
    <row r="23" spans="2:12" x14ac:dyDescent="0.35">
      <c r="B23" s="11" t="s">
        <v>6</v>
      </c>
      <c r="C23" s="89">
        <f>SUM(C18:C22)</f>
        <v>0.99999999999999967</v>
      </c>
      <c r="D23" s="22">
        <f>SUM(D18:D22)</f>
        <v>1033632619.5460743</v>
      </c>
      <c r="E23" s="22">
        <f>SUM(E18:E22)</f>
        <v>41096372.170683041</v>
      </c>
      <c r="F23" s="51"/>
      <c r="G23" s="22"/>
    </row>
    <row r="24" spans="2:12" x14ac:dyDescent="0.35">
      <c r="B24" s="13"/>
      <c r="D24" s="22"/>
      <c r="E24" s="22"/>
      <c r="F24" s="51"/>
    </row>
    <row r="25" spans="2:12" x14ac:dyDescent="0.35">
      <c r="B25" s="23"/>
      <c r="D25" s="22"/>
      <c r="E25" s="22"/>
      <c r="F25" s="91"/>
    </row>
    <row r="26" spans="2:12" x14ac:dyDescent="0.35">
      <c r="B26" s="26"/>
      <c r="D26" s="24"/>
      <c r="E26" s="24"/>
      <c r="F26" s="51"/>
      <c r="G26" s="99"/>
    </row>
    <row r="27" spans="2:12" x14ac:dyDescent="0.35">
      <c r="B27" s="17"/>
      <c r="D27" s="20"/>
      <c r="E27" s="20"/>
    </row>
    <row r="29" spans="2:12" ht="30" customHeight="1" x14ac:dyDescent="0.35">
      <c r="C29" s="38"/>
      <c r="D29" s="38"/>
    </row>
    <row r="30" spans="2:12" x14ac:dyDescent="0.35">
      <c r="B30" s="13"/>
      <c r="C30" s="52"/>
      <c r="D30" s="52"/>
    </row>
    <row r="31" spans="2:12" x14ac:dyDescent="0.35">
      <c r="B31" s="13"/>
      <c r="C31" s="53"/>
      <c r="D31" s="53"/>
      <c r="E31" s="53"/>
      <c r="F31" s="64"/>
      <c r="G31" s="64"/>
      <c r="H31" s="64"/>
    </row>
    <row r="32" spans="2:12" x14ac:dyDescent="0.35">
      <c r="B32" s="13"/>
      <c r="C32" s="53"/>
      <c r="D32" s="53"/>
      <c r="E32" s="53"/>
      <c r="F32" s="64"/>
      <c r="G32" s="64"/>
      <c r="H32" s="64"/>
    </row>
    <row r="33" spans="3:8" x14ac:dyDescent="0.35">
      <c r="C33" s="53"/>
      <c r="D33" s="53"/>
      <c r="E33" s="53"/>
      <c r="F33" s="64"/>
      <c r="G33" s="64"/>
      <c r="H33" s="64"/>
    </row>
    <row r="34" spans="3:8" x14ac:dyDescent="0.35">
      <c r="C34" s="53"/>
      <c r="D34" s="53"/>
      <c r="E34" s="53"/>
      <c r="F34" s="64"/>
      <c r="G34" s="64"/>
      <c r="H34" s="64"/>
    </row>
    <row r="35" spans="3:8" x14ac:dyDescent="0.35">
      <c r="C35" s="53"/>
      <c r="D35" s="53"/>
      <c r="E35" s="53"/>
      <c r="F35" s="64"/>
      <c r="G35" s="64"/>
      <c r="H35" s="64"/>
    </row>
    <row r="36" spans="3:8" x14ac:dyDescent="0.35">
      <c r="C36" s="53"/>
      <c r="D36" s="53"/>
      <c r="E36" s="53"/>
      <c r="F36" s="64"/>
      <c r="G36" s="64"/>
      <c r="H36" s="64"/>
    </row>
    <row r="37" spans="3:8" x14ac:dyDescent="0.35">
      <c r="C37" s="53"/>
      <c r="D37" s="53"/>
      <c r="E37" s="53"/>
      <c r="F37" s="64"/>
      <c r="G37" s="64"/>
      <c r="H37" s="64"/>
    </row>
  </sheetData>
  <mergeCells count="3">
    <mergeCell ref="A1:I1"/>
    <mergeCell ref="A2:I2"/>
    <mergeCell ref="A3:I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/>
  <dimension ref="A1:O99"/>
  <sheetViews>
    <sheetView tabSelected="1" zoomScale="90" zoomScaleNormal="90" workbookViewId="0">
      <selection activeCell="B90" sqref="B90"/>
    </sheetView>
  </sheetViews>
  <sheetFormatPr defaultColWidth="9.109375" defaultRowHeight="10.5" x14ac:dyDescent="0.25"/>
  <cols>
    <col min="1" max="1" width="13.88671875" style="55" bestFit="1" customWidth="1"/>
    <col min="2" max="2" width="112" style="54" customWidth="1"/>
    <col min="3" max="3" width="20.33203125" style="55" bestFit="1" customWidth="1"/>
    <col min="4" max="4" width="22.6640625" style="55" bestFit="1" customWidth="1"/>
    <col min="5" max="5" width="12.88671875" style="55" bestFit="1" customWidth="1"/>
    <col min="6" max="6" width="31" style="55" customWidth="1"/>
    <col min="7" max="7" width="20.33203125" style="55" bestFit="1" customWidth="1"/>
    <col min="8" max="8" width="9.109375" style="55"/>
    <col min="9" max="9" width="15.44140625" style="55" bestFit="1" customWidth="1"/>
    <col min="10" max="10" width="11.44140625" style="55" bestFit="1" customWidth="1"/>
    <col min="11" max="11" width="12.33203125" style="55" bestFit="1" customWidth="1"/>
    <col min="12" max="12" width="9.109375" style="55"/>
    <col min="13" max="13" width="14" style="55" bestFit="1" customWidth="1"/>
    <col min="14" max="14" width="9.109375" style="55"/>
    <col min="15" max="15" width="15" style="55" bestFit="1" customWidth="1"/>
    <col min="16" max="16384" width="9.109375" style="55"/>
  </cols>
  <sheetData>
    <row r="1" spans="1:15" x14ac:dyDescent="0.25">
      <c r="A1" s="106" t="str">
        <f>'Distribution 1 Year'!A1:F1</f>
        <v>SAN DIEGO GAS &amp; ELECTRIC COMPANY</v>
      </c>
      <c r="B1" s="106"/>
      <c r="C1" s="106"/>
      <c r="D1" s="106"/>
      <c r="E1" s="106"/>
      <c r="F1" s="106"/>
      <c r="G1" s="106"/>
    </row>
    <row r="2" spans="1:15" x14ac:dyDescent="0.25">
      <c r="A2" s="106" t="str">
        <f>'Distribution 1 Year'!A2:F2</f>
        <v>TEST YEAR 2019 GENERAL RATE CASE PHASE 2, APPLICATION 19-03-002</v>
      </c>
      <c r="B2" s="106"/>
      <c r="C2" s="106"/>
      <c r="D2" s="106"/>
      <c r="E2" s="106"/>
      <c r="F2" s="106"/>
      <c r="G2" s="106"/>
    </row>
    <row r="3" spans="1:15" ht="11" thickBot="1" x14ac:dyDescent="0.3">
      <c r="A3" s="106" t="str">
        <f>'Distribution 1 Year'!A3:F3</f>
        <v>REVENUE ALLOCATION WORKPAPERS - CHAPTER 2</v>
      </c>
      <c r="B3" s="106"/>
      <c r="C3" s="106"/>
      <c r="D3" s="106"/>
      <c r="E3" s="106"/>
      <c r="F3" s="106"/>
      <c r="G3" s="107"/>
    </row>
    <row r="4" spans="1:15" thickBot="1" x14ac:dyDescent="0.25">
      <c r="B4" s="85"/>
      <c r="E4" s="86"/>
    </row>
    <row r="5" spans="1:15" x14ac:dyDescent="0.25">
      <c r="A5" s="55" t="s">
        <v>48</v>
      </c>
      <c r="E5" s="86"/>
    </row>
    <row r="7" spans="1:15" ht="12.5" x14ac:dyDescent="0.25">
      <c r="C7" s="54" t="s">
        <v>49</v>
      </c>
      <c r="D7" s="54" t="s">
        <v>43</v>
      </c>
      <c r="E7" s="54" t="s">
        <v>45</v>
      </c>
      <c r="F7" s="54" t="s">
        <v>88</v>
      </c>
      <c r="G7" s="54" t="s">
        <v>53</v>
      </c>
      <c r="K7" s="81"/>
    </row>
    <row r="8" spans="1:15" ht="14.5" x14ac:dyDescent="0.35">
      <c r="B8" s="54" t="s">
        <v>2</v>
      </c>
      <c r="C8" s="56">
        <v>0</v>
      </c>
      <c r="D8" s="87">
        <f>'PPP-EE and EPEEBA'!C7</f>
        <v>0.46049962911213632</v>
      </c>
      <c r="E8" s="81">
        <v>0</v>
      </c>
      <c r="F8" s="22">
        <f>'Sales %'!D6</f>
        <v>6652988141.1181479</v>
      </c>
      <c r="G8" s="56">
        <f>E8*F8</f>
        <v>0</v>
      </c>
    </row>
    <row r="9" spans="1:15" ht="14.5" x14ac:dyDescent="0.35">
      <c r="B9" s="54" t="s">
        <v>5</v>
      </c>
      <c r="C9" s="56">
        <v>0</v>
      </c>
      <c r="D9" s="87">
        <f>'PPP-EE and EPEEBA'!C8</f>
        <v>0.11302169887200222</v>
      </c>
      <c r="E9" s="81">
        <v>0</v>
      </c>
      <c r="F9" s="22">
        <f>'Sales %'!D7</f>
        <v>2200347912.2960796</v>
      </c>
      <c r="G9" s="56">
        <f t="shared" ref="G9:G13" si="0">E9*F9</f>
        <v>0</v>
      </c>
      <c r="M9" s="86"/>
    </row>
    <row r="10" spans="1:15" ht="14.4" customHeight="1" x14ac:dyDescent="0.35">
      <c r="B10" s="54" t="s">
        <v>96</v>
      </c>
      <c r="C10" s="56">
        <v>0</v>
      </c>
      <c r="D10" s="87">
        <f>'PPP-EE and EPEEBA'!C9</f>
        <v>0.41445398809380962</v>
      </c>
      <c r="E10" s="81">
        <v>0</v>
      </c>
      <c r="F10" s="22">
        <f>'Sales %'!D8</f>
        <v>9632944256.333025</v>
      </c>
      <c r="G10" s="56">
        <f t="shared" si="0"/>
        <v>0</v>
      </c>
      <c r="O10" s="22"/>
    </row>
    <row r="11" spans="1:15" ht="14.5" x14ac:dyDescent="0.35">
      <c r="B11" s="54" t="s">
        <v>3</v>
      </c>
      <c r="C11" s="56">
        <v>0</v>
      </c>
      <c r="D11" s="87">
        <f>'PPP-EE and EPEEBA'!C10</f>
        <v>1.118062872431484E-2</v>
      </c>
      <c r="E11" s="81">
        <v>0</v>
      </c>
      <c r="F11" s="22">
        <f>'Sales %'!D9</f>
        <v>329838223.38509023</v>
      </c>
      <c r="G11" s="56">
        <f t="shared" si="0"/>
        <v>0</v>
      </c>
    </row>
    <row r="12" spans="1:15" ht="14.5" x14ac:dyDescent="0.35">
      <c r="B12" s="54" t="s">
        <v>12</v>
      </c>
      <c r="C12" s="56">
        <v>0</v>
      </c>
      <c r="D12" s="87">
        <f>'PPP-EE and EPEEBA'!C11</f>
        <v>8.4405519773694078E-4</v>
      </c>
      <c r="E12" s="81">
        <v>0</v>
      </c>
      <c r="F12" s="22">
        <f>'Sales %'!D10</f>
        <v>85800427</v>
      </c>
      <c r="G12" s="56">
        <f>E12*F12</f>
        <v>0</v>
      </c>
    </row>
    <row r="13" spans="1:15" ht="14.5" x14ac:dyDescent="0.35">
      <c r="B13" s="54" t="s">
        <v>4</v>
      </c>
      <c r="C13" s="56">
        <f>SUM(C8:C12)</f>
        <v>0</v>
      </c>
      <c r="D13" s="57">
        <f>SUM(D8:D12)</f>
        <v>0.99999999999999989</v>
      </c>
      <c r="E13" s="81">
        <v>0</v>
      </c>
      <c r="F13" s="22">
        <f>SUM(F8:F12)</f>
        <v>18901918960.132343</v>
      </c>
      <c r="G13" s="56">
        <f t="shared" si="0"/>
        <v>0</v>
      </c>
    </row>
    <row r="15" spans="1:15" x14ac:dyDescent="0.25">
      <c r="A15" s="55" t="s">
        <v>47</v>
      </c>
    </row>
    <row r="17" spans="1:7" x14ac:dyDescent="0.25">
      <c r="C17" s="54" t="s">
        <v>49</v>
      </c>
      <c r="D17" s="54" t="s">
        <v>43</v>
      </c>
      <c r="E17" s="54" t="s">
        <v>45</v>
      </c>
      <c r="F17" s="54" t="str">
        <f>F7</f>
        <v>Updated System Sales (2020 TY)</v>
      </c>
      <c r="G17" s="54" t="str">
        <f>G7</f>
        <v>Updated Revenues</v>
      </c>
    </row>
    <row r="18" spans="1:7" ht="14.5" x14ac:dyDescent="0.35">
      <c r="B18" s="54" t="s">
        <v>2</v>
      </c>
      <c r="C18" s="56">
        <v>47909482.05705101</v>
      </c>
      <c r="D18" s="87">
        <f>'PPP-EE and EPEEBA'!C7</f>
        <v>0.46049962911213632</v>
      </c>
      <c r="E18" s="81">
        <v>6.8967012022938499E-3</v>
      </c>
      <c r="F18" s="22">
        <f>'Sales %'!D6</f>
        <v>6652988141.1181479</v>
      </c>
      <c r="G18" s="56">
        <f>F18*E18</f>
        <v>45883671.311696254</v>
      </c>
    </row>
    <row r="19" spans="1:7" ht="14.5" x14ac:dyDescent="0.35">
      <c r="B19" s="54" t="s">
        <v>5</v>
      </c>
      <c r="C19" s="56">
        <v>11758556.819265215</v>
      </c>
      <c r="D19" s="87">
        <f>'PPP-EE and EPEEBA'!C8</f>
        <v>0.11302169887200222</v>
      </c>
      <c r="E19" s="81">
        <v>5.2258264530780319E-3</v>
      </c>
      <c r="F19" s="22">
        <f>'Sales %'!D7</f>
        <v>2200347912.2960796</v>
      </c>
      <c r="G19" s="56">
        <f t="shared" ref="G19:G22" si="1">F19*E19</f>
        <v>11498636.326051874</v>
      </c>
    </row>
    <row r="20" spans="1:7" ht="14.5" x14ac:dyDescent="0.35">
      <c r="B20" s="54" t="s">
        <v>11</v>
      </c>
      <c r="C20" s="56">
        <v>43118983.492641203</v>
      </c>
      <c r="D20" s="87">
        <f>'PPP-EE and EPEEBA'!C9</f>
        <v>0.41445398809380962</v>
      </c>
      <c r="E20" s="81">
        <v>4.2352020722565093E-3</v>
      </c>
      <c r="F20" s="22">
        <f>'Sales %'!D8</f>
        <v>9632944256.333025</v>
      </c>
      <c r="G20" s="56">
        <f>F20*E20</f>
        <v>40797465.476353064</v>
      </c>
    </row>
    <row r="21" spans="1:7" ht="14.5" x14ac:dyDescent="0.35">
      <c r="B21" s="54" t="s">
        <v>3</v>
      </c>
      <c r="C21" s="56">
        <v>1163210.7767098173</v>
      </c>
      <c r="D21" s="87">
        <f>'PPP-EE and EPEEBA'!C10</f>
        <v>1.118062872431484E-2</v>
      </c>
      <c r="E21" s="81">
        <v>3.8131229044831884E-3</v>
      </c>
      <c r="F21" s="22">
        <f>'Sales %'!D9</f>
        <v>329838223.38509023</v>
      </c>
      <c r="G21" s="56">
        <f t="shared" si="1"/>
        <v>1257713.68436373</v>
      </c>
    </row>
    <row r="22" spans="1:7" ht="14.5" x14ac:dyDescent="0.35">
      <c r="B22" s="54" t="s">
        <v>12</v>
      </c>
      <c r="C22" s="56">
        <v>87813.854332750139</v>
      </c>
      <c r="D22" s="87">
        <f>'PPP-EE and EPEEBA'!C11</f>
        <v>8.4405519773694078E-4</v>
      </c>
      <c r="E22" s="81">
        <v>1.036156343887593E-3</v>
      </c>
      <c r="F22" s="22">
        <f>'Sales %'!D10</f>
        <v>85800427</v>
      </c>
      <c r="G22" s="56">
        <f t="shared" si="1"/>
        <v>88902.656744314314</v>
      </c>
    </row>
    <row r="23" spans="1:7" ht="14.5" x14ac:dyDescent="0.35">
      <c r="B23" s="54" t="s">
        <v>4</v>
      </c>
      <c r="C23" s="56">
        <f>SUM(C18:C22)</f>
        <v>104038047</v>
      </c>
      <c r="D23" s="57">
        <f>SUM(D18:D22)</f>
        <v>0.99999999999999989</v>
      </c>
      <c r="E23" s="81">
        <v>5.2630307317336625E-3</v>
      </c>
      <c r="F23" s="22">
        <f>SUM(F18:F22)</f>
        <v>18901918960.132343</v>
      </c>
      <c r="G23" s="56">
        <f>F23*E23</f>
        <v>99481380.375915721</v>
      </c>
    </row>
    <row r="25" spans="1:7" x14ac:dyDescent="0.25">
      <c r="A25" s="55" t="s">
        <v>40</v>
      </c>
    </row>
    <row r="27" spans="1:7" x14ac:dyDescent="0.25">
      <c r="C27" s="54" t="s">
        <v>49</v>
      </c>
      <c r="D27" s="54" t="s">
        <v>43</v>
      </c>
      <c r="E27" s="54" t="s">
        <v>45</v>
      </c>
      <c r="F27" s="54" t="str">
        <f>F7</f>
        <v>Updated System Sales (2020 TY)</v>
      </c>
      <c r="G27" s="54" t="str">
        <f>G7</f>
        <v>Updated Revenues</v>
      </c>
    </row>
    <row r="28" spans="1:7" ht="14.5" x14ac:dyDescent="0.35">
      <c r="B28" s="54" t="s">
        <v>2</v>
      </c>
      <c r="C28" s="56">
        <v>49507162.250659361</v>
      </c>
      <c r="D28" s="57">
        <f>'PPP - CARE'!C7</f>
        <v>0.32469012958724708</v>
      </c>
      <c r="E28" s="81">
        <v>8.2966515343328544E-3</v>
      </c>
      <c r="F28" s="22">
        <f>'Sales %'!E6</f>
        <v>5636285489.7572746</v>
      </c>
      <c r="G28" s="56">
        <f>E28*F28</f>
        <v>46762296.656532697</v>
      </c>
    </row>
    <row r="29" spans="1:7" ht="14.5" x14ac:dyDescent="0.35">
      <c r="B29" s="54" t="s">
        <v>5</v>
      </c>
      <c r="C29" s="56">
        <v>18162465.434191164</v>
      </c>
      <c r="D29" s="57">
        <f>'PPP - CARE'!C8</f>
        <v>0.11911757788890198</v>
      </c>
      <c r="E29" s="81">
        <v>8.0821310121705851E-3</v>
      </c>
      <c r="F29" s="22">
        <f>'Sales %'!E7</f>
        <v>2198076166.8739657</v>
      </c>
      <c r="G29" s="56">
        <f t="shared" ref="G29:G33" si="2">E29*F29</f>
        <v>17765139.555405125</v>
      </c>
    </row>
    <row r="30" spans="1:7" ht="14.5" x14ac:dyDescent="0.35">
      <c r="B30" s="54" t="s">
        <v>11</v>
      </c>
      <c r="C30" s="56">
        <v>82295020.679221317</v>
      </c>
      <c r="D30" s="57">
        <f>'PPP - CARE'!C9</f>
        <v>0.5397275811009683</v>
      </c>
      <c r="E30" s="81">
        <v>8.0956088008517935E-3</v>
      </c>
      <c r="F30" s="22">
        <f>'Sales %'!E8</f>
        <v>9618286033.5699387</v>
      </c>
      <c r="G30" s="56">
        <f t="shared" si="2"/>
        <v>77865881.062478691</v>
      </c>
    </row>
    <row r="31" spans="1:7" ht="14.5" x14ac:dyDescent="0.35">
      <c r="B31" s="54" t="s">
        <v>3</v>
      </c>
      <c r="C31" s="56">
        <v>2510458.635928127</v>
      </c>
      <c r="D31" s="57">
        <f>'PPP - CARE'!C10</f>
        <v>1.6464711422882472E-2</v>
      </c>
      <c r="E31" s="81">
        <v>8.2295380313547693E-3</v>
      </c>
      <c r="F31" s="22">
        <f>'Sales %'!E9</f>
        <v>329838223.38509023</v>
      </c>
      <c r="G31" s="56">
        <f t="shared" si="2"/>
        <v>2714416.20354209</v>
      </c>
    </row>
    <row r="32" spans="1:7" ht="14.5" x14ac:dyDescent="0.35">
      <c r="B32" s="54" t="s">
        <v>12</v>
      </c>
      <c r="C32" s="56">
        <v>0</v>
      </c>
      <c r="D32" s="57">
        <f>'PPP - CARE'!C11</f>
        <v>0</v>
      </c>
      <c r="E32" s="81">
        <v>0</v>
      </c>
      <c r="F32" s="22">
        <v>0</v>
      </c>
      <c r="G32" s="88">
        <f t="shared" si="2"/>
        <v>0</v>
      </c>
    </row>
    <row r="33" spans="1:7" ht="14.5" x14ac:dyDescent="0.35">
      <c r="B33" s="54" t="s">
        <v>4</v>
      </c>
      <c r="C33" s="56">
        <f>SUM(C28:C32)</f>
        <v>152475106.99999997</v>
      </c>
      <c r="D33" s="57">
        <f>SUM(D28:D32)</f>
        <v>0.99999999999999978</v>
      </c>
      <c r="E33" s="81">
        <v>8.1603788124462676E-3</v>
      </c>
      <c r="F33" s="22">
        <f>SUM(F28:F32)</f>
        <v>17782485913.586269</v>
      </c>
      <c r="G33" s="56">
        <f t="shared" si="2"/>
        <v>145111821.28185362</v>
      </c>
    </row>
    <row r="34" spans="1:7" ht="14.5" x14ac:dyDescent="0.35">
      <c r="F34" s="22"/>
    </row>
    <row r="35" spans="1:7" x14ac:dyDescent="0.25">
      <c r="A35" s="55" t="s">
        <v>41</v>
      </c>
    </row>
    <row r="37" spans="1:7" x14ac:dyDescent="0.25">
      <c r="C37" s="54" t="s">
        <v>44</v>
      </c>
      <c r="D37" s="54" t="s">
        <v>43</v>
      </c>
      <c r="E37" s="54" t="s">
        <v>45</v>
      </c>
      <c r="F37" s="54" t="str">
        <f>F7</f>
        <v>Updated System Sales (2020 TY)</v>
      </c>
      <c r="G37" s="54" t="str">
        <f>G7</f>
        <v>Updated Revenues</v>
      </c>
    </row>
    <row r="38" spans="1:7" ht="14.5" x14ac:dyDescent="0.35">
      <c r="B38" s="54" t="s">
        <v>2</v>
      </c>
      <c r="C38" s="56">
        <v>2107259.5536224316</v>
      </c>
      <c r="D38" s="57">
        <f>'PPP - ESAP'!C7</f>
        <v>0.36151633453219451</v>
      </c>
      <c r="E38" s="81">
        <v>3.0334578611613546E-4</v>
      </c>
      <c r="F38" s="22">
        <f>'Sales %'!D6</f>
        <v>6652988141.1181479</v>
      </c>
      <c r="G38" s="56">
        <f>F38*E38</f>
        <v>2018155.9176888114</v>
      </c>
    </row>
    <row r="39" spans="1:7" ht="14.5" x14ac:dyDescent="0.35">
      <c r="B39" s="54" t="s">
        <v>5</v>
      </c>
      <c r="C39" s="56">
        <v>656330.16444574925</v>
      </c>
      <c r="D39" s="57">
        <f>'PPP - ESAP'!C8</f>
        <v>0.11259841004657432</v>
      </c>
      <c r="E39" s="81">
        <v>2.9169119884628678E-4</v>
      </c>
      <c r="F39" s="22">
        <f>'Sales %'!D7</f>
        <v>2200347912.2960796</v>
      </c>
      <c r="G39" s="56">
        <f t="shared" ref="G39:G43" si="3">F39*E39</f>
        <v>641822.12041656778</v>
      </c>
    </row>
    <row r="40" spans="1:7" ht="14.5" x14ac:dyDescent="0.35">
      <c r="B40" s="54" t="s">
        <v>96</v>
      </c>
      <c r="C40" s="56">
        <v>2974753.3368347241</v>
      </c>
      <c r="D40" s="57">
        <f>'PPP - ESAP'!C9</f>
        <v>0.51034146250338597</v>
      </c>
      <c r="E40" s="81">
        <v>2.9218410259519484E-4</v>
      </c>
      <c r="F40" s="22">
        <f>'Sales %'!D8</f>
        <v>9632944256.333025</v>
      </c>
      <c r="G40" s="56">
        <f t="shared" si="3"/>
        <v>2814593.1728862012</v>
      </c>
    </row>
    <row r="41" spans="1:7" ht="14.5" x14ac:dyDescent="0.35">
      <c r="B41" s="54" t="s">
        <v>3</v>
      </c>
      <c r="C41" s="56">
        <v>90603.94509709542</v>
      </c>
      <c r="D41" s="57">
        <f>'PPP - ESAP'!C10</f>
        <v>1.5543792917845268E-2</v>
      </c>
      <c r="E41" s="81">
        <v>2.9700892151591428E-4</v>
      </c>
      <c r="F41" s="22">
        <f>'Sales %'!D9</f>
        <v>329838223.38509023</v>
      </c>
      <c r="G41" s="56">
        <f t="shared" si="3"/>
        <v>97964.895002330872</v>
      </c>
    </row>
    <row r="42" spans="1:7" ht="14.5" x14ac:dyDescent="0.35">
      <c r="B42" s="54" t="s">
        <v>12</v>
      </c>
      <c r="C42" s="56">
        <v>0</v>
      </c>
      <c r="D42" s="57">
        <f>'PPP - ESAP'!C11</f>
        <v>0</v>
      </c>
      <c r="E42" s="81">
        <v>0</v>
      </c>
      <c r="F42" s="22">
        <v>0</v>
      </c>
      <c r="G42" s="56">
        <f t="shared" si="3"/>
        <v>0</v>
      </c>
    </row>
    <row r="43" spans="1:7" ht="14.5" x14ac:dyDescent="0.35">
      <c r="B43" s="54" t="s">
        <v>4</v>
      </c>
      <c r="C43" s="56">
        <f>SUM(C38:C42)</f>
        <v>5828947</v>
      </c>
      <c r="D43" s="57">
        <f>SUM(D38:D42)</f>
        <v>1</v>
      </c>
      <c r="E43" s="81">
        <v>2.961418360053539E-4</v>
      </c>
      <c r="F43" s="22">
        <f>SUM(F38:F42)</f>
        <v>18816118533.132343</v>
      </c>
      <c r="G43" s="56">
        <f t="shared" si="3"/>
        <v>5572239.8888961785</v>
      </c>
    </row>
    <row r="44" spans="1:7" ht="14.5" x14ac:dyDescent="0.35">
      <c r="F44" s="22"/>
    </row>
    <row r="45" spans="1:7" ht="14.5" x14ac:dyDescent="0.35">
      <c r="A45" s="55" t="s">
        <v>42</v>
      </c>
      <c r="F45" s="22"/>
    </row>
    <row r="47" spans="1:7" x14ac:dyDescent="0.25">
      <c r="C47" s="54" t="s">
        <v>44</v>
      </c>
      <c r="D47" s="54" t="s">
        <v>43</v>
      </c>
      <c r="E47" s="54" t="s">
        <v>45</v>
      </c>
      <c r="F47" s="54" t="str">
        <f>F7</f>
        <v>Updated System Sales (2020 TY)</v>
      </c>
      <c r="G47" s="54" t="s">
        <v>46</v>
      </c>
    </row>
    <row r="48" spans="1:7" ht="14.5" x14ac:dyDescent="0.35">
      <c r="B48" s="54" t="s">
        <v>2</v>
      </c>
      <c r="C48" s="56">
        <v>6168222.8100098418</v>
      </c>
      <c r="D48" s="57">
        <f>'PPP- EPIC'!C7</f>
        <v>0.35991938342165714</v>
      </c>
      <c r="E48" s="81">
        <v>8.8793257291226355E-4</v>
      </c>
      <c r="F48" s="22">
        <f>'Sales %'!D6</f>
        <v>6652988141.1181479</v>
      </c>
      <c r="G48" s="56">
        <f>F48*E48</f>
        <v>5907404.8776978143</v>
      </c>
    </row>
    <row r="49" spans="1:12" ht="14.5" x14ac:dyDescent="0.35">
      <c r="B49" s="54" t="s">
        <v>5</v>
      </c>
      <c r="C49" s="56">
        <v>1921163.7618500751</v>
      </c>
      <c r="D49" s="57">
        <f>'PPP- EPIC'!C8</f>
        <v>0.1121010213014674</v>
      </c>
      <c r="E49" s="81">
        <v>8.5381808003189962E-4</v>
      </c>
      <c r="F49" s="22">
        <f>'Sales %'!D7</f>
        <v>2200347912.2960796</v>
      </c>
      <c r="G49" s="56">
        <f t="shared" ref="G49:G52" si="4">F49*E49</f>
        <v>1878696.8298788373</v>
      </c>
    </row>
    <row r="50" spans="1:12" ht="14.5" x14ac:dyDescent="0.35">
      <c r="B50" s="54" t="s">
        <v>96</v>
      </c>
      <c r="C50" s="56">
        <v>8707489.9505732693</v>
      </c>
      <c r="D50" s="57">
        <f>'PPP- EPIC'!C9</f>
        <v>0.50808709586085887</v>
      </c>
      <c r="E50" s="81">
        <v>8.5526087341818559E-4</v>
      </c>
      <c r="F50" s="22">
        <f>'Sales %'!D8</f>
        <v>9632944256.333025</v>
      </c>
      <c r="G50" s="56">
        <f t="shared" si="4"/>
        <v>8238680.3182600774</v>
      </c>
    </row>
    <row r="51" spans="1:12" ht="14.5" x14ac:dyDescent="0.35">
      <c r="B51" s="54" t="s">
        <v>3</v>
      </c>
      <c r="C51" s="56">
        <v>265209.53238251066</v>
      </c>
      <c r="D51" s="57">
        <f>'PPP- EPIC'!C10</f>
        <v>1.5475130246228404E-2</v>
      </c>
      <c r="E51" s="81">
        <v>8.6938374597547881E-4</v>
      </c>
      <c r="F51" s="22">
        <f>'Sales %'!D9</f>
        <v>329838223.38509023</v>
      </c>
      <c r="G51" s="56">
        <f t="shared" si="4"/>
        <v>286755.99021242652</v>
      </c>
    </row>
    <row r="52" spans="1:12" ht="14.5" x14ac:dyDescent="0.35">
      <c r="B52" s="54" t="s">
        <v>12</v>
      </c>
      <c r="C52" s="56">
        <v>75703.945184301643</v>
      </c>
      <c r="D52" s="57">
        <f>'PPP- EPIC'!C11</f>
        <v>4.4173691697880326E-3</v>
      </c>
      <c r="E52" s="81">
        <v>8.9326591636438581E-4</v>
      </c>
      <c r="F52" s="22">
        <f>'Sales %'!D10</f>
        <v>85800427</v>
      </c>
      <c r="G52" s="56">
        <f t="shared" si="4"/>
        <v>76642.597048610594</v>
      </c>
    </row>
    <row r="53" spans="1:12" ht="14.5" x14ac:dyDescent="0.35">
      <c r="B53" s="54" t="s">
        <v>4</v>
      </c>
      <c r="C53" s="56">
        <f>SUM(C48:C52)</f>
        <v>17137789.999999996</v>
      </c>
      <c r="D53" s="57">
        <f>SUM(D48:D52)</f>
        <v>0.99999999999999989</v>
      </c>
      <c r="E53" s="81">
        <v>8.6695894477909451E-4</v>
      </c>
      <c r="F53" s="22">
        <f>SUM(F48:F52)</f>
        <v>18901918960.132343</v>
      </c>
      <c r="G53" s="56">
        <f>F53*E53</f>
        <v>16387187.715976296</v>
      </c>
    </row>
    <row r="54" spans="1:12" ht="14.5" x14ac:dyDescent="0.35">
      <c r="F54" s="22"/>
      <c r="G54" s="56"/>
    </row>
    <row r="55" spans="1:12" ht="14.5" x14ac:dyDescent="0.35">
      <c r="A55" s="55" t="s">
        <v>85</v>
      </c>
      <c r="F55" s="22"/>
    </row>
    <row r="57" spans="1:12" x14ac:dyDescent="0.25">
      <c r="C57" s="54" t="s">
        <v>44</v>
      </c>
      <c r="D57" s="54" t="s">
        <v>43</v>
      </c>
      <c r="E57" s="54" t="s">
        <v>45</v>
      </c>
      <c r="F57" s="54" t="str">
        <f>F17</f>
        <v>Updated System Sales (2020 TY)</v>
      </c>
      <c r="G57" s="54" t="s">
        <v>46</v>
      </c>
    </row>
    <row r="58" spans="1:12" ht="14.5" x14ac:dyDescent="0.35">
      <c r="B58" s="54" t="s">
        <v>2</v>
      </c>
      <c r="C58" s="56">
        <v>7223366.0736426059</v>
      </c>
      <c r="D58" s="57">
        <f>'PPP - SGIP'!C7</f>
        <v>0.35991938342165714</v>
      </c>
      <c r="E58" s="81">
        <v>1.0398233365448743E-3</v>
      </c>
      <c r="F58" s="22">
        <f>'Sales %'!D6</f>
        <v>6652988141.1181479</v>
      </c>
      <c r="G58" s="56">
        <f>F58*E58</f>
        <v>6917932.3268909529</v>
      </c>
    </row>
    <row r="59" spans="1:12" ht="14.5" x14ac:dyDescent="0.35">
      <c r="B59" s="54" t="s">
        <v>5</v>
      </c>
      <c r="C59" s="56">
        <v>2249800.2369076698</v>
      </c>
      <c r="D59" s="57">
        <f>'PPP - SGIP'!C8</f>
        <v>0.1121010213014674</v>
      </c>
      <c r="E59" s="81">
        <v>9.9987317941182641E-4</v>
      </c>
      <c r="F59" s="22">
        <f>'Sales %'!D7</f>
        <v>2200347912.2960796</v>
      </c>
      <c r="G59" s="56">
        <f t="shared" ref="G59:G65" si="5">F59*E59</f>
        <v>2200068.8628796558</v>
      </c>
    </row>
    <row r="60" spans="1:12" ht="14.5" x14ac:dyDescent="0.35">
      <c r="B60" s="54" t="s">
        <v>95</v>
      </c>
      <c r="C60" s="56"/>
      <c r="D60" s="57"/>
      <c r="E60" s="81"/>
      <c r="F60" s="22"/>
      <c r="G60" s="56"/>
    </row>
    <row r="61" spans="1:12" ht="14.5" x14ac:dyDescent="0.35">
      <c r="B61" s="54" t="s">
        <v>86</v>
      </c>
      <c r="C61" s="56">
        <v>10197003.161669921</v>
      </c>
      <c r="D61" s="57">
        <f>'PPP - SGIP'!C9</f>
        <v>0.50808709586085887</v>
      </c>
      <c r="E61" s="81">
        <v>1.0664728715387918E-3</v>
      </c>
      <c r="F61" s="22">
        <v>7573471454.7002974</v>
      </c>
      <c r="G61" s="56">
        <f t="shared" si="5"/>
        <v>8076901.8498112969</v>
      </c>
      <c r="I61" s="80"/>
    </row>
    <row r="62" spans="1:12" ht="14.5" x14ac:dyDescent="0.35">
      <c r="B62" s="54" t="s">
        <v>94</v>
      </c>
      <c r="C62" s="56"/>
      <c r="D62" s="57"/>
      <c r="E62" s="81"/>
      <c r="F62" s="22"/>
      <c r="G62" s="56"/>
    </row>
    <row r="63" spans="1:12" ht="14.5" x14ac:dyDescent="0.35">
      <c r="B63" s="54" t="s">
        <v>87</v>
      </c>
      <c r="C63" s="56"/>
      <c r="D63" s="57"/>
      <c r="E63" s="81">
        <v>0.39257922935176243</v>
      </c>
      <c r="F63" s="22">
        <v>4857865.0255947243</v>
      </c>
      <c r="G63" s="56">
        <f>F63*E63</f>
        <v>1907096.9080428565</v>
      </c>
      <c r="I63" s="22"/>
      <c r="L63" s="22"/>
    </row>
    <row r="64" spans="1:12" ht="14.5" x14ac:dyDescent="0.35">
      <c r="B64" s="54" t="s">
        <v>3</v>
      </c>
      <c r="C64" s="56">
        <v>310576.57896365633</v>
      </c>
      <c r="D64" s="57">
        <f>'PPP - SGIP'!C10</f>
        <v>1.5475130246228404E-2</v>
      </c>
      <c r="E64" s="81">
        <v>1.0181015260124133E-3</v>
      </c>
      <c r="F64" s="22">
        <f>'Sales %'!D9</f>
        <v>329838223.38509023</v>
      </c>
      <c r="G64" s="56">
        <f t="shared" si="5"/>
        <v>335808.79856558365</v>
      </c>
      <c r="I64" s="22"/>
    </row>
    <row r="65" spans="1:9" ht="14.5" x14ac:dyDescent="0.35">
      <c r="B65" s="54" t="s">
        <v>12</v>
      </c>
      <c r="C65" s="56">
        <v>88653.948816143937</v>
      </c>
      <c r="D65" s="57">
        <f>'PPP - SGIP'!C11</f>
        <v>4.4173691697880326E-3</v>
      </c>
      <c r="E65" s="81">
        <v>1.0460690078407662E-3</v>
      </c>
      <c r="F65" s="22">
        <f>'Sales %'!D10</f>
        <v>85800427</v>
      </c>
      <c r="G65" s="56">
        <f t="shared" si="5"/>
        <v>89753.167544204087</v>
      </c>
    </row>
    <row r="66" spans="1:9" ht="14.5" x14ac:dyDescent="0.35">
      <c r="B66" s="54" t="s">
        <v>4</v>
      </c>
      <c r="C66" s="56">
        <f>SUM(C58:C65)</f>
        <v>20069399.999999996</v>
      </c>
      <c r="D66" s="57">
        <f>SUM(D58:D65)</f>
        <v>0.99999999999999989</v>
      </c>
      <c r="E66" s="81">
        <v>1.015261935544172E-3</v>
      </c>
      <c r="F66" s="22">
        <f>SUM(F58:F65)</f>
        <v>16847304023.525209</v>
      </c>
      <c r="G66" s="56">
        <f>F66*E66</f>
        <v>17104426.49162532</v>
      </c>
    </row>
    <row r="68" spans="1:9" ht="14.5" x14ac:dyDescent="0.35">
      <c r="A68" s="55" t="s">
        <v>92</v>
      </c>
      <c r="F68" s="22"/>
    </row>
    <row r="70" spans="1:9" x14ac:dyDescent="0.25">
      <c r="C70" s="54" t="s">
        <v>44</v>
      </c>
      <c r="D70" s="54" t="s">
        <v>43</v>
      </c>
      <c r="E70" s="54" t="s">
        <v>45</v>
      </c>
      <c r="F70" s="54" t="str">
        <f>F27</f>
        <v>Updated System Sales (2020 TY)</v>
      </c>
      <c r="G70" s="54" t="s">
        <v>46</v>
      </c>
    </row>
    <row r="71" spans="1:9" ht="14.5" x14ac:dyDescent="0.35">
      <c r="B71" s="54" t="s">
        <v>2</v>
      </c>
      <c r="C71" s="56">
        <v>831792.21050260798</v>
      </c>
      <c r="D71" s="57">
        <f>'PPP - CSI'!C7</f>
        <v>0.41548062462667729</v>
      </c>
      <c r="E71" s="81">
        <v>1.4026412121722985E-4</v>
      </c>
      <c r="F71" s="22">
        <f>'Sales %'!D6</f>
        <v>6652988141.1181479</v>
      </c>
      <c r="G71" s="56">
        <f>F71*E71</f>
        <v>933175.53508258855</v>
      </c>
    </row>
    <row r="72" spans="1:9" ht="14.5" x14ac:dyDescent="0.35">
      <c r="B72" s="54" t="s">
        <v>5</v>
      </c>
      <c r="C72" s="56">
        <v>227673.80343577184</v>
      </c>
      <c r="D72" s="57">
        <f>'PPP - CSI'!C8</f>
        <v>0.11372317853934658</v>
      </c>
      <c r="E72" s="81">
        <v>1.0131276032289539E-4</v>
      </c>
      <c r="F72" s="22">
        <f>'Sales %'!D7</f>
        <v>2200347912.2960796</v>
      </c>
      <c r="G72" s="56">
        <f>F72*E72</f>
        <v>222923.32066543595</v>
      </c>
    </row>
    <row r="73" spans="1:9" ht="14.5" x14ac:dyDescent="0.35">
      <c r="B73" s="54" t="s">
        <v>95</v>
      </c>
      <c r="C73" s="56"/>
      <c r="D73" s="57"/>
      <c r="E73" s="81"/>
      <c r="F73" s="22"/>
      <c r="G73" s="56"/>
    </row>
    <row r="74" spans="1:9" ht="14.5" x14ac:dyDescent="0.35">
      <c r="B74" s="54" t="s">
        <v>86</v>
      </c>
      <c r="C74" s="56">
        <v>900096.82433720084</v>
      </c>
      <c r="D74" s="57">
        <f>'PPP - CSI'!C9</f>
        <v>0.44959881335524515</v>
      </c>
      <c r="E74" s="81">
        <v>9.4320249867953183E-5</v>
      </c>
      <c r="F74" s="22">
        <v>7558813231.9372101</v>
      </c>
      <c r="G74" s="56">
        <f t="shared" ref="G74" si="6">F74*E74</f>
        <v>712949.15274150844</v>
      </c>
    </row>
    <row r="75" spans="1:9" ht="14.5" x14ac:dyDescent="0.35">
      <c r="B75" s="54" t="s">
        <v>94</v>
      </c>
      <c r="C75" s="56"/>
      <c r="D75" s="57"/>
      <c r="E75" s="81"/>
      <c r="F75" s="22"/>
      <c r="G75" s="56"/>
    </row>
    <row r="76" spans="1:9" ht="14.5" x14ac:dyDescent="0.35">
      <c r="B76" s="54" t="s">
        <v>87</v>
      </c>
      <c r="C76" s="56"/>
      <c r="D76" s="57"/>
      <c r="E76" s="81">
        <v>3.4653251748369453E-2</v>
      </c>
      <c r="F76" s="22">
        <v>4857865.0255947243</v>
      </c>
      <c r="G76" s="56">
        <f>F76*E76</f>
        <v>168340.81969153319</v>
      </c>
      <c r="I76" s="22"/>
    </row>
    <row r="77" spans="1:9" ht="14.5" x14ac:dyDescent="0.35">
      <c r="B77" s="54" t="s">
        <v>3</v>
      </c>
      <c r="C77" s="56">
        <v>31859.138007915775</v>
      </c>
      <c r="D77" s="57">
        <f>'PPP - CSI'!C10</f>
        <v>1.5913655348609279E-2</v>
      </c>
      <c r="E77" s="81">
        <v>1.0443748569686824E-4</v>
      </c>
      <c r="F77" s="22">
        <f>'Sales %'!D9</f>
        <v>329838223.38509023</v>
      </c>
      <c r="G77" s="56">
        <f t="shared" ref="G77:G78" si="7">F77*E77</f>
        <v>34447.474737060795</v>
      </c>
    </row>
    <row r="78" spans="1:9" ht="14.5" x14ac:dyDescent="0.35">
      <c r="B78" s="54" t="s">
        <v>12</v>
      </c>
      <c r="C78" s="56">
        <v>10578.023716503947</v>
      </c>
      <c r="D78" s="57">
        <f>'PPP - CSI'!C11</f>
        <v>5.2837281301218514E-3</v>
      </c>
      <c r="E78" s="81">
        <v>1.248150017207623E-4</v>
      </c>
      <c r="F78" s="22">
        <f>'Sales %'!D10</f>
        <v>85800427</v>
      </c>
      <c r="G78" s="56">
        <f t="shared" si="7"/>
        <v>10709.180443647141</v>
      </c>
    </row>
    <row r="79" spans="1:9" ht="14.5" x14ac:dyDescent="0.35">
      <c r="B79" s="54" t="s">
        <v>4</v>
      </c>
      <c r="C79" s="56">
        <f>SUM(C71:C78)</f>
        <v>2002000.0000000005</v>
      </c>
      <c r="D79" s="57">
        <f>SUM(D71:D78)</f>
        <v>1.0000000000000002</v>
      </c>
      <c r="E79" s="81">
        <v>2.336812241714178E-4</v>
      </c>
      <c r="F79" s="22">
        <f>SUM(F71:F78)</f>
        <v>16832645800.762121</v>
      </c>
      <c r="G79" s="56">
        <f>F79*E79</f>
        <v>3933473.2767659677</v>
      </c>
    </row>
    <row r="81" spans="1:7" ht="14.5" x14ac:dyDescent="0.35">
      <c r="A81" s="55" t="s">
        <v>98</v>
      </c>
      <c r="F81" s="22"/>
    </row>
    <row r="83" spans="1:7" x14ac:dyDescent="0.25">
      <c r="C83" s="54" t="s">
        <v>44</v>
      </c>
      <c r="D83" s="54" t="s">
        <v>43</v>
      </c>
      <c r="E83" s="54" t="s">
        <v>45</v>
      </c>
      <c r="F83" s="54" t="str">
        <f>F70</f>
        <v>Updated System Sales (2020 TY)</v>
      </c>
      <c r="G83" s="54" t="s">
        <v>46</v>
      </c>
    </row>
    <row r="84" spans="1:7" ht="14.5" x14ac:dyDescent="0.35">
      <c r="B84" s="54" t="s">
        <v>2</v>
      </c>
      <c r="C84" s="56">
        <v>18545.975511893965</v>
      </c>
      <c r="D84" s="57">
        <f>'PPP - Food Bank'!C7</f>
        <v>0.32469012958724708</v>
      </c>
      <c r="E84" s="81">
        <v>3.1080249642950462E-6</v>
      </c>
      <c r="F84" s="22">
        <f>'Sales %'!E6</f>
        <v>5636285489.7572746</v>
      </c>
      <c r="G84" s="56">
        <f>F84*E84</f>
        <v>17517.716008059542</v>
      </c>
    </row>
    <row r="85" spans="1:7" ht="14.5" x14ac:dyDescent="0.35">
      <c r="B85" s="54" t="s">
        <v>5</v>
      </c>
      <c r="C85" s="56">
        <v>6803.8769314361925</v>
      </c>
      <c r="D85" s="57">
        <f>'PPP - Food Bank'!C8</f>
        <v>0.11911757788890198</v>
      </c>
      <c r="E85" s="81">
        <v>3.0276630091767811E-6</v>
      </c>
      <c r="F85" s="22">
        <f>'Sales %'!E7</f>
        <v>2198076166.8739657</v>
      </c>
      <c r="G85" s="56">
        <f t="shared" ref="G85:G87" si="8">F85*E85</f>
        <v>6655.0339017973956</v>
      </c>
    </row>
    <row r="86" spans="1:7" ht="14.5" x14ac:dyDescent="0.35">
      <c r="B86" s="54" t="s">
        <v>96</v>
      </c>
      <c r="C86" s="56">
        <v>30828.699704906208</v>
      </c>
      <c r="D86" s="57">
        <f>'PPP - Food Bank'!C9</f>
        <v>0.5397275811009683</v>
      </c>
      <c r="E86" s="81">
        <v>3.0327119501273977E-6</v>
      </c>
      <c r="F86" s="22">
        <f>'Sales %'!E8</f>
        <v>9618286033.5699387</v>
      </c>
      <c r="G86" s="56">
        <f t="shared" si="8"/>
        <v>29169.490993751002</v>
      </c>
    </row>
    <row r="87" spans="1:7" ht="14.5" x14ac:dyDescent="0.35">
      <c r="B87" s="54" t="s">
        <v>3</v>
      </c>
      <c r="C87" s="56">
        <v>940.44785176362393</v>
      </c>
      <c r="D87" s="57">
        <f>'PPP - Food Bank'!C10</f>
        <v>1.6464711422882472E-2</v>
      </c>
      <c r="E87" s="81">
        <v>3.0828834428229201E-6</v>
      </c>
      <c r="F87" s="22">
        <f>'Sales %'!E9</f>
        <v>329838223.38509023</v>
      </c>
      <c r="G87" s="56">
        <f t="shared" si="8"/>
        <v>1016.8527976840223</v>
      </c>
    </row>
    <row r="88" spans="1:7" ht="14.5" x14ac:dyDescent="0.35">
      <c r="B88" s="54" t="s">
        <v>12</v>
      </c>
      <c r="C88" s="56">
        <v>0</v>
      </c>
      <c r="D88" s="57">
        <f>'PPP - Food Bank'!C11</f>
        <v>0</v>
      </c>
      <c r="E88" s="81">
        <v>0</v>
      </c>
      <c r="F88" s="22" t="str">
        <f>'Sales %'!E10</f>
        <v>-</v>
      </c>
      <c r="G88" s="88">
        <v>0</v>
      </c>
    </row>
    <row r="89" spans="1:7" ht="14.5" x14ac:dyDescent="0.35">
      <c r="B89" s="54" t="s">
        <v>4</v>
      </c>
      <c r="C89" s="56">
        <f>SUM(C84:C88)</f>
        <v>57118.999999999993</v>
      </c>
      <c r="D89" s="57">
        <f>SUM(D84:D88)</f>
        <v>0.99999999999999978</v>
      </c>
      <c r="E89" s="81">
        <v>3.0569755716788471E-6</v>
      </c>
      <c r="F89" s="22">
        <f>SUM(F84:F88)</f>
        <v>17782485913.586269</v>
      </c>
      <c r="G89" s="56">
        <f>F89*E89</f>
        <v>54360.625041556428</v>
      </c>
    </row>
    <row r="91" spans="1:7" ht="14.5" x14ac:dyDescent="0.35">
      <c r="A91" s="55" t="s">
        <v>97</v>
      </c>
      <c r="F91" s="22"/>
    </row>
    <row r="93" spans="1:7" x14ac:dyDescent="0.25">
      <c r="C93" s="54" t="s">
        <v>44</v>
      </c>
      <c r="D93" s="54" t="s">
        <v>43</v>
      </c>
      <c r="E93" s="54" t="s">
        <v>45</v>
      </c>
      <c r="F93" s="54" t="str">
        <f>F70</f>
        <v>Updated System Sales (2020 TY)</v>
      </c>
      <c r="G93" s="54" t="s">
        <v>46</v>
      </c>
    </row>
    <row r="94" spans="1:7" ht="14.5" x14ac:dyDescent="0.35">
      <c r="B94" s="54" t="s">
        <v>2</v>
      </c>
      <c r="C94" s="56">
        <v>706222.46140081517</v>
      </c>
      <c r="D94" s="57">
        <f>'PPP - FERA'!C7</f>
        <v>0.32469012958724708</v>
      </c>
      <c r="E94" s="81">
        <v>1.1835220201665592E-4</v>
      </c>
      <c r="F94" s="22">
        <f>'Sales %'!E6</f>
        <v>5636285489.7572746</v>
      </c>
      <c r="G94" s="56">
        <f>F94*E94</f>
        <v>667066.79890729941</v>
      </c>
    </row>
    <row r="95" spans="1:7" ht="14.5" x14ac:dyDescent="0.35">
      <c r="B95" s="54" t="s">
        <v>5</v>
      </c>
      <c r="C95" s="56">
        <v>259088.59366850246</v>
      </c>
      <c r="D95" s="57">
        <f>'PPP - FERA'!C8</f>
        <v>0.11911757788890198</v>
      </c>
      <c r="E95" s="81">
        <v>1.152920546703917E-4</v>
      </c>
      <c r="F95" s="22">
        <f>'Sales %'!E7</f>
        <v>2198076166.8739657</v>
      </c>
      <c r="G95" s="56">
        <f t="shared" ref="G95:G97" si="9">F95*E95</f>
        <v>253420.71760091829</v>
      </c>
    </row>
    <row r="96" spans="1:7" ht="14.5" x14ac:dyDescent="0.35">
      <c r="B96" s="54" t="s">
        <v>96</v>
      </c>
      <c r="C96" s="56">
        <v>1173943.1109149586</v>
      </c>
      <c r="D96" s="57">
        <f>'PPP - FERA'!C9</f>
        <v>0.5397275811009683</v>
      </c>
      <c r="E96" s="81">
        <v>1.1548431608599236E-4</v>
      </c>
      <c r="F96" s="22">
        <f>'Sales %'!E8</f>
        <v>9618286033.5699387</v>
      </c>
      <c r="G96" s="56">
        <f t="shared" si="9"/>
        <v>1110761.1845062766</v>
      </c>
    </row>
    <row r="97" spans="2:7" ht="14.5" x14ac:dyDescent="0.35">
      <c r="B97" s="54" t="s">
        <v>3</v>
      </c>
      <c r="C97" s="56">
        <v>35811.834015723289</v>
      </c>
      <c r="D97" s="57">
        <f>'PPP - FERA'!C10</f>
        <v>1.6464711422882472E-2</v>
      </c>
      <c r="E97" s="81">
        <v>1.1739482411189058E-4</v>
      </c>
      <c r="F97" s="22">
        <f>'Sales %'!E9</f>
        <v>329838223.38509023</v>
      </c>
      <c r="G97" s="56">
        <f t="shared" si="9"/>
        <v>38721.300219671146</v>
      </c>
    </row>
    <row r="98" spans="2:7" ht="14.5" x14ac:dyDescent="0.35">
      <c r="B98" s="54" t="s">
        <v>12</v>
      </c>
      <c r="C98" s="56">
        <v>0</v>
      </c>
      <c r="D98" s="57">
        <f>'PPP - FERA'!C11</f>
        <v>0</v>
      </c>
      <c r="E98" s="81">
        <v>0</v>
      </c>
      <c r="F98" s="22" t="str">
        <f>'Sales %'!E10</f>
        <v>-</v>
      </c>
      <c r="G98" s="88">
        <v>0</v>
      </c>
    </row>
    <row r="99" spans="2:7" ht="14.5" x14ac:dyDescent="0.35">
      <c r="B99" s="54" t="s">
        <v>4</v>
      </c>
      <c r="C99" s="56">
        <f>SUM(C94:C98)</f>
        <v>2175065.9999999995</v>
      </c>
      <c r="D99" s="57">
        <f>SUM(D94:D98)</f>
        <v>0.99999999999999978</v>
      </c>
      <c r="E99" s="81">
        <v>1.1640826395401219E-4</v>
      </c>
      <c r="F99" s="22">
        <f>SUM(F94:F98)</f>
        <v>17782485913.586269</v>
      </c>
      <c r="G99" s="56">
        <f>F99*E99</f>
        <v>2070028.3139872539</v>
      </c>
    </row>
  </sheetData>
  <mergeCells count="3">
    <mergeCell ref="A1:G1"/>
    <mergeCell ref="A2:G2"/>
    <mergeCell ref="A3:G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J26"/>
  <sheetViews>
    <sheetView zoomScale="85" zoomScaleNormal="85" workbookViewId="0">
      <selection activeCell="A3" sqref="A3:E3"/>
    </sheetView>
  </sheetViews>
  <sheetFormatPr defaultColWidth="9.33203125" defaultRowHeight="14.5" x14ac:dyDescent="0.35"/>
  <cols>
    <col min="1" max="1" width="9.33203125" style="1"/>
    <col min="2" max="2" width="15.44140625" style="1" bestFit="1" customWidth="1"/>
    <col min="3" max="3" width="13.109375" style="1" bestFit="1" customWidth="1"/>
    <col min="4" max="4" width="14.109375" style="1" bestFit="1" customWidth="1"/>
    <col min="5" max="5" width="25.44140625" style="1" bestFit="1" customWidth="1"/>
    <col min="6" max="6" width="9.33203125" style="1" customWidth="1"/>
    <col min="7" max="7" width="14.109375" style="1" customWidth="1"/>
    <col min="8" max="9" width="9.33203125" style="1"/>
    <col min="10" max="10" width="12.44140625" style="1" customWidth="1"/>
    <col min="11" max="16384" width="9.33203125" style="1"/>
  </cols>
  <sheetData>
    <row r="1" spans="1:10" x14ac:dyDescent="0.35">
      <c r="A1" s="100" t="s">
        <v>54</v>
      </c>
      <c r="B1" s="100"/>
      <c r="C1" s="100"/>
      <c r="D1" s="100"/>
      <c r="E1" s="100"/>
      <c r="F1" s="100"/>
    </row>
    <row r="2" spans="1:10" x14ac:dyDescent="0.35">
      <c r="A2" s="100" t="s">
        <v>112</v>
      </c>
      <c r="B2" s="100"/>
      <c r="C2" s="100"/>
      <c r="D2" s="100"/>
      <c r="E2" s="100"/>
      <c r="F2" s="46"/>
    </row>
    <row r="3" spans="1:10" x14ac:dyDescent="0.35">
      <c r="A3" s="100" t="s">
        <v>81</v>
      </c>
      <c r="B3" s="100"/>
      <c r="C3" s="100"/>
      <c r="D3" s="100"/>
      <c r="E3" s="100"/>
      <c r="F3" s="46"/>
    </row>
    <row r="5" spans="1:10" x14ac:dyDescent="0.35">
      <c r="B5" s="27"/>
    </row>
    <row r="6" spans="1:10" x14ac:dyDescent="0.35">
      <c r="C6" s="2" t="s">
        <v>7</v>
      </c>
      <c r="D6" s="2" t="s">
        <v>8</v>
      </c>
      <c r="E6" s="2" t="s">
        <v>9</v>
      </c>
    </row>
    <row r="7" spans="1:10" x14ac:dyDescent="0.35">
      <c r="B7" s="2" t="s">
        <v>2</v>
      </c>
      <c r="C7" s="3">
        <f t="shared" ref="C7:C12" si="0">C17/$C$23</f>
        <v>0.44201131741884964</v>
      </c>
      <c r="D7" s="3">
        <f t="shared" ref="D7:D11" si="1">D17/$D$23</f>
        <v>0.4420104047365182</v>
      </c>
      <c r="E7" s="4">
        <f>(D7-C7)/C7</f>
        <v>-2.0648392823125375E-6</v>
      </c>
    </row>
    <row r="8" spans="1:10" x14ac:dyDescent="0.35">
      <c r="B8" s="2" t="s">
        <v>10</v>
      </c>
      <c r="C8" s="3">
        <f t="shared" si="0"/>
        <v>0.15778023473846689</v>
      </c>
      <c r="D8" s="3">
        <f t="shared" si="1"/>
        <v>0.15683482052939465</v>
      </c>
      <c r="E8" s="4">
        <f>(D8-C8)/C8</f>
        <v>-5.9919685798372367E-3</v>
      </c>
    </row>
    <row r="9" spans="1:10" x14ac:dyDescent="0.35">
      <c r="B9" s="2" t="s">
        <v>11</v>
      </c>
      <c r="C9" s="3">
        <f t="shared" si="0"/>
        <v>0.38062920731815991</v>
      </c>
      <c r="D9" s="3">
        <f t="shared" si="1"/>
        <v>0.36752003462180177</v>
      </c>
      <c r="E9" s="4">
        <f>(D9-C9)/C9</f>
        <v>-3.4440795515201912E-2</v>
      </c>
    </row>
    <row r="10" spans="1:10" x14ac:dyDescent="0.35">
      <c r="B10" s="2" t="s">
        <v>3</v>
      </c>
      <c r="C10" s="3">
        <f t="shared" si="0"/>
        <v>1.306973354709132E-2</v>
      </c>
      <c r="D10" s="3">
        <f t="shared" si="1"/>
        <v>1.3038910798892708E-2</v>
      </c>
      <c r="E10" s="4">
        <f>(D10-C10)/C10</f>
        <v>-2.3583302664553448E-3</v>
      </c>
    </row>
    <row r="11" spans="1:10" x14ac:dyDescent="0.35">
      <c r="B11" s="2" t="s">
        <v>12</v>
      </c>
      <c r="C11" s="3">
        <f t="shared" si="0"/>
        <v>6.5095069774320476E-3</v>
      </c>
      <c r="D11" s="3">
        <f t="shared" si="1"/>
        <v>6.4326888219221673E-3</v>
      </c>
      <c r="E11" s="4">
        <f>(D11-C11)/C11</f>
        <v>-1.1800917608077369E-2</v>
      </c>
    </row>
    <row r="12" spans="1:10" x14ac:dyDescent="0.35">
      <c r="B12" s="2" t="s">
        <v>108</v>
      </c>
      <c r="C12" s="3">
        <f t="shared" si="0"/>
        <v>0</v>
      </c>
      <c r="D12" s="3">
        <f>D22/$D$23</f>
        <v>1.4163140491470298E-2</v>
      </c>
      <c r="E12" s="4">
        <f>IF(ISERROR(D12-C12/C12),0,D12-C12/C12)</f>
        <v>0</v>
      </c>
    </row>
    <row r="13" spans="1:10" x14ac:dyDescent="0.35">
      <c r="J13" s="4"/>
    </row>
    <row r="14" spans="1:10" x14ac:dyDescent="0.35">
      <c r="B14" s="27"/>
      <c r="J14" s="4"/>
    </row>
    <row r="15" spans="1:10" ht="15" thickBot="1" x14ac:dyDescent="0.4">
      <c r="B15" s="27"/>
    </row>
    <row r="16" spans="1:10" ht="56.5" thickBot="1" x14ac:dyDescent="0.4">
      <c r="B16" s="6"/>
      <c r="C16" s="7" t="s">
        <v>13</v>
      </c>
      <c r="D16" s="7" t="s">
        <v>14</v>
      </c>
      <c r="E16" s="7" t="s">
        <v>15</v>
      </c>
    </row>
    <row r="17" spans="2:5" ht="15" thickBot="1" x14ac:dyDescent="0.4">
      <c r="B17" s="8" t="s">
        <v>2</v>
      </c>
      <c r="C17" s="12">
        <v>629694.1458658285</v>
      </c>
      <c r="D17" s="12">
        <v>629692.84564862191</v>
      </c>
      <c r="E17" s="28">
        <f>(D17-C17)/C17</f>
        <v>-2.0648392797142508E-6</v>
      </c>
    </row>
    <row r="18" spans="2:5" ht="28.5" thickBot="1" x14ac:dyDescent="0.4">
      <c r="B18" s="8" t="s">
        <v>5</v>
      </c>
      <c r="C18" s="12">
        <v>224775.44405045567</v>
      </c>
      <c r="D18" s="12">
        <v>223428.59665218694</v>
      </c>
      <c r="E18" s="28">
        <f t="shared" ref="E18:E23" si="2">(D18-C18)/C18</f>
        <v>-5.9919685798347239E-3</v>
      </c>
    </row>
    <row r="19" spans="2:5" ht="15" thickBot="1" x14ac:dyDescent="0.4">
      <c r="B19" s="8" t="s">
        <v>11</v>
      </c>
      <c r="C19" s="12">
        <v>542248.52203654207</v>
      </c>
      <c r="D19" s="12">
        <v>523573.05157066241</v>
      </c>
      <c r="E19" s="28">
        <f t="shared" si="2"/>
        <v>-3.4440795515199428E-2</v>
      </c>
    </row>
    <row r="20" spans="2:5" ht="15" thickBot="1" x14ac:dyDescent="0.4">
      <c r="B20" s="8" t="s">
        <v>16</v>
      </c>
      <c r="C20" s="12">
        <v>18619.285023489461</v>
      </c>
      <c r="D20" s="12">
        <v>18575.374600078856</v>
      </c>
      <c r="E20" s="28">
        <f t="shared" si="2"/>
        <v>-2.3583302664527332E-3</v>
      </c>
    </row>
    <row r="21" spans="2:5" ht="15" thickBot="1" x14ac:dyDescent="0.4">
      <c r="B21" s="8" t="s">
        <v>12</v>
      </c>
      <c r="C21" s="12">
        <v>9273.514669484166</v>
      </c>
      <c r="D21" s="12">
        <v>9164.078686932311</v>
      </c>
      <c r="E21" s="28">
        <f t="shared" si="2"/>
        <v>-1.1800917608074727E-2</v>
      </c>
    </row>
    <row r="22" spans="2:5" ht="15" thickBot="1" x14ac:dyDescent="0.4">
      <c r="B22" s="8" t="s">
        <v>108</v>
      </c>
      <c r="C22" s="12">
        <v>0</v>
      </c>
      <c r="D22" s="12">
        <v>20176.9644873211</v>
      </c>
      <c r="E22" s="28">
        <f>IF(ISERROR(D22-C22/C22),0,D22-C22/C22)</f>
        <v>0</v>
      </c>
    </row>
    <row r="23" spans="2:5" ht="15" thickBot="1" x14ac:dyDescent="0.4">
      <c r="B23" s="8" t="s">
        <v>4</v>
      </c>
      <c r="C23" s="12">
        <f>SUM(C17:C22)</f>
        <v>1424610.9116458001</v>
      </c>
      <c r="D23" s="12">
        <f>SUM(D17:D22)</f>
        <v>1424610.9116458038</v>
      </c>
      <c r="E23" s="28">
        <f t="shared" si="2"/>
        <v>2.6149528043121783E-15</v>
      </c>
    </row>
    <row r="24" spans="2:5" x14ac:dyDescent="0.35">
      <c r="B24" s="9"/>
    </row>
    <row r="25" spans="2:5" x14ac:dyDescent="0.35">
      <c r="B25" s="10"/>
    </row>
    <row r="26" spans="2:5" x14ac:dyDescent="0.35">
      <c r="B26" s="10"/>
    </row>
  </sheetData>
  <mergeCells count="3">
    <mergeCell ref="A1:F1"/>
    <mergeCell ref="A3:E3"/>
    <mergeCell ref="A2:E2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N24"/>
  <sheetViews>
    <sheetView zoomScale="85" zoomScaleNormal="85" workbookViewId="0">
      <selection activeCell="C11" sqref="C11"/>
    </sheetView>
  </sheetViews>
  <sheetFormatPr defaultColWidth="9.33203125" defaultRowHeight="14.5" x14ac:dyDescent="0.35"/>
  <cols>
    <col min="1" max="1" width="9.33203125" style="1"/>
    <col min="2" max="2" width="15.44140625" style="1" bestFit="1" customWidth="1"/>
    <col min="3" max="3" width="13" style="1" bestFit="1" customWidth="1"/>
    <col min="4" max="4" width="14.109375" style="1" bestFit="1" customWidth="1"/>
    <col min="5" max="5" width="24.33203125" style="1" customWidth="1"/>
    <col min="6" max="6" width="17" style="1" customWidth="1"/>
    <col min="7" max="7" width="20" style="1" customWidth="1"/>
    <col min="8" max="9" width="22.33203125" style="1" bestFit="1" customWidth="1"/>
    <col min="10" max="10" width="15.6640625" style="1" customWidth="1"/>
    <col min="11" max="11" width="26.109375" style="1" bestFit="1" customWidth="1"/>
    <col min="12" max="12" width="16.88671875" style="1" bestFit="1" customWidth="1"/>
    <col min="13" max="13" width="22.33203125" style="1" bestFit="1" customWidth="1"/>
    <col min="14" max="14" width="22.33203125" style="1" customWidth="1"/>
    <col min="15" max="16384" width="9.33203125" style="1"/>
  </cols>
  <sheetData>
    <row r="1" spans="1:14" x14ac:dyDescent="0.35">
      <c r="B1" s="100" t="str">
        <f>'Distribution 1 Year'!A1</f>
        <v>SAN DIEGO GAS &amp; ELECTRIC COMPANY</v>
      </c>
      <c r="C1" s="100"/>
      <c r="D1" s="100"/>
      <c r="E1" s="100"/>
      <c r="F1" s="100"/>
      <c r="G1" s="100"/>
      <c r="H1" s="100"/>
      <c r="I1" s="100"/>
    </row>
    <row r="2" spans="1:14" x14ac:dyDescent="0.35">
      <c r="A2" s="47"/>
      <c r="B2" s="100" t="str">
        <f>'Distribution 1 Year'!A2</f>
        <v>TEST YEAR 2019 GENERAL RATE CASE PHASE 2, APPLICATION 19-03-002</v>
      </c>
      <c r="C2" s="100"/>
      <c r="D2" s="100"/>
      <c r="E2" s="100"/>
      <c r="F2" s="100"/>
      <c r="G2" s="100"/>
      <c r="H2" s="100"/>
      <c r="I2" s="100"/>
    </row>
    <row r="3" spans="1:14" x14ac:dyDescent="0.35">
      <c r="B3" s="100" t="str">
        <f>'Distribution 1 Year'!A3</f>
        <v>REVENUE ALLOCATION WORKPAPERS - CHAPTER 2</v>
      </c>
      <c r="C3" s="100"/>
      <c r="D3" s="100"/>
      <c r="E3" s="100"/>
      <c r="F3" s="100"/>
      <c r="G3" s="101"/>
      <c r="H3" s="101"/>
      <c r="I3" s="101"/>
    </row>
    <row r="5" spans="1:14" x14ac:dyDescent="0.35">
      <c r="B5" s="27"/>
      <c r="K5" s="27"/>
      <c r="L5" s="29"/>
      <c r="M5" s="29"/>
      <c r="N5" s="29"/>
    </row>
    <row r="6" spans="1:14" x14ac:dyDescent="0.35">
      <c r="C6" s="2" t="s">
        <v>7</v>
      </c>
      <c r="D6" s="2" t="s">
        <v>8</v>
      </c>
      <c r="E6" s="2" t="s">
        <v>9</v>
      </c>
      <c r="F6" s="2" t="s">
        <v>39</v>
      </c>
      <c r="G6" s="36" t="s">
        <v>36</v>
      </c>
      <c r="H6" s="36" t="s">
        <v>37</v>
      </c>
      <c r="I6" s="36" t="s">
        <v>38</v>
      </c>
      <c r="J6" s="36"/>
    </row>
    <row r="7" spans="1:14" x14ac:dyDescent="0.35">
      <c r="B7" s="2" t="s">
        <v>2</v>
      </c>
      <c r="C7" s="3">
        <f>C17/$C$22</f>
        <v>0.44201131741884964</v>
      </c>
      <c r="D7" s="3">
        <f>D17/$D$22</f>
        <v>0.44836059888942897</v>
      </c>
      <c r="E7" s="4">
        <f>(D7-C7)/C7</f>
        <v>1.4364522401046945E-2</v>
      </c>
      <c r="F7" s="4">
        <f>F17</f>
        <v>-6.8827975990475029E-7</v>
      </c>
      <c r="G7" s="35">
        <f>C7*(1+F17)</f>
        <v>0.44201101319140623</v>
      </c>
      <c r="H7" s="4">
        <f>C7*(1+F17*2)</f>
        <v>0.44201070896396277</v>
      </c>
      <c r="I7" s="4">
        <f>C7*(1+F17*3)</f>
        <v>0.44201040473651937</v>
      </c>
      <c r="J7" s="4"/>
    </row>
    <row r="8" spans="1:14" x14ac:dyDescent="0.35">
      <c r="B8" s="2" t="s">
        <v>10</v>
      </c>
      <c r="C8" s="3">
        <f>C18/$C$22</f>
        <v>0.15778023473846689</v>
      </c>
      <c r="D8" s="3">
        <f>D18/$D$22</f>
        <v>0.1590880063133181</v>
      </c>
      <c r="E8" s="4">
        <f>(D8-C8)/C8</f>
        <v>8.2885640081531223E-3</v>
      </c>
      <c r="F8" s="4">
        <f>F18</f>
        <v>-1.997322859944908E-3</v>
      </c>
      <c r="G8" s="35">
        <f>C8*(1+F18)</f>
        <v>0.15746509666877628</v>
      </c>
      <c r="H8" s="4">
        <f>C8*(1+F18*2)</f>
        <v>0.15714995859908565</v>
      </c>
      <c r="I8" s="4">
        <f>C8*(1+F18*3)</f>
        <v>0.15683482052939504</v>
      </c>
      <c r="J8" s="4"/>
    </row>
    <row r="9" spans="1:14" x14ac:dyDescent="0.35">
      <c r="B9" s="2" t="s">
        <v>11</v>
      </c>
      <c r="C9" s="3">
        <f>C19/$C$22</f>
        <v>0.38062920731815991</v>
      </c>
      <c r="D9" s="3">
        <f>D19/$D$22</f>
        <v>0.37280005416415651</v>
      </c>
      <c r="E9" s="4">
        <f>(D9-C9)/C9</f>
        <v>-2.056897632519087E-2</v>
      </c>
      <c r="F9" s="4">
        <f>F19</f>
        <v>-1.1480265171733143E-2</v>
      </c>
      <c r="G9" s="35">
        <f>C9*(1+F19)</f>
        <v>0.37625948308604085</v>
      </c>
      <c r="H9" s="4">
        <f>C9*(1+F19*2)</f>
        <v>0.37188975885392178</v>
      </c>
      <c r="I9" s="4">
        <f>C9*(1+F19*3)</f>
        <v>0.36752003462180272</v>
      </c>
      <c r="J9" s="4"/>
    </row>
    <row r="10" spans="1:14" x14ac:dyDescent="0.35">
      <c r="B10" s="2" t="s">
        <v>3</v>
      </c>
      <c r="C10" s="3">
        <f>C20/$C$22</f>
        <v>1.306973354709132E-2</v>
      </c>
      <c r="D10" s="3">
        <f>D20/$D$22</f>
        <v>1.3226235835199964E-2</v>
      </c>
      <c r="E10" s="4">
        <f>(D10-C10)/C10</f>
        <v>1.1974405411154968E-2</v>
      </c>
      <c r="F10" s="4">
        <f>F20</f>
        <v>-7.8611008881757777E-4</v>
      </c>
      <c r="G10" s="35">
        <f>C10*(1+F20)</f>
        <v>1.3059459297691794E-2</v>
      </c>
      <c r="H10" s="4">
        <f>C10*(1+F20*2)</f>
        <v>1.3049185048292269E-2</v>
      </c>
      <c r="I10" s="4">
        <f>C10*(1+F20*3)</f>
        <v>1.3038910798892743E-2</v>
      </c>
      <c r="J10" s="4"/>
    </row>
    <row r="11" spans="1:14" x14ac:dyDescent="0.35">
      <c r="B11" s="2" t="s">
        <v>12</v>
      </c>
      <c r="C11" s="3">
        <f>C21/$C$22</f>
        <v>6.5095069774320476E-3</v>
      </c>
      <c r="D11" s="3">
        <f>D21/$D$22</f>
        <v>6.5251047978963405E-3</v>
      </c>
      <c r="E11" s="4">
        <f>(D11-C11)/C11</f>
        <v>2.396160034603126E-3</v>
      </c>
      <c r="F11" s="4">
        <f>F21</f>
        <v>-3.9336392026915754E-3</v>
      </c>
      <c r="G11" s="35">
        <f>C11*(1+F21)</f>
        <v>6.4839009255954266E-3</v>
      </c>
      <c r="H11" s="4">
        <f>C11*(1+F21*2)</f>
        <v>6.4582948737588056E-3</v>
      </c>
      <c r="I11" s="4">
        <f>C11*(1+F21*3)</f>
        <v>6.4326888219221837E-3</v>
      </c>
      <c r="J11" s="4"/>
    </row>
    <row r="12" spans="1:14" x14ac:dyDescent="0.35">
      <c r="K12" s="4"/>
    </row>
    <row r="13" spans="1:14" x14ac:dyDescent="0.35">
      <c r="K13" s="79"/>
    </row>
    <row r="14" spans="1:14" x14ac:dyDescent="0.35">
      <c r="B14" s="27"/>
    </row>
    <row r="15" spans="1:14" ht="15" thickBot="1" x14ac:dyDescent="0.4">
      <c r="B15" s="27"/>
    </row>
    <row r="16" spans="1:14" ht="56.5" thickBot="1" x14ac:dyDescent="0.4">
      <c r="B16" s="6"/>
      <c r="C16" s="7" t="s">
        <v>13</v>
      </c>
      <c r="D16" s="7" t="s">
        <v>14</v>
      </c>
      <c r="E16" s="7" t="s">
        <v>15</v>
      </c>
      <c r="F16" s="7" t="s">
        <v>32</v>
      </c>
      <c r="G16" s="7" t="s">
        <v>33</v>
      </c>
      <c r="H16" s="7" t="s">
        <v>34</v>
      </c>
      <c r="I16" s="7" t="s">
        <v>35</v>
      </c>
    </row>
    <row r="17" spans="2:12" ht="15" thickBot="1" x14ac:dyDescent="0.4">
      <c r="B17" s="8" t="s">
        <v>2</v>
      </c>
      <c r="C17" s="12">
        <f>'Distribution 1 Year'!C17</f>
        <v>629694.1458658285</v>
      </c>
      <c r="D17" s="12">
        <f>'Distribution 1 Year'!D17</f>
        <v>629692.84564862191</v>
      </c>
      <c r="E17" s="28">
        <f>(D17-C17)/C17</f>
        <v>-2.0648392797142508E-6</v>
      </c>
      <c r="F17" s="28">
        <f t="shared" ref="F17:F22" si="0">E17/3</f>
        <v>-6.8827975990475029E-7</v>
      </c>
      <c r="G17" s="12">
        <f t="shared" ref="G17:I21" si="1">$D$22*G7</f>
        <v>620775.27194392681</v>
      </c>
      <c r="H17" s="12">
        <f t="shared" si="1"/>
        <v>620774.84467657749</v>
      </c>
      <c r="I17" s="12">
        <f t="shared" si="1"/>
        <v>620774.41740922839</v>
      </c>
    </row>
    <row r="18" spans="2:12" ht="28.5" thickBot="1" x14ac:dyDescent="0.4">
      <c r="B18" s="8" t="s">
        <v>5</v>
      </c>
      <c r="C18" s="12">
        <f>'Distribution 1 Year'!C18</f>
        <v>224775.44405045567</v>
      </c>
      <c r="D18" s="12">
        <f>'Distribution 1 Year'!D18</f>
        <v>223428.59665218694</v>
      </c>
      <c r="E18" s="28">
        <f t="shared" ref="E18:E22" si="2">(D18-C18)/C18</f>
        <v>-5.9919685798347239E-3</v>
      </c>
      <c r="F18" s="28">
        <f t="shared" si="0"/>
        <v>-1.997322859944908E-3</v>
      </c>
      <c r="G18" s="12">
        <f t="shared" si="1"/>
        <v>221149.32725422151</v>
      </c>
      <c r="H18" s="12">
        <f t="shared" si="1"/>
        <v>220706.73665110598</v>
      </c>
      <c r="I18" s="12">
        <f t="shared" si="1"/>
        <v>220264.14604799051</v>
      </c>
    </row>
    <row r="19" spans="2:12" ht="15" thickBot="1" x14ac:dyDescent="0.4">
      <c r="B19" s="8" t="s">
        <v>11</v>
      </c>
      <c r="C19" s="12">
        <f>'Distribution 1 Year'!C19</f>
        <v>542248.52203654207</v>
      </c>
      <c r="D19" s="12">
        <f>'Distribution 1 Year'!D19</f>
        <v>523573.05157066241</v>
      </c>
      <c r="E19" s="28">
        <f t="shared" si="2"/>
        <v>-3.4440795515199428E-2</v>
      </c>
      <c r="F19" s="28">
        <f t="shared" si="0"/>
        <v>-1.1480265171733143E-2</v>
      </c>
      <c r="G19" s="12">
        <f t="shared" si="1"/>
        <v>528431.59098633868</v>
      </c>
      <c r="H19" s="12">
        <f t="shared" si="1"/>
        <v>522294.60193502961</v>
      </c>
      <c r="I19" s="12">
        <f t="shared" si="1"/>
        <v>516157.61288372061</v>
      </c>
      <c r="K19" s="35"/>
    </row>
    <row r="20" spans="2:12" ht="15" thickBot="1" x14ac:dyDescent="0.4">
      <c r="B20" s="8" t="s">
        <v>16</v>
      </c>
      <c r="C20" s="12">
        <f>'Distribution 1 Year'!C20</f>
        <v>18619.285023489461</v>
      </c>
      <c r="D20" s="12">
        <f>'Distribution 1 Year'!D20</f>
        <v>18575.374600078856</v>
      </c>
      <c r="E20" s="28">
        <f t="shared" si="2"/>
        <v>-2.3583302664527332E-3</v>
      </c>
      <c r="F20" s="28">
        <f t="shared" si="0"/>
        <v>-7.8611008881757777E-4</v>
      </c>
      <c r="G20" s="12">
        <f t="shared" si="1"/>
        <v>18341.147969212831</v>
      </c>
      <c r="H20" s="12">
        <f t="shared" si="1"/>
        <v>18326.718464574566</v>
      </c>
      <c r="I20" s="12">
        <f t="shared" si="1"/>
        <v>18312.288959936297</v>
      </c>
      <c r="K20" s="35"/>
    </row>
    <row r="21" spans="2:12" ht="15" thickBot="1" x14ac:dyDescent="0.4">
      <c r="B21" s="8" t="s">
        <v>12</v>
      </c>
      <c r="C21" s="12">
        <f>'Distribution 1 Year'!C21</f>
        <v>9273.514669484166</v>
      </c>
      <c r="D21" s="12">
        <f>'Distribution 1 Year'!D21</f>
        <v>9164.078686932311</v>
      </c>
      <c r="E21" s="28">
        <f t="shared" si="2"/>
        <v>-1.1800917608074727E-2</v>
      </c>
      <c r="F21" s="28">
        <f t="shared" si="0"/>
        <v>-3.9336392026915754E-3</v>
      </c>
      <c r="G21" s="12">
        <f t="shared" si="1"/>
        <v>9106.2105699185231</v>
      </c>
      <c r="H21" s="12">
        <f t="shared" si="1"/>
        <v>9070.2485614664729</v>
      </c>
      <c r="I21" s="12">
        <f t="shared" si="1"/>
        <v>9034.2865530144227</v>
      </c>
      <c r="K21" s="35"/>
    </row>
    <row r="22" spans="2:12" ht="15" thickBot="1" x14ac:dyDescent="0.4">
      <c r="B22" s="8" t="s">
        <v>4</v>
      </c>
      <c r="C22" s="12">
        <f>SUM(C17:C21)</f>
        <v>1424610.9116458001</v>
      </c>
      <c r="D22" s="12">
        <f>SUM(D17:D21)</f>
        <v>1404433.9471584826</v>
      </c>
      <c r="E22" s="28">
        <f t="shared" si="2"/>
        <v>-1.4163140491467796E-2</v>
      </c>
      <c r="F22" s="28">
        <f t="shared" si="0"/>
        <v>-4.7210468304892655E-3</v>
      </c>
      <c r="G22" s="12">
        <f>SUM(G17:G21)</f>
        <v>1397803.5487236185</v>
      </c>
      <c r="H22" s="12">
        <f>SUM(H17:H21)</f>
        <v>1391173.1502887544</v>
      </c>
      <c r="I22" s="12">
        <f>SUM(I17:I21)</f>
        <v>1384542.7518538903</v>
      </c>
      <c r="K22" s="35"/>
    </row>
    <row r="23" spans="2:12" x14ac:dyDescent="0.35">
      <c r="B23" s="9"/>
      <c r="L23" s="35"/>
    </row>
    <row r="24" spans="2:12" x14ac:dyDescent="0.35">
      <c r="B24" s="10"/>
    </row>
  </sheetData>
  <mergeCells count="3">
    <mergeCell ref="B3:I3"/>
    <mergeCell ref="B2:I2"/>
    <mergeCell ref="B1:I1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"/>
  <sheetViews>
    <sheetView zoomScale="85" zoomScaleNormal="85" workbookViewId="0">
      <selection activeCell="H33" sqref="H33"/>
    </sheetView>
  </sheetViews>
  <sheetFormatPr defaultRowHeight="10" x14ac:dyDescent="0.2"/>
  <cols>
    <col min="2" max="2" width="20.33203125" customWidth="1"/>
    <col min="3" max="3" width="13" bestFit="1" customWidth="1"/>
    <col min="4" max="4" width="14.33203125" bestFit="1" customWidth="1"/>
    <col min="5" max="5" width="27.33203125" customWidth="1"/>
  </cols>
  <sheetData>
    <row r="1" spans="1:13" ht="10.5" x14ac:dyDescent="0.25">
      <c r="A1" s="102" t="str">
        <f>'Distribution 1 Year'!A1:E1</f>
        <v>SAN DIEGO GAS &amp; ELECTRIC COMPANY</v>
      </c>
      <c r="B1" s="102"/>
      <c r="C1" s="102"/>
      <c r="D1" s="102"/>
      <c r="E1" s="102"/>
      <c r="F1" s="102"/>
    </row>
    <row r="2" spans="1:13" ht="10.5" x14ac:dyDescent="0.25">
      <c r="A2" s="102" t="str">
        <f>'Distribution 1 Year'!A2:E2</f>
        <v>TEST YEAR 2019 GENERAL RATE CASE PHASE 2, APPLICATION 19-03-002</v>
      </c>
      <c r="B2" s="102"/>
      <c r="C2" s="102"/>
      <c r="D2" s="102"/>
      <c r="E2" s="102"/>
      <c r="F2" s="102"/>
    </row>
    <row r="3" spans="1:13" ht="10.5" x14ac:dyDescent="0.25">
      <c r="A3" s="102" t="str">
        <f>'Distribution 1 Year'!A3:E3</f>
        <v>REVENUE ALLOCATION WORKPAPERS - CHAPTER 2</v>
      </c>
      <c r="B3" s="102"/>
      <c r="C3" s="102"/>
      <c r="D3" s="102"/>
      <c r="E3" s="102"/>
      <c r="F3" s="102"/>
    </row>
    <row r="6" spans="1:13" ht="14.5" x14ac:dyDescent="0.35">
      <c r="B6" s="27" t="s">
        <v>52</v>
      </c>
    </row>
    <row r="8" spans="1:13" ht="14.5" x14ac:dyDescent="0.35">
      <c r="C8" s="2" t="s">
        <v>7</v>
      </c>
      <c r="D8" s="2" t="s">
        <v>8</v>
      </c>
      <c r="E8" s="2" t="s">
        <v>9</v>
      </c>
    </row>
    <row r="9" spans="1:13" ht="14.5" x14ac:dyDescent="0.35">
      <c r="B9" s="2" t="s">
        <v>2</v>
      </c>
      <c r="C9" s="32">
        <v>0.41548062462667706</v>
      </c>
      <c r="D9" s="33">
        <f>C9</f>
        <v>0.41548062462667706</v>
      </c>
      <c r="E9" s="30">
        <f>(D9-C9)/C9</f>
        <v>0</v>
      </c>
    </row>
    <row r="10" spans="1:13" ht="14.5" x14ac:dyDescent="0.35">
      <c r="B10" s="2" t="s">
        <v>10</v>
      </c>
      <c r="C10" s="32">
        <v>0.11372317853934664</v>
      </c>
      <c r="D10" s="33">
        <f t="shared" ref="D10:D13" si="0">C10</f>
        <v>0.11372317853934664</v>
      </c>
      <c r="E10" s="30">
        <f>(D10-C10)/C10</f>
        <v>0</v>
      </c>
    </row>
    <row r="11" spans="1:13" ht="14.5" x14ac:dyDescent="0.35">
      <c r="B11" s="2" t="s">
        <v>11</v>
      </c>
      <c r="C11" s="32">
        <v>0.44961563628046675</v>
      </c>
      <c r="D11" s="33">
        <f t="shared" si="0"/>
        <v>0.44961563628046675</v>
      </c>
      <c r="E11" s="30">
        <f>(D11-C11)/C11</f>
        <v>0</v>
      </c>
    </row>
    <row r="12" spans="1:13" ht="14.5" x14ac:dyDescent="0.35">
      <c r="B12" s="11" t="s">
        <v>3</v>
      </c>
      <c r="C12" s="32">
        <v>1.5896832423387675E-2</v>
      </c>
      <c r="D12" s="33">
        <f t="shared" si="0"/>
        <v>1.5896832423387675E-2</v>
      </c>
      <c r="E12" s="30">
        <f>(D12-C12)/C12</f>
        <v>0</v>
      </c>
    </row>
    <row r="13" spans="1:13" ht="14.5" x14ac:dyDescent="0.35">
      <c r="B13" s="2" t="s">
        <v>12</v>
      </c>
      <c r="C13" s="32">
        <v>5.2837281301218522E-3</v>
      </c>
      <c r="D13" s="33">
        <f t="shared" si="0"/>
        <v>5.2837281301218522E-3</v>
      </c>
      <c r="E13" s="30">
        <f>(D13-C13)/C13</f>
        <v>0</v>
      </c>
    </row>
    <row r="15" spans="1:13" ht="15.5" x14ac:dyDescent="0.35">
      <c r="M15" s="82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F44"/>
  <sheetViews>
    <sheetView zoomScale="85" zoomScaleNormal="85" workbookViewId="0">
      <selection activeCell="G13" sqref="G13"/>
    </sheetView>
  </sheetViews>
  <sheetFormatPr defaultColWidth="9.33203125" defaultRowHeight="14.5" x14ac:dyDescent="0.35"/>
  <cols>
    <col min="1" max="1" width="9.33203125" style="1"/>
    <col min="2" max="2" width="15.44140625" style="1" bestFit="1" customWidth="1"/>
    <col min="3" max="3" width="15" style="1" bestFit="1" customWidth="1"/>
    <col min="4" max="4" width="14.10937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5" spans="1:6" x14ac:dyDescent="0.35">
      <c r="B5" s="27" t="s">
        <v>30</v>
      </c>
    </row>
    <row r="6" spans="1:6" x14ac:dyDescent="0.35">
      <c r="B6" s="29"/>
      <c r="C6" s="2" t="s">
        <v>7</v>
      </c>
      <c r="D6" s="2" t="s">
        <v>8</v>
      </c>
      <c r="E6" s="2" t="s">
        <v>9</v>
      </c>
    </row>
    <row r="7" spans="1:6" x14ac:dyDescent="0.35">
      <c r="B7" s="2" t="s">
        <v>2</v>
      </c>
      <c r="C7" s="32">
        <v>0.42829805435073137</v>
      </c>
      <c r="D7" s="33">
        <v>0.42829762764116119</v>
      </c>
      <c r="E7" s="30">
        <f>(D7-C7)/C7</f>
        <v>-9.962911711683308E-7</v>
      </c>
    </row>
    <row r="8" spans="1:6" x14ac:dyDescent="0.35">
      <c r="B8" s="2" t="s">
        <v>10</v>
      </c>
      <c r="C8" s="32">
        <v>0.13271428239502228</v>
      </c>
      <c r="D8" s="33">
        <v>0.13202604990934458</v>
      </c>
      <c r="E8" s="30">
        <f>(D8-C8)/C8</f>
        <v>-5.1858207968091072E-3</v>
      </c>
    </row>
    <row r="9" spans="1:6" x14ac:dyDescent="0.35">
      <c r="B9" s="2" t="s">
        <v>11</v>
      </c>
      <c r="C9" s="32">
        <v>0.42030832470214263</v>
      </c>
      <c r="D9" s="33">
        <v>0.40330917347537121</v>
      </c>
      <c r="E9" s="30">
        <f>(D9-C9)/C9</f>
        <v>-4.0444479035284663E-2</v>
      </c>
    </row>
    <row r="10" spans="1:6" x14ac:dyDescent="0.35">
      <c r="B10" s="11" t="s">
        <v>3</v>
      </c>
      <c r="C10" s="32">
        <v>1.4992320849857636E-2</v>
      </c>
      <c r="D10" s="33">
        <v>1.4951208047804129E-2</v>
      </c>
      <c r="E10" s="30">
        <f>(D10-C10)/C10</f>
        <v>-2.7422573506287215E-3</v>
      </c>
    </row>
    <row r="11" spans="1:6" x14ac:dyDescent="0.35">
      <c r="B11" s="2" t="s">
        <v>12</v>
      </c>
      <c r="C11" s="32">
        <v>3.6870177022459631E-3</v>
      </c>
      <c r="D11" s="33">
        <v>3.6684349892851446E-3</v>
      </c>
      <c r="E11" s="30">
        <f>(D11-C11)/C11</f>
        <v>-5.0400389858445051E-3</v>
      </c>
    </row>
    <row r="12" spans="1:6" x14ac:dyDescent="0.35">
      <c r="B12" s="2" t="s">
        <v>109</v>
      </c>
      <c r="C12" s="1">
        <v>0</v>
      </c>
      <c r="D12" s="4">
        <v>1.774750593703333E-2</v>
      </c>
      <c r="E12" s="4">
        <f>IF(ISERROR(D12-C12/C12),0,D12-C12/C12)</f>
        <v>0</v>
      </c>
    </row>
    <row r="13" spans="1:6" ht="15" thickBot="1" x14ac:dyDescent="0.4">
      <c r="B13" s="2"/>
    </row>
    <row r="14" spans="1:6" ht="56.5" thickBot="1" x14ac:dyDescent="0.4">
      <c r="B14" s="6"/>
      <c r="C14" s="7" t="s">
        <v>17</v>
      </c>
      <c r="D14" s="7" t="s">
        <v>18</v>
      </c>
      <c r="E14" s="7" t="s">
        <v>15</v>
      </c>
    </row>
    <row r="15" spans="1:6" ht="15" thickBot="1" x14ac:dyDescent="0.4">
      <c r="B15" s="8" t="s">
        <v>2</v>
      </c>
      <c r="C15" s="12">
        <f t="shared" ref="C15:C20" si="0">$C$21*C7</f>
        <v>667638.76067444636</v>
      </c>
      <c r="D15" s="12">
        <f>$D$21*D7</f>
        <v>667638.09551184357</v>
      </c>
      <c r="E15" s="28">
        <f t="shared" ref="E15:E21" si="1">(D15-C15)/C15</f>
        <v>-9.9629117116691033E-7</v>
      </c>
    </row>
    <row r="16" spans="1:6" ht="28.5" thickBot="1" x14ac:dyDescent="0.4">
      <c r="B16" s="8" t="s">
        <v>5</v>
      </c>
      <c r="C16" s="12">
        <f t="shared" si="0"/>
        <v>206877.42594658805</v>
      </c>
      <c r="D16" s="12">
        <f>$D$21*D8</f>
        <v>205804.59668872389</v>
      </c>
      <c r="E16" s="28">
        <f t="shared" si="1"/>
        <v>-5.1858207968091246E-3</v>
      </c>
    </row>
    <row r="17" spans="2:5" ht="15" thickBot="1" x14ac:dyDescent="0.4">
      <c r="B17" s="8" t="s">
        <v>11</v>
      </c>
      <c r="C17" s="12">
        <f t="shared" si="0"/>
        <v>655184.22545879148</v>
      </c>
      <c r="D17" s="12">
        <f>$D$21*D9</f>
        <v>628685.64078797412</v>
      </c>
      <c r="E17" s="28">
        <f t="shared" si="1"/>
        <v>-4.0444479035284739E-2</v>
      </c>
    </row>
    <row r="18" spans="2:5" ht="15" thickBot="1" x14ac:dyDescent="0.4">
      <c r="B18" s="8" t="s">
        <v>16</v>
      </c>
      <c r="C18" s="12">
        <f t="shared" si="0"/>
        <v>23370.301149292442</v>
      </c>
      <c r="D18" s="12">
        <f t="shared" ref="D18:D20" si="2">$D$21*D10</f>
        <v>23306.213769179387</v>
      </c>
      <c r="E18" s="28">
        <f t="shared" si="1"/>
        <v>-2.7422573506287479E-3</v>
      </c>
    </row>
    <row r="19" spans="2:5" ht="15" thickBot="1" x14ac:dyDescent="0.4">
      <c r="B19" s="8" t="s">
        <v>12</v>
      </c>
      <c r="C19" s="12">
        <f t="shared" si="0"/>
        <v>5747.3899409695887</v>
      </c>
      <c r="D19" s="12">
        <f t="shared" si="2"/>
        <v>5718.4228716002517</v>
      </c>
      <c r="E19" s="28">
        <f t="shared" si="1"/>
        <v>-5.0400389858444514E-3</v>
      </c>
    </row>
    <row r="20" spans="2:5" ht="15" thickBot="1" x14ac:dyDescent="0.4">
      <c r="B20" s="8" t="s">
        <v>108</v>
      </c>
      <c r="C20" s="12">
        <f t="shared" si="0"/>
        <v>0</v>
      </c>
      <c r="D20" s="12">
        <f t="shared" si="2"/>
        <v>27665.133540766172</v>
      </c>
      <c r="E20" s="28">
        <f>IF(ISERROR(D20-C20/C20),0,D20-C20/C20)</f>
        <v>0</v>
      </c>
    </row>
    <row r="21" spans="2:5" ht="15" thickBot="1" x14ac:dyDescent="0.4">
      <c r="B21" s="8" t="s">
        <v>4</v>
      </c>
      <c r="C21" s="12">
        <v>1558818.103170088</v>
      </c>
      <c r="D21" s="12">
        <f>C21</f>
        <v>1558818.103170088</v>
      </c>
      <c r="E21" s="28">
        <f t="shared" si="1"/>
        <v>0</v>
      </c>
    </row>
    <row r="23" spans="2:5" x14ac:dyDescent="0.35">
      <c r="B23" s="10"/>
    </row>
    <row r="26" spans="2:5" x14ac:dyDescent="0.35">
      <c r="B26" s="65"/>
      <c r="C26" s="65"/>
      <c r="D26" s="65"/>
      <c r="E26" s="65"/>
    </row>
    <row r="27" spans="2:5" x14ac:dyDescent="0.35">
      <c r="B27" s="66"/>
      <c r="C27" s="67"/>
      <c r="D27" s="67"/>
      <c r="E27" s="67"/>
    </row>
    <row r="28" spans="2:5" x14ac:dyDescent="0.35">
      <c r="B28" s="67"/>
      <c r="C28" s="11"/>
      <c r="D28" s="11"/>
      <c r="E28" s="11"/>
    </row>
    <row r="29" spans="2:5" x14ac:dyDescent="0.35">
      <c r="B29" s="11"/>
      <c r="C29" s="68"/>
      <c r="D29" s="68"/>
      <c r="E29" s="69"/>
    </row>
    <row r="30" spans="2:5" x14ac:dyDescent="0.35">
      <c r="B30" s="11"/>
      <c r="C30" s="68"/>
      <c r="D30" s="68"/>
      <c r="E30" s="69"/>
    </row>
    <row r="31" spans="2:5" x14ac:dyDescent="0.35">
      <c r="B31" s="11"/>
      <c r="C31" s="68"/>
      <c r="D31" s="68"/>
      <c r="E31" s="69"/>
    </row>
    <row r="32" spans="2:5" x14ac:dyDescent="0.35">
      <c r="B32" s="11"/>
      <c r="C32" s="68"/>
      <c r="D32" s="68"/>
      <c r="E32" s="69"/>
    </row>
    <row r="33" spans="2:5" x14ac:dyDescent="0.35">
      <c r="B33" s="11"/>
      <c r="C33" s="68"/>
      <c r="D33" s="68"/>
      <c r="E33" s="69"/>
    </row>
    <row r="34" spans="2:5" x14ac:dyDescent="0.35">
      <c r="B34" s="65"/>
      <c r="C34" s="70"/>
      <c r="D34" s="65"/>
      <c r="E34" s="65"/>
    </row>
    <row r="35" spans="2:5" x14ac:dyDescent="0.35">
      <c r="B35" s="11"/>
      <c r="C35" s="65"/>
      <c r="D35" s="65"/>
      <c r="E35" s="65"/>
    </row>
    <row r="36" spans="2:5" x14ac:dyDescent="0.35">
      <c r="B36" s="71"/>
      <c r="C36" s="71"/>
      <c r="D36" s="71"/>
      <c r="E36" s="71"/>
    </row>
    <row r="37" spans="2:5" x14ac:dyDescent="0.35">
      <c r="B37" s="72"/>
      <c r="C37" s="73"/>
      <c r="D37" s="73"/>
      <c r="E37" s="74"/>
    </row>
    <row r="38" spans="2:5" x14ac:dyDescent="0.35">
      <c r="B38" s="72"/>
      <c r="C38" s="73"/>
      <c r="D38" s="73"/>
      <c r="E38" s="74"/>
    </row>
    <row r="39" spans="2:5" x14ac:dyDescent="0.35">
      <c r="B39" s="72"/>
      <c r="C39" s="73"/>
      <c r="D39" s="73"/>
      <c r="E39" s="74"/>
    </row>
    <row r="40" spans="2:5" x14ac:dyDescent="0.35">
      <c r="B40" s="72"/>
      <c r="C40" s="73"/>
      <c r="D40" s="73"/>
      <c r="E40" s="74"/>
    </row>
    <row r="41" spans="2:5" x14ac:dyDescent="0.35">
      <c r="B41" s="72"/>
      <c r="C41" s="73"/>
      <c r="D41" s="73"/>
      <c r="E41" s="74"/>
    </row>
    <row r="42" spans="2:5" x14ac:dyDescent="0.35">
      <c r="B42" s="72"/>
      <c r="C42" s="73"/>
      <c r="D42" s="73"/>
      <c r="E42" s="74"/>
    </row>
    <row r="44" spans="2:5" x14ac:dyDescent="0.35">
      <c r="B44" s="10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O30"/>
  <sheetViews>
    <sheetView zoomScale="85" zoomScaleNormal="85" workbookViewId="0">
      <selection activeCell="G28" sqref="G28"/>
    </sheetView>
  </sheetViews>
  <sheetFormatPr defaultColWidth="9.33203125" defaultRowHeight="14.5" x14ac:dyDescent="0.35"/>
  <cols>
    <col min="1" max="1" width="9.33203125" style="1"/>
    <col min="2" max="2" width="15.44140625" style="1" bestFit="1" customWidth="1"/>
    <col min="3" max="4" width="15.88671875" style="1" bestFit="1" customWidth="1"/>
    <col min="5" max="5" width="25.44140625" style="1" bestFit="1" customWidth="1"/>
    <col min="6" max="12" width="9.33203125" style="1"/>
    <col min="13" max="13" width="16.33203125" style="1" bestFit="1" customWidth="1"/>
    <col min="14" max="14" width="39.6640625" style="1" bestFit="1" customWidth="1"/>
    <col min="15" max="15" width="24.6640625" style="1" bestFit="1" customWidth="1"/>
    <col min="16" max="16384" width="9.33203125" style="1"/>
  </cols>
  <sheetData>
    <row r="1" spans="1:15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15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15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15" x14ac:dyDescent="0.35">
      <c r="B6" s="29"/>
      <c r="C6" s="2" t="s">
        <v>7</v>
      </c>
      <c r="D6" s="2" t="s">
        <v>8</v>
      </c>
      <c r="E6" s="2" t="s">
        <v>9</v>
      </c>
    </row>
    <row r="7" spans="1:15" x14ac:dyDescent="0.35">
      <c r="B7" s="2" t="s">
        <v>2</v>
      </c>
      <c r="C7" s="32">
        <v>0.38553271851922483</v>
      </c>
      <c r="D7" s="33">
        <v>0.38553229361370073</v>
      </c>
      <c r="E7" s="30">
        <f>(D7-C7)/C7</f>
        <v>-1.1021257177108542E-6</v>
      </c>
    </row>
    <row r="8" spans="1:15" x14ac:dyDescent="0.35">
      <c r="B8" s="2" t="s">
        <v>10</v>
      </c>
      <c r="C8" s="32">
        <v>0.12564876511337161</v>
      </c>
      <c r="D8" s="33">
        <v>0.12492754860927764</v>
      </c>
      <c r="E8" s="30">
        <f>(D8-C8)/C8</f>
        <v>-5.7399410447307245E-3</v>
      </c>
    </row>
    <row r="9" spans="1:15" x14ac:dyDescent="0.35">
      <c r="B9" s="2" t="s">
        <v>11</v>
      </c>
      <c r="C9" s="32">
        <v>0.47788725814771449</v>
      </c>
      <c r="D9" s="33">
        <v>0.45873441156800937</v>
      </c>
      <c r="E9" s="30">
        <f>(D9-C9)/C9</f>
        <v>-4.007816959577732E-2</v>
      </c>
    </row>
    <row r="10" spans="1:15" x14ac:dyDescent="0.35">
      <c r="B10" s="2" t="s">
        <v>3</v>
      </c>
      <c r="C10" s="32">
        <v>1.0618791643714346E-2</v>
      </c>
      <c r="D10" s="33">
        <v>1.0587361609700894E-2</v>
      </c>
      <c r="E10" s="30">
        <f>(D10-C10)/C10</f>
        <v>-2.9598503358955219E-3</v>
      </c>
    </row>
    <row r="11" spans="1:15" x14ac:dyDescent="0.35">
      <c r="B11" s="13" t="s">
        <v>12</v>
      </c>
      <c r="C11" s="33">
        <v>3.1246657597469921E-4</v>
      </c>
      <c r="D11" s="33">
        <v>3.1246657597469899E-4</v>
      </c>
      <c r="E11" s="30">
        <f>(D11-C11)/C11</f>
        <v>-6.939636145744392E-16</v>
      </c>
    </row>
    <row r="12" spans="1:15" x14ac:dyDescent="0.35">
      <c r="B12" s="13" t="s">
        <v>108</v>
      </c>
      <c r="C12" s="33">
        <v>0</v>
      </c>
      <c r="D12" s="33">
        <v>1.9905918023336723E-2</v>
      </c>
      <c r="E12" s="4">
        <f>IF(ISERROR(D12-C12/C12),0,D12-C12/C12)</f>
        <v>0</v>
      </c>
    </row>
    <row r="13" spans="1:15" ht="15" thickBot="1" x14ac:dyDescent="0.4">
      <c r="L13" s="34"/>
      <c r="M13" s="34"/>
      <c r="N13" s="34"/>
      <c r="O13" s="34"/>
    </row>
    <row r="14" spans="1:15" ht="56.5" thickBot="1" x14ac:dyDescent="0.4">
      <c r="B14" s="6"/>
      <c r="C14" s="7" t="s">
        <v>17</v>
      </c>
      <c r="D14" s="7" t="s">
        <v>18</v>
      </c>
      <c r="E14" s="7" t="s">
        <v>15</v>
      </c>
      <c r="L14" s="34"/>
      <c r="M14" s="34"/>
      <c r="N14" s="34"/>
      <c r="O14" s="84"/>
    </row>
    <row r="15" spans="1:15" ht="15" thickBot="1" x14ac:dyDescent="0.4">
      <c r="B15" s="8" t="s">
        <v>2</v>
      </c>
      <c r="C15" s="83">
        <f>$C$21*C7</f>
        <v>4874.8685445110168</v>
      </c>
      <c r="D15" s="83">
        <f t="shared" ref="D15:D20" si="0">D7*$D$21</f>
        <v>4874.8631717930275</v>
      </c>
      <c r="E15" s="28">
        <f t="shared" ref="E15:E21" si="1">(D15-C15)/C15</f>
        <v>-1.1021257168775565E-6</v>
      </c>
      <c r="L15" s="34"/>
      <c r="M15" s="34"/>
      <c r="N15" s="34"/>
      <c r="O15" s="84"/>
    </row>
    <row r="16" spans="1:15" ht="28.5" thickBot="1" x14ac:dyDescent="0.4">
      <c r="B16" s="8" t="s">
        <v>5</v>
      </c>
      <c r="C16" s="83">
        <f t="shared" ref="C16:C18" si="2">$C$21*C8</f>
        <v>1588.7658382417803</v>
      </c>
      <c r="D16" s="83">
        <f t="shared" si="0"/>
        <v>1579.6464159963914</v>
      </c>
      <c r="E16" s="28">
        <f t="shared" si="1"/>
        <v>-5.7399410447300462E-3</v>
      </c>
      <c r="L16" s="34"/>
      <c r="M16" s="34"/>
      <c r="N16" s="34"/>
      <c r="O16" s="84"/>
    </row>
    <row r="17" spans="2:15" ht="15" thickBot="1" x14ac:dyDescent="0.4">
      <c r="B17" s="8" t="s">
        <v>11</v>
      </c>
      <c r="C17" s="83">
        <f t="shared" si="2"/>
        <v>6042.645541251879</v>
      </c>
      <c r="D17" s="83">
        <f t="shared" si="0"/>
        <v>5800.4673684424224</v>
      </c>
      <c r="E17" s="28">
        <f t="shared" si="1"/>
        <v>-4.0078169595776675E-2</v>
      </c>
      <c r="L17" s="34"/>
      <c r="M17" s="34"/>
      <c r="N17" s="34"/>
      <c r="O17" s="84"/>
    </row>
    <row r="18" spans="2:15" ht="15" thickBot="1" x14ac:dyDescent="0.4">
      <c r="B18" s="8" t="s">
        <v>16</v>
      </c>
      <c r="C18" s="83">
        <f t="shared" si="2"/>
        <v>134.26931328547724</v>
      </c>
      <c r="D18" s="83">
        <f>D10*$D$21</f>
        <v>133.87189621344885</v>
      </c>
      <c r="E18" s="28">
        <f t="shared" si="1"/>
        <v>-2.9598503358948406E-3</v>
      </c>
      <c r="L18" s="34"/>
      <c r="M18" s="34"/>
      <c r="N18" s="34"/>
      <c r="O18" s="84"/>
    </row>
    <row r="19" spans="2:15" ht="15" thickBot="1" x14ac:dyDescent="0.4">
      <c r="B19" s="8" t="s">
        <v>12</v>
      </c>
      <c r="C19" s="83">
        <f>$C$21*C11</f>
        <v>3.9509836889606715</v>
      </c>
      <c r="D19" s="83">
        <f t="shared" si="0"/>
        <v>3.9509836889606715</v>
      </c>
      <c r="E19" s="28">
        <f t="shared" si="1"/>
        <v>0</v>
      </c>
      <c r="L19" s="34"/>
      <c r="M19" s="34"/>
      <c r="N19" s="34"/>
      <c r="O19" s="84"/>
    </row>
    <row r="20" spans="2:15" ht="15" thickBot="1" x14ac:dyDescent="0.4">
      <c r="B20" s="8" t="s">
        <v>108</v>
      </c>
      <c r="C20" s="83">
        <v>0</v>
      </c>
      <c r="D20" s="83">
        <f t="shared" si="0"/>
        <v>251.70038484487353</v>
      </c>
      <c r="E20" s="28">
        <f>IF(ISERROR(D20-C20/C20),0,D20-C20/C20)</f>
        <v>0</v>
      </c>
      <c r="L20" s="34"/>
      <c r="M20" s="34"/>
      <c r="N20" s="34"/>
      <c r="O20" s="84"/>
    </row>
    <row r="21" spans="2:15" ht="15" thickBot="1" x14ac:dyDescent="0.4">
      <c r="B21" s="8" t="s">
        <v>4</v>
      </c>
      <c r="C21" s="83">
        <v>12644.500220979115</v>
      </c>
      <c r="D21" s="83">
        <v>12644.500220979124</v>
      </c>
      <c r="E21" s="28">
        <f t="shared" si="1"/>
        <v>7.1928086193864803E-16</v>
      </c>
    </row>
    <row r="22" spans="2:15" x14ac:dyDescent="0.35">
      <c r="B22" s="9"/>
    </row>
    <row r="23" spans="2:15" x14ac:dyDescent="0.35">
      <c r="B23" s="10"/>
      <c r="C23" s="34"/>
    </row>
    <row r="24" spans="2:15" x14ac:dyDescent="0.35">
      <c r="C24" s="34"/>
    </row>
    <row r="25" spans="2:15" x14ac:dyDescent="0.35">
      <c r="C25" s="34"/>
    </row>
    <row r="26" spans="2:15" x14ac:dyDescent="0.35">
      <c r="C26" s="34"/>
      <c r="D26" s="43"/>
    </row>
    <row r="27" spans="2:15" x14ac:dyDescent="0.35">
      <c r="C27" s="34"/>
    </row>
    <row r="28" spans="2:15" x14ac:dyDescent="0.35">
      <c r="C28" s="34"/>
    </row>
    <row r="29" spans="2:15" x14ac:dyDescent="0.35">
      <c r="C29" s="34"/>
    </row>
    <row r="30" spans="2:15" x14ac:dyDescent="0.35">
      <c r="C30" s="34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A1:F29"/>
  <sheetViews>
    <sheetView zoomScale="85" zoomScaleNormal="85" workbookViewId="0">
      <selection activeCell="K14" sqref="K14"/>
    </sheetView>
  </sheetViews>
  <sheetFormatPr defaultColWidth="9.33203125" defaultRowHeight="14.5" x14ac:dyDescent="0.35"/>
  <cols>
    <col min="1" max="1" width="10.6640625" style="1" customWidth="1"/>
    <col min="2" max="2" width="22" style="1" customWidth="1"/>
    <col min="3" max="3" width="14.109375" style="1" bestFit="1" customWidth="1"/>
    <col min="4" max="4" width="16.6640625" style="1" bestFit="1" customWidth="1"/>
    <col min="5" max="5" width="25.44140625" style="1" bestFit="1" customWidth="1"/>
    <col min="6" max="6" width="10" style="1" customWidth="1"/>
    <col min="7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29"/>
      <c r="C6" s="2" t="s">
        <v>24</v>
      </c>
      <c r="D6" s="2" t="s">
        <v>31</v>
      </c>
      <c r="E6" s="2" t="s">
        <v>9</v>
      </c>
    </row>
    <row r="7" spans="1:6" x14ac:dyDescent="0.35">
      <c r="B7" s="2" t="s">
        <v>2</v>
      </c>
      <c r="C7" s="32">
        <v>0.41758550488958696</v>
      </c>
      <c r="D7" s="33">
        <v>0.41758550488958696</v>
      </c>
      <c r="E7" s="30">
        <f>(D7-C7)/C7</f>
        <v>0</v>
      </c>
    </row>
    <row r="8" spans="1:6" x14ac:dyDescent="0.35">
      <c r="B8" s="2" t="s">
        <v>25</v>
      </c>
      <c r="C8" s="32">
        <v>0.10826782975990763</v>
      </c>
      <c r="D8" s="32">
        <v>0.10826782975990763</v>
      </c>
      <c r="E8" s="30">
        <f>(D8-C8)/C8</f>
        <v>0</v>
      </c>
    </row>
    <row r="9" spans="1:6" x14ac:dyDescent="0.35">
      <c r="B9" s="2" t="s">
        <v>11</v>
      </c>
      <c r="C9" s="32">
        <v>0.46145420742217486</v>
      </c>
      <c r="D9" s="32">
        <v>0.46145420742217486</v>
      </c>
      <c r="E9" s="30">
        <f>(D9-C9)/C9</f>
        <v>0</v>
      </c>
    </row>
    <row r="10" spans="1:6" x14ac:dyDescent="0.35">
      <c r="B10" s="2" t="s">
        <v>3</v>
      </c>
      <c r="C10" s="32">
        <v>9.0131670581601424E-3</v>
      </c>
      <c r="D10" s="32">
        <v>9.0131670581601424E-3</v>
      </c>
      <c r="E10" s="30">
        <f>(D10-C10)/C10</f>
        <v>0</v>
      </c>
    </row>
    <row r="11" spans="1:6" x14ac:dyDescent="0.35">
      <c r="B11" s="2" t="s">
        <v>12</v>
      </c>
      <c r="C11" s="32">
        <v>3.6792908701705658E-3</v>
      </c>
      <c r="D11" s="32">
        <v>3.6792908701705658E-3</v>
      </c>
      <c r="E11" s="30">
        <f>(D11-C11)/C11</f>
        <v>0</v>
      </c>
    </row>
    <row r="12" spans="1:6" x14ac:dyDescent="0.35">
      <c r="B12" s="2"/>
      <c r="C12" s="3"/>
      <c r="D12" s="14"/>
      <c r="E12" s="4"/>
    </row>
    <row r="13" spans="1:6" x14ac:dyDescent="0.35">
      <c r="C13" s="4"/>
    </row>
    <row r="14" spans="1:6" x14ac:dyDescent="0.35">
      <c r="B14" s="17" t="s">
        <v>110</v>
      </c>
      <c r="C14" s="50"/>
      <c r="D14" s="19"/>
    </row>
    <row r="15" spans="1:6" x14ac:dyDescent="0.35">
      <c r="B15" s="17"/>
      <c r="C15" s="50"/>
      <c r="D15" s="19"/>
    </row>
    <row r="16" spans="1:6" x14ac:dyDescent="0.35">
      <c r="B16" s="17"/>
      <c r="C16" s="50"/>
      <c r="D16" s="19"/>
    </row>
    <row r="17" spans="1:6" x14ac:dyDescent="0.35">
      <c r="B17" s="10"/>
      <c r="C17" s="18"/>
    </row>
    <row r="18" spans="1:6" x14ac:dyDescent="0.35">
      <c r="C18" s="3"/>
    </row>
    <row r="19" spans="1:6" x14ac:dyDescent="0.35">
      <c r="C19" s="3"/>
    </row>
    <row r="20" spans="1:6" x14ac:dyDescent="0.35">
      <c r="C20" s="3"/>
      <c r="F20" s="19"/>
    </row>
    <row r="21" spans="1:6" x14ac:dyDescent="0.35">
      <c r="B21" s="19"/>
    </row>
    <row r="29" spans="1:6" x14ac:dyDescent="0.35">
      <c r="A29" s="19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Q43"/>
  <sheetViews>
    <sheetView zoomScaleNormal="100" workbookViewId="0">
      <selection activeCell="D7" sqref="D7"/>
    </sheetView>
  </sheetViews>
  <sheetFormatPr defaultRowHeight="10" x14ac:dyDescent="0.2"/>
  <cols>
    <col min="2" max="2" width="15.44140625" bestFit="1" customWidth="1"/>
    <col min="3" max="3" width="19.109375" bestFit="1" customWidth="1"/>
    <col min="4" max="4" width="18" bestFit="1" customWidth="1"/>
    <col min="5" max="5" width="25.6640625" bestFit="1" customWidth="1"/>
    <col min="6" max="6" width="18" bestFit="1" customWidth="1"/>
    <col min="7" max="7" width="14.88671875" bestFit="1" customWidth="1"/>
    <col min="8" max="9" width="13.44140625" bestFit="1" customWidth="1"/>
    <col min="10" max="10" width="11.88671875" bestFit="1" customWidth="1"/>
    <col min="13" max="13" width="13" bestFit="1" customWidth="1"/>
    <col min="14" max="15" width="14.33203125" bestFit="1" customWidth="1"/>
    <col min="16" max="16" width="10.88671875" bestFit="1" customWidth="1"/>
    <col min="17" max="17" width="11.109375" bestFit="1" customWidth="1"/>
  </cols>
  <sheetData>
    <row r="1" spans="1:16" ht="10.5" x14ac:dyDescent="0.25">
      <c r="A1" s="102" t="str">
        <f>'Distribution 1 Year'!A1:F1</f>
        <v>SAN DIEGO GAS &amp; ELECTRIC COMPANY</v>
      </c>
      <c r="B1" s="102"/>
      <c r="C1" s="102"/>
      <c r="D1" s="102"/>
      <c r="E1" s="102"/>
      <c r="F1" s="102"/>
      <c r="G1" s="102"/>
    </row>
    <row r="2" spans="1:16" ht="10.5" x14ac:dyDescent="0.25">
      <c r="A2" s="102" t="str">
        <f>'Distribution 1 Year'!A2:F2</f>
        <v>TEST YEAR 2019 GENERAL RATE CASE PHASE 2, APPLICATION 19-03-002</v>
      </c>
      <c r="B2" s="102"/>
      <c r="C2" s="102"/>
      <c r="D2" s="102"/>
      <c r="E2" s="102"/>
      <c r="F2" s="102"/>
      <c r="G2" s="45"/>
    </row>
    <row r="3" spans="1:16" ht="10.5" x14ac:dyDescent="0.25">
      <c r="A3" s="102" t="str">
        <f>'Distribution 1 Year'!A3:F3</f>
        <v>REVENUE ALLOCATION WORKPAPERS - CHAPTER 2</v>
      </c>
      <c r="B3" s="102"/>
      <c r="C3" s="102"/>
      <c r="D3" s="102"/>
      <c r="E3" s="102"/>
      <c r="F3" s="102"/>
      <c r="G3" s="103"/>
      <c r="M3" s="55"/>
      <c r="N3" s="55"/>
      <c r="O3" s="55"/>
      <c r="P3" s="55"/>
    </row>
    <row r="4" spans="1:16" ht="10.5" x14ac:dyDescent="0.25">
      <c r="M4" s="77"/>
      <c r="N4" s="77"/>
      <c r="O4" s="77"/>
      <c r="P4" s="55"/>
    </row>
    <row r="5" spans="1:16" ht="14.5" x14ac:dyDescent="0.35">
      <c r="M5" s="48"/>
      <c r="N5" s="48"/>
      <c r="O5" s="48"/>
      <c r="P5" s="48"/>
    </row>
    <row r="6" spans="1:16" ht="14.5" x14ac:dyDescent="0.35">
      <c r="B6" s="29"/>
      <c r="C6" s="2" t="s">
        <v>7</v>
      </c>
      <c r="D6" s="2" t="s">
        <v>8</v>
      </c>
      <c r="E6" s="2" t="s">
        <v>9</v>
      </c>
      <c r="F6" s="2"/>
      <c r="G6" s="2"/>
      <c r="M6" s="49"/>
      <c r="N6" s="49"/>
      <c r="O6" s="49"/>
      <c r="P6" s="49"/>
    </row>
    <row r="7" spans="1:16" ht="14.5" x14ac:dyDescent="0.35">
      <c r="B7" s="2" t="s">
        <v>2</v>
      </c>
      <c r="C7" s="32">
        <v>0.37682119811019799</v>
      </c>
      <c r="D7" s="32">
        <v>0.28488281182144398</v>
      </c>
      <c r="E7" s="30">
        <f>(D7-C7)/C7</f>
        <v>-0.24398411434875658</v>
      </c>
      <c r="F7" s="32"/>
      <c r="G7" s="30"/>
      <c r="M7" s="49"/>
      <c r="N7" s="49"/>
      <c r="O7" s="49"/>
      <c r="P7" s="49"/>
    </row>
    <row r="8" spans="1:16" ht="14.5" x14ac:dyDescent="0.35">
      <c r="B8" s="2" t="s">
        <v>10</v>
      </c>
      <c r="C8" s="32">
        <v>0.11600987372563866</v>
      </c>
      <c r="D8" s="32">
        <v>0.12558170799480314</v>
      </c>
      <c r="E8" s="30">
        <f>(D8-C8)/C8</f>
        <v>8.2508789655281467E-2</v>
      </c>
      <c r="F8" s="32"/>
      <c r="G8" s="30"/>
      <c r="M8" s="49"/>
      <c r="N8" s="49"/>
      <c r="O8" s="49"/>
      <c r="P8" s="49"/>
    </row>
    <row r="9" spans="1:16" ht="14.5" x14ac:dyDescent="0.35">
      <c r="B9" s="2" t="s">
        <v>11</v>
      </c>
      <c r="C9" s="32">
        <v>0.49179146023036979</v>
      </c>
      <c r="D9" s="32">
        <v>0.56955441978872656</v>
      </c>
      <c r="E9" s="30">
        <f>(D9-C9)/C9</f>
        <v>0.15812181757269694</v>
      </c>
      <c r="F9" s="32"/>
      <c r="G9" s="30"/>
      <c r="M9" s="49"/>
      <c r="N9" s="49"/>
      <c r="O9" s="49"/>
      <c r="P9" s="49"/>
    </row>
    <row r="10" spans="1:16" ht="14.5" x14ac:dyDescent="0.35">
      <c r="B10" s="2" t="s">
        <v>3</v>
      </c>
      <c r="C10" s="32">
        <v>1.4512543430626256E-2</v>
      </c>
      <c r="D10" s="32">
        <v>1.9684181166410498E-2</v>
      </c>
      <c r="E10" s="30">
        <f>(D10-C10)/C10</f>
        <v>0.35635640027580417</v>
      </c>
      <c r="F10" s="32"/>
      <c r="G10" s="30"/>
      <c r="M10" s="49"/>
      <c r="N10" s="49"/>
      <c r="O10" s="49"/>
      <c r="P10" s="49"/>
    </row>
    <row r="11" spans="1:16" ht="14.5" x14ac:dyDescent="0.35">
      <c r="B11" s="2" t="s">
        <v>12</v>
      </c>
      <c r="C11" s="32">
        <v>8.6492450316718239E-4</v>
      </c>
      <c r="D11" s="32">
        <v>2.968792286158803E-4</v>
      </c>
      <c r="E11" s="30">
        <f>(D11-C11)/C11</f>
        <v>-0.65675706084315189</v>
      </c>
      <c r="F11" s="32"/>
      <c r="G11" s="30"/>
      <c r="M11" s="55"/>
      <c r="N11" s="55"/>
      <c r="O11" s="55"/>
      <c r="P11" s="55"/>
    </row>
    <row r="12" spans="1:16" x14ac:dyDescent="0.2">
      <c r="M12" s="55"/>
      <c r="N12" s="55"/>
      <c r="O12" s="55"/>
      <c r="P12" s="55"/>
    </row>
    <row r="13" spans="1:16" ht="10.5" x14ac:dyDescent="0.25">
      <c r="M13" s="77"/>
      <c r="N13" s="77"/>
      <c r="O13" s="77"/>
      <c r="P13" s="55"/>
    </row>
    <row r="14" spans="1:16" ht="14.5" x14ac:dyDescent="0.35">
      <c r="M14" s="48"/>
      <c r="N14" s="48"/>
      <c r="O14" s="48"/>
      <c r="P14" s="48"/>
    </row>
    <row r="15" spans="1:16" ht="14.5" x14ac:dyDescent="0.35">
      <c r="B15" s="29"/>
      <c r="C15" s="2" t="s">
        <v>40</v>
      </c>
      <c r="D15" s="2" t="s">
        <v>41</v>
      </c>
      <c r="E15" s="2" t="s">
        <v>48</v>
      </c>
      <c r="F15" s="2" t="s">
        <v>42</v>
      </c>
      <c r="G15" s="13" t="s">
        <v>85</v>
      </c>
      <c r="H15" s="13" t="s">
        <v>92</v>
      </c>
      <c r="I15" s="13" t="s">
        <v>97</v>
      </c>
      <c r="J15" s="13" t="s">
        <v>98</v>
      </c>
      <c r="M15" s="49"/>
      <c r="N15" s="49"/>
      <c r="O15" s="49"/>
      <c r="P15" s="75"/>
    </row>
    <row r="16" spans="1:16" ht="14.5" x14ac:dyDescent="0.35">
      <c r="B16" s="2" t="s">
        <v>2</v>
      </c>
      <c r="C16" s="32">
        <f>'PPP - CARE'!E7</f>
        <v>-2.3816589030186932E-2</v>
      </c>
      <c r="D16" s="32">
        <f>'PPP - ESAP'!E7</f>
        <v>-2.1955119619730047E-2</v>
      </c>
      <c r="E16" s="32">
        <f>'PPP-EE and EPEEBA'!E7</f>
        <v>-0.43866444800780169</v>
      </c>
      <c r="F16" s="32">
        <f>'PPP- EPIC'!E7</f>
        <v>-2.2074847803960046E-2</v>
      </c>
      <c r="G16" s="32">
        <f>'PPP - SGIP'!E7</f>
        <v>-0.76617951279345264</v>
      </c>
      <c r="H16" s="32">
        <f>'PPP - CSI'!E7</f>
        <v>0</v>
      </c>
      <c r="I16" s="32">
        <f>'PPP - FERA'!E7</f>
        <v>-2.3816589030186932E-2</v>
      </c>
      <c r="J16" s="32">
        <f>'PPP - Food Bank'!E7</f>
        <v>-2.3816589030186932E-2</v>
      </c>
      <c r="M16" s="49"/>
      <c r="N16" s="49"/>
      <c r="O16" s="49"/>
      <c r="P16" s="75"/>
    </row>
    <row r="17" spans="2:16" ht="14.5" x14ac:dyDescent="0.35">
      <c r="B17" s="2" t="s">
        <v>10</v>
      </c>
      <c r="C17" s="32">
        <f>'PPP - CARE'!E8</f>
        <v>3.7706196404987118E-2</v>
      </c>
      <c r="D17" s="32">
        <f>'PPP - ESAP'!E8</f>
        <v>3.8553938946388297E-2</v>
      </c>
      <c r="E17" s="32">
        <f>'PPP-EE and EPEEBA'!E8</f>
        <v>0.37109773009852598</v>
      </c>
      <c r="F17" s="32">
        <f>'PPP- EPIC'!E8</f>
        <v>3.8426803495010313E-2</v>
      </c>
      <c r="G17" s="32">
        <f>'PPP - SGIP'!E8</f>
        <v>-1</v>
      </c>
      <c r="H17" s="32">
        <f>'PPP - CSI'!E8</f>
        <v>0</v>
      </c>
      <c r="I17" s="32">
        <f>'PPP - FERA'!E8</f>
        <v>3.7706196404987118E-2</v>
      </c>
      <c r="J17" s="32">
        <f>'PPP - Food Bank'!E8</f>
        <v>3.7706196404987118E-2</v>
      </c>
      <c r="M17" s="49"/>
      <c r="N17" s="49"/>
      <c r="O17" s="49"/>
      <c r="P17" s="75"/>
    </row>
    <row r="18" spans="2:16" ht="14.5" x14ac:dyDescent="0.35">
      <c r="B18" s="2" t="s">
        <v>11</v>
      </c>
      <c r="C18" s="32">
        <f>'PPP - CARE'!E9</f>
        <v>2.1450899201131469E-3</v>
      </c>
      <c r="D18" s="32">
        <f>'PPP - ESAP'!E9</f>
        <v>3.1552560856615269E-3</v>
      </c>
      <c r="E18" s="32">
        <f>'PPP-EE and EPEEBA'!E9</f>
        <v>0.37109773009852604</v>
      </c>
      <c r="F18" s="32">
        <f>'PPP- EPIC'!E9</f>
        <v>3.0324539937315901E-3</v>
      </c>
      <c r="G18" s="32">
        <f>'PPP - SGIP'!E9</f>
        <v>0.72637415214355727</v>
      </c>
      <c r="H18" s="32">
        <f>'PPP - CSI'!E9</f>
        <v>0</v>
      </c>
      <c r="I18" s="32">
        <f>'PPP - FERA'!E9</f>
        <v>2.1450899201131469E-3</v>
      </c>
      <c r="J18" s="32">
        <f>'PPP - Food Bank'!E9</f>
        <v>2.1450899201131469E-3</v>
      </c>
      <c r="M18" s="49"/>
      <c r="N18" s="49"/>
      <c r="O18" s="49"/>
      <c r="P18" s="75"/>
    </row>
    <row r="19" spans="2:16" ht="14.5" x14ac:dyDescent="0.35">
      <c r="B19" s="2" t="s">
        <v>3</v>
      </c>
      <c r="C19" s="32">
        <f>'PPP - CARE'!E10</f>
        <v>0.12656015304645285</v>
      </c>
      <c r="D19" s="32">
        <f>'PPP - ESAP'!E10</f>
        <v>0.12775286880820266</v>
      </c>
      <c r="E19" s="32">
        <f>'PPP-EE and EPEEBA'!E10</f>
        <v>0.63380890317036509</v>
      </c>
      <c r="F19" s="32">
        <f>'PPP- EPIC'!E10</f>
        <v>0.12761481399502256</v>
      </c>
      <c r="G19" s="32">
        <f>'PPP - SGIP'!E10</f>
        <v>1.5004665205209671</v>
      </c>
      <c r="H19" s="32">
        <f>'PPP - CSI'!E10</f>
        <v>0</v>
      </c>
      <c r="I19" s="32">
        <f>'PPP - FERA'!E10</f>
        <v>0.12656015304645285</v>
      </c>
      <c r="J19" s="32">
        <f>'PPP - Food Bank'!E10</f>
        <v>0.12656015304645285</v>
      </c>
      <c r="M19" s="49"/>
      <c r="N19" s="49"/>
      <c r="O19" s="49"/>
      <c r="P19" s="75"/>
    </row>
    <row r="20" spans="2:16" ht="14.5" x14ac:dyDescent="0.35">
      <c r="B20" s="2" t="s">
        <v>12</v>
      </c>
      <c r="C20" s="32"/>
      <c r="D20" s="32"/>
      <c r="E20" s="32">
        <f>'PPP-EE and EPEEBA'!E11</f>
        <v>-0.97931572914906795</v>
      </c>
      <c r="F20" s="32">
        <f>'PPP- EPIC'!E11</f>
        <v>2.7589969951465641E-2</v>
      </c>
      <c r="G20" s="32">
        <f>'PPP - SGIP'!E11</f>
        <v>-1</v>
      </c>
      <c r="H20" s="32">
        <f>'PPP - CSI'!E11</f>
        <v>0</v>
      </c>
      <c r="I20" s="32">
        <f>'PPP - FERA'!E11</f>
        <v>0</v>
      </c>
      <c r="J20" s="32">
        <f>'PPP - Food Bank'!E11</f>
        <v>0</v>
      </c>
      <c r="M20" s="55"/>
      <c r="N20" s="55"/>
      <c r="O20" s="55"/>
      <c r="P20" s="76"/>
    </row>
    <row r="21" spans="2:16" ht="14.5" x14ac:dyDescent="0.35">
      <c r="B21" s="13" t="s">
        <v>51</v>
      </c>
      <c r="C21" s="37">
        <v>152475107</v>
      </c>
      <c r="D21" s="37">
        <v>5828947.0000000009</v>
      </c>
      <c r="E21" s="37">
        <v>104038047</v>
      </c>
      <c r="F21" s="37">
        <v>17137790</v>
      </c>
      <c r="G21" s="37">
        <v>20069400</v>
      </c>
      <c r="H21" s="37">
        <v>2002000.0000000005</v>
      </c>
      <c r="I21" s="37">
        <v>2175066</v>
      </c>
      <c r="J21" s="37">
        <v>57119</v>
      </c>
      <c r="M21" s="77"/>
      <c r="N21" s="77"/>
      <c r="O21" s="77"/>
      <c r="P21" s="76"/>
    </row>
    <row r="22" spans="2:16" ht="14.5" x14ac:dyDescent="0.35">
      <c r="B22" s="13" t="s">
        <v>50</v>
      </c>
      <c r="C22" s="32">
        <f>C21/(SUM($C$21:$J$21))</f>
        <v>0.50192034473922476</v>
      </c>
      <c r="D22" s="32">
        <f>D21/(SUM($C$21:$J$21))</f>
        <v>1.9187834298136745E-2</v>
      </c>
      <c r="E22" s="32">
        <f>E21/(SUM($C$21:$J$21))</f>
        <v>0.34247434511546637</v>
      </c>
      <c r="F22" s="32">
        <f>F21/(SUM($C$21:$J$21))</f>
        <v>5.6414490431336034E-2</v>
      </c>
      <c r="G22" s="32">
        <f t="shared" ref="G22:J22" si="0">G21/(SUM($C$21:$J$21))</f>
        <v>6.6064817824390165E-2</v>
      </c>
      <c r="H22" s="32">
        <f t="shared" si="0"/>
        <v>6.5902202001270156E-3</v>
      </c>
      <c r="I22" s="32">
        <f t="shared" si="0"/>
        <v>7.15992202288185E-3</v>
      </c>
      <c r="J22" s="32">
        <f t="shared" si="0"/>
        <v>1.8802536843709038E-4</v>
      </c>
      <c r="M22" s="48"/>
      <c r="N22" s="48"/>
      <c r="O22" s="48"/>
      <c r="P22" s="61"/>
    </row>
    <row r="23" spans="2:16" ht="14.5" x14ac:dyDescent="0.35">
      <c r="M23" s="49"/>
      <c r="N23" s="49"/>
      <c r="O23" s="49"/>
      <c r="P23" s="75"/>
    </row>
    <row r="24" spans="2:16" ht="14.5" x14ac:dyDescent="0.35">
      <c r="M24" s="49"/>
      <c r="N24" s="49"/>
      <c r="O24" s="49"/>
      <c r="P24" s="75"/>
    </row>
    <row r="25" spans="2:16" ht="14.5" x14ac:dyDescent="0.35">
      <c r="M25" s="49"/>
      <c r="N25" s="49"/>
      <c r="O25" s="49"/>
      <c r="P25" s="75"/>
    </row>
    <row r="26" spans="2:16" ht="14.5" x14ac:dyDescent="0.35">
      <c r="M26" s="49"/>
      <c r="N26" s="49"/>
      <c r="O26" s="49"/>
      <c r="P26" s="75"/>
    </row>
    <row r="27" spans="2:16" ht="14.5" x14ac:dyDescent="0.35">
      <c r="M27" s="49"/>
      <c r="N27" s="49"/>
      <c r="O27" s="49"/>
      <c r="P27" s="75"/>
    </row>
    <row r="28" spans="2:16" x14ac:dyDescent="0.2">
      <c r="M28" s="55"/>
      <c r="N28" s="55"/>
      <c r="O28" s="55"/>
      <c r="P28" s="76"/>
    </row>
    <row r="29" spans="2:16" ht="10.5" x14ac:dyDescent="0.25">
      <c r="M29" s="77"/>
      <c r="N29" s="78"/>
      <c r="O29" s="78"/>
      <c r="P29" s="76"/>
    </row>
    <row r="30" spans="2:16" ht="14.5" x14ac:dyDescent="0.35">
      <c r="M30" s="48"/>
      <c r="N30" s="48"/>
      <c r="O30" s="48"/>
      <c r="P30" s="61"/>
    </row>
    <row r="31" spans="2:16" ht="14.5" x14ac:dyDescent="0.35">
      <c r="M31" s="49"/>
      <c r="N31" s="49"/>
      <c r="O31" s="49"/>
      <c r="P31" s="75"/>
    </row>
    <row r="32" spans="2:16" ht="14.5" x14ac:dyDescent="0.35">
      <c r="M32" s="49"/>
      <c r="N32" s="49"/>
      <c r="O32" s="49"/>
      <c r="P32" s="75"/>
    </row>
    <row r="33" spans="13:17" ht="14.5" x14ac:dyDescent="0.35">
      <c r="M33" s="49"/>
      <c r="N33" s="49"/>
      <c r="O33" s="49"/>
      <c r="P33" s="75"/>
    </row>
    <row r="34" spans="13:17" ht="14.5" x14ac:dyDescent="0.35">
      <c r="M34" s="49"/>
      <c r="N34" s="49"/>
      <c r="O34" s="49"/>
      <c r="P34" s="75"/>
    </row>
    <row r="35" spans="13:17" ht="14.5" x14ac:dyDescent="0.35">
      <c r="M35" s="49"/>
      <c r="N35" s="49"/>
      <c r="O35" s="49"/>
      <c r="P35" s="75"/>
    </row>
    <row r="36" spans="13:17" x14ac:dyDescent="0.2">
      <c r="M36" s="55"/>
      <c r="N36" s="55"/>
      <c r="O36" s="55"/>
      <c r="P36" s="76"/>
    </row>
    <row r="37" spans="13:17" ht="10.5" x14ac:dyDescent="0.25">
      <c r="M37" s="77"/>
      <c r="N37" s="78"/>
      <c r="O37" s="78"/>
      <c r="P37" s="76"/>
      <c r="Q37" s="55"/>
    </row>
    <row r="38" spans="13:17" ht="14.5" x14ac:dyDescent="0.35">
      <c r="M38" s="48"/>
      <c r="N38" s="48"/>
      <c r="O38" s="48"/>
      <c r="P38" s="61"/>
    </row>
    <row r="39" spans="13:17" ht="14.5" x14ac:dyDescent="0.35">
      <c r="M39" s="49"/>
      <c r="N39" s="49"/>
      <c r="O39" s="49"/>
      <c r="P39" s="75"/>
    </row>
    <row r="40" spans="13:17" ht="14.5" x14ac:dyDescent="0.35">
      <c r="M40" s="49"/>
      <c r="N40" s="49"/>
      <c r="O40" s="49"/>
      <c r="P40" s="75"/>
    </row>
    <row r="41" spans="13:17" ht="14.5" x14ac:dyDescent="0.35">
      <c r="M41" s="49"/>
      <c r="N41" s="49"/>
      <c r="O41" s="49"/>
      <c r="P41" s="75"/>
    </row>
    <row r="42" spans="13:17" ht="14.5" x14ac:dyDescent="0.35">
      <c r="M42" s="49"/>
      <c r="N42" s="49"/>
      <c r="O42" s="49"/>
      <c r="P42" s="75"/>
    </row>
    <row r="43" spans="13:17" ht="14.5" x14ac:dyDescent="0.35">
      <c r="M43" s="49"/>
      <c r="N43" s="49"/>
      <c r="O43" s="49"/>
      <c r="P43" s="75"/>
    </row>
  </sheetData>
  <mergeCells count="3">
    <mergeCell ref="A1:G1"/>
    <mergeCell ref="A3:G3"/>
    <mergeCell ref="A2:F2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F18"/>
  <sheetViews>
    <sheetView zoomScale="85" zoomScaleNormal="85" workbookViewId="0">
      <selection activeCell="I21" sqref="I21"/>
    </sheetView>
  </sheetViews>
  <sheetFormatPr defaultColWidth="9.33203125" defaultRowHeight="14.5" x14ac:dyDescent="0.35"/>
  <cols>
    <col min="1" max="1" width="9.33203125" style="1"/>
    <col min="2" max="2" width="15.88671875" style="1" customWidth="1"/>
    <col min="3" max="3" width="25" style="1" bestFit="1" customWidth="1"/>
    <col min="4" max="4" width="14.109375" style="1" bestFit="1" customWidth="1"/>
    <col min="5" max="5" width="25.44140625" style="1" bestFit="1" customWidth="1"/>
    <col min="6" max="16384" width="9.33203125" style="1"/>
  </cols>
  <sheetData>
    <row r="1" spans="1:6" x14ac:dyDescent="0.35">
      <c r="A1" s="100" t="str">
        <f>'Distribution 1 Year'!A1:F1</f>
        <v>SAN DIEGO GAS &amp; ELECTRIC COMPANY</v>
      </c>
      <c r="B1" s="100"/>
      <c r="C1" s="100"/>
      <c r="D1" s="100"/>
      <c r="E1" s="100"/>
      <c r="F1" s="100"/>
    </row>
    <row r="2" spans="1:6" x14ac:dyDescent="0.35">
      <c r="A2" s="100" t="str">
        <f>'Distribution 1 Year'!A2:F2</f>
        <v>TEST YEAR 2019 GENERAL RATE CASE PHASE 2, APPLICATION 19-03-002</v>
      </c>
      <c r="B2" s="100"/>
      <c r="C2" s="100"/>
      <c r="D2" s="100"/>
      <c r="E2" s="100"/>
      <c r="F2" s="100"/>
    </row>
    <row r="3" spans="1:6" x14ac:dyDescent="0.35">
      <c r="A3" s="100" t="str">
        <f>'Distribution 1 Year'!A3:F3</f>
        <v>REVENUE ALLOCATION WORKPAPERS - CHAPTER 2</v>
      </c>
      <c r="B3" s="100"/>
      <c r="C3" s="100"/>
      <c r="D3" s="100"/>
      <c r="E3" s="100"/>
      <c r="F3" s="100"/>
    </row>
    <row r="6" spans="1:6" x14ac:dyDescent="0.35">
      <c r="B6" s="29"/>
      <c r="C6" s="2" t="s">
        <v>7</v>
      </c>
      <c r="D6" s="2" t="s">
        <v>8</v>
      </c>
      <c r="E6" s="2" t="s">
        <v>9</v>
      </c>
    </row>
    <row r="7" spans="1:6" x14ac:dyDescent="0.35">
      <c r="B7" s="2" t="s">
        <v>2</v>
      </c>
      <c r="C7" s="32">
        <v>0.46049962911213632</v>
      </c>
      <c r="D7" s="33">
        <v>0.25849481349986364</v>
      </c>
      <c r="E7" s="30">
        <f>(D7-C7)/C7</f>
        <v>-0.43866444800780169</v>
      </c>
    </row>
    <row r="8" spans="1:6" x14ac:dyDescent="0.35">
      <c r="B8" s="2" t="s">
        <v>10</v>
      </c>
      <c r="C8" s="32">
        <v>0.11302169887200222</v>
      </c>
      <c r="D8" s="33">
        <v>0.15496379477528138</v>
      </c>
      <c r="E8" s="30">
        <f>(D8-C8)/C8</f>
        <v>0.37109773009852598</v>
      </c>
    </row>
    <row r="9" spans="1:6" x14ac:dyDescent="0.35">
      <c r="B9" s="2" t="s">
        <v>11</v>
      </c>
      <c r="C9" s="32">
        <v>0.41445398809380962</v>
      </c>
      <c r="D9" s="33">
        <v>0.5682569223057039</v>
      </c>
      <c r="E9" s="30">
        <f>(D9-C9)/C9</f>
        <v>0.37109773009852604</v>
      </c>
    </row>
    <row r="10" spans="1:6" x14ac:dyDescent="0.35">
      <c r="B10" s="2" t="s">
        <v>3</v>
      </c>
      <c r="C10" s="32">
        <v>1.118062872431484E-2</v>
      </c>
      <c r="D10" s="33">
        <v>1.8267010752827908E-2</v>
      </c>
      <c r="E10" s="30">
        <f>(D10-C10)/C10</f>
        <v>0.63380890317036509</v>
      </c>
    </row>
    <row r="11" spans="1:6" x14ac:dyDescent="0.35">
      <c r="B11" s="2" t="s">
        <v>12</v>
      </c>
      <c r="C11" s="32">
        <v>8.4405519773694078E-4</v>
      </c>
      <c r="D11" s="33">
        <v>1.745866632312787E-5</v>
      </c>
      <c r="E11" s="30">
        <f>(D11-C11)/C11</f>
        <v>-0.97931572914906795</v>
      </c>
    </row>
    <row r="12" spans="1:6" x14ac:dyDescent="0.35">
      <c r="B12" s="2"/>
      <c r="C12" s="14"/>
      <c r="D12" s="14"/>
      <c r="E12" s="5"/>
    </row>
    <row r="13" spans="1:6" x14ac:dyDescent="0.35">
      <c r="B13" s="10" t="s">
        <v>19</v>
      </c>
    </row>
    <row r="14" spans="1:6" x14ac:dyDescent="0.35">
      <c r="B14" s="10"/>
    </row>
    <row r="15" spans="1:6" x14ac:dyDescent="0.35">
      <c r="B15" s="2"/>
      <c r="C15" s="15"/>
    </row>
    <row r="16" spans="1:6" x14ac:dyDescent="0.35">
      <c r="B16" s="2"/>
      <c r="C16" s="15"/>
    </row>
    <row r="17" spans="2:3" x14ac:dyDescent="0.35">
      <c r="B17" s="16"/>
    </row>
    <row r="18" spans="2:3" x14ac:dyDescent="0.35">
      <c r="C18" s="60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2A9F4B-11DD-4C68-A65B-7660C727D689}"/>
</file>

<file path=customXml/itemProps2.xml><?xml version="1.0" encoding="utf-8"?>
<ds:datastoreItem xmlns:ds="http://schemas.openxmlformats.org/officeDocument/2006/customXml" ds:itemID="{2E922C2F-B472-4F84-B9E5-8E0E9DD28472}"/>
</file>

<file path=customXml/itemProps3.xml><?xml version="1.0" encoding="utf-8"?>
<ds:datastoreItem xmlns:ds="http://schemas.openxmlformats.org/officeDocument/2006/customXml" ds:itemID="{8D0C36E4-55F9-4A61-92AD-70555E8C2F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Description</vt:lpstr>
      <vt:lpstr>Distribution 1 Year</vt:lpstr>
      <vt:lpstr>Distribution 3 Year</vt:lpstr>
      <vt:lpstr>Misc. Programs</vt:lpstr>
      <vt:lpstr>Commodity</vt:lpstr>
      <vt:lpstr>CTC</vt:lpstr>
      <vt:lpstr>LGC</vt:lpstr>
      <vt:lpstr>Total PPP</vt:lpstr>
      <vt:lpstr>PPP-EE and EPEEBA</vt:lpstr>
      <vt:lpstr>PPP - CARE</vt:lpstr>
      <vt:lpstr>PPP - FERA</vt:lpstr>
      <vt:lpstr>PPP - ESAP</vt:lpstr>
      <vt:lpstr>PPP- EPIC</vt:lpstr>
      <vt:lpstr>PPP - SGIP</vt:lpstr>
      <vt:lpstr>PPP - CSI</vt:lpstr>
      <vt:lpstr>PPP - Food Bank</vt:lpstr>
      <vt:lpstr>Sales %</vt:lpstr>
      <vt:lpstr>PPP Rates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Emge, Jesse B</dc:creator>
  <cp:lastModifiedBy>Elias, James J</cp:lastModifiedBy>
  <dcterms:created xsi:type="dcterms:W3CDTF">2015-01-02T21:41:09Z</dcterms:created>
  <dcterms:modified xsi:type="dcterms:W3CDTF">2019-05-14T23:59:03Z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