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408" documentId="13_ncr:1_{D6D67982-D94E-432B-A49A-B365A4897D33}" xr6:coauthVersionLast="47" xr6:coauthVersionMax="47" xr10:uidLastSave="{41FAB94F-20B7-4F14-A835-06EE6EE53DEF}"/>
  <bookViews>
    <workbookView xWindow="-28920" yWindow="855" windowWidth="29040" windowHeight="15840" xr2:uid="{E183052E-CDF7-4422-82CD-9FB90B2A0C9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19" i="1"/>
  <c r="K17" i="1"/>
  <c r="K15" i="1"/>
  <c r="K13" i="1"/>
  <c r="K26" i="1"/>
  <c r="K22" i="1"/>
  <c r="K31" i="1"/>
  <c r="K3" i="1"/>
  <c r="K16" i="1"/>
  <c r="K14" i="1"/>
  <c r="K24" i="1"/>
  <c r="K23" i="1"/>
  <c r="K27" i="1"/>
  <c r="K20" i="1"/>
  <c r="K9" i="1"/>
  <c r="K8" i="1"/>
  <c r="K18" i="1" l="1"/>
  <c r="K12" i="1"/>
  <c r="K11" i="1"/>
  <c r="K10" i="1"/>
  <c r="K33" i="1"/>
  <c r="K32" i="1"/>
  <c r="K21" i="1"/>
  <c r="K7" i="1"/>
  <c r="K6" i="1"/>
  <c r="K5" i="1"/>
</calcChain>
</file>

<file path=xl/sharedStrings.xml><?xml version="1.0" encoding="utf-8"?>
<sst xmlns="http://schemas.openxmlformats.org/spreadsheetml/2006/main" count="405" uniqueCount="100">
  <si>
    <t>(a) Project ID - 1</t>
  </si>
  <si>
    <t>(b) Circuit ID</t>
  </si>
  <si>
    <t>(c) Circuit Segment ID Entirely Underground</t>
  </si>
  <si>
    <t>(d) Circuit Segment ID Partially Underground</t>
  </si>
  <si>
    <t>(e) County</t>
  </si>
  <si>
    <t>(f) Project Start Date - 2</t>
  </si>
  <si>
    <t>(g) Project Completion Date - 3</t>
  </si>
  <si>
    <t>(h) Total Overhead Miles Removed - 4</t>
  </si>
  <si>
    <t>(i) Total Cable Miles Installed - 5</t>
  </si>
  <si>
    <t>(j) Total Trench Miles  - 6</t>
  </si>
  <si>
    <t>(k) Total Electric Cost - 7</t>
  </si>
  <si>
    <t>(l) Total Cost - Inc Non-Electric Utilities - 8</t>
  </si>
  <si>
    <t>(m) Rule 20?</t>
  </si>
  <si>
    <t>(n) WMP?</t>
  </si>
  <si>
    <t>Post-wildfire Rebuild?</t>
  </si>
  <si>
    <t>Shared Trench with Com?</t>
  </si>
  <si>
    <t>Shared Trench with Gas?</t>
  </si>
  <si>
    <t xml:space="preserve">C1030 Ph. 4 - Services </t>
  </si>
  <si>
    <t xml:space="preserve">C1030 </t>
  </si>
  <si>
    <t>No</t>
  </si>
  <si>
    <t>1030-18R</t>
  </si>
  <si>
    <t>San Diego</t>
  </si>
  <si>
    <t>NA</t>
  </si>
  <si>
    <t>Yes</t>
  </si>
  <si>
    <t>C221 DUG Ph. 3</t>
  </si>
  <si>
    <t>C221</t>
  </si>
  <si>
    <t>221-1230F</t>
  </si>
  <si>
    <t>C221 Ph. A - Services</t>
  </si>
  <si>
    <t>221-824</t>
  </si>
  <si>
    <t>C221 Ph. D</t>
  </si>
  <si>
    <t>221-43</t>
  </si>
  <si>
    <t>C221 Ph. B2</t>
  </si>
  <si>
    <t>221-37AE</t>
  </si>
  <si>
    <t>C222 DUG Ph. 3</t>
  </si>
  <si>
    <t>C222</t>
  </si>
  <si>
    <t>222-1364R</t>
  </si>
  <si>
    <t>C222 Ph. DD</t>
  </si>
  <si>
    <t>222-2013R</t>
  </si>
  <si>
    <t>C222 Ph. EE</t>
  </si>
  <si>
    <t>C222 Ph. A</t>
  </si>
  <si>
    <t>CB 222</t>
  </si>
  <si>
    <t>C222 Ph. C</t>
  </si>
  <si>
    <t>C222 Ph. E</t>
  </si>
  <si>
    <t>C222 Ph. H</t>
  </si>
  <si>
    <t>222-1523R</t>
  </si>
  <si>
    <t>C222 Ph. L</t>
  </si>
  <si>
    <t>222-1503</t>
  </si>
  <si>
    <t>C222 Ph. N</t>
  </si>
  <si>
    <t>222-1370R</t>
  </si>
  <si>
    <t>C222 Ph. V</t>
  </si>
  <si>
    <t>222-1441R</t>
  </si>
  <si>
    <t>C222 Ph. W</t>
  </si>
  <si>
    <t>222-1401R</t>
  </si>
  <si>
    <t>C222 Ph. X</t>
  </si>
  <si>
    <t>C222 Ph. BB</t>
  </si>
  <si>
    <t>C358 DUG Ph. 2</t>
  </si>
  <si>
    <t>C358</t>
  </si>
  <si>
    <t>358-585R</t>
  </si>
  <si>
    <t>C441 DUG Ph. B</t>
  </si>
  <si>
    <t>C441</t>
  </si>
  <si>
    <t>CB 441</t>
  </si>
  <si>
    <t xml:space="preserve">C445 Ph. A </t>
  </si>
  <si>
    <t xml:space="preserve">C445 </t>
  </si>
  <si>
    <t>445-19R</t>
  </si>
  <si>
    <t>C445 Ph. B</t>
  </si>
  <si>
    <t>445-17R</t>
  </si>
  <si>
    <t>C445 Ph. C</t>
  </si>
  <si>
    <t>C445 Ph. F</t>
  </si>
  <si>
    <t>445-39R</t>
  </si>
  <si>
    <t>C445 Ph. O</t>
  </si>
  <si>
    <t>445-897R</t>
  </si>
  <si>
    <t xml:space="preserve">C73 Ph. A </t>
  </si>
  <si>
    <t>C73</t>
  </si>
  <si>
    <t>CB 73</t>
  </si>
  <si>
    <t>C75 DUG Ph. 2 - Services</t>
  </si>
  <si>
    <t>C75</t>
  </si>
  <si>
    <t>75-2237</t>
  </si>
  <si>
    <t>C972 Ph. A - Services</t>
  </si>
  <si>
    <t>C972</t>
  </si>
  <si>
    <t>972-26R</t>
  </si>
  <si>
    <t>C972 Ph. B - Services</t>
  </si>
  <si>
    <t xml:space="preserve">C972 Ph. C </t>
  </si>
  <si>
    <t>972-8</t>
  </si>
  <si>
    <t>COK1 Ph. A</t>
  </si>
  <si>
    <t>OK1</t>
  </si>
  <si>
    <t>CB OK1</t>
  </si>
  <si>
    <t>COK1 Ph. B</t>
  </si>
  <si>
    <t>CSL1 Ph. A - Services</t>
  </si>
  <si>
    <t>SL1</t>
  </si>
  <si>
    <t>CB SL1</t>
  </si>
  <si>
    <t>Notes:</t>
  </si>
  <si>
    <t>1. For (a), Project ID's with "Services" in naming, is a project with Primary cable energized in 2022 and Services energized in 2023.</t>
  </si>
  <si>
    <t>2. For (f), Used Design Start Date.</t>
  </si>
  <si>
    <t xml:space="preserve">3. For (g), Used Energization date for project completion date. </t>
  </si>
  <si>
    <t xml:space="preserve">4. For (h), Most projects have overhead removal. The projects with "0.00" miles have overhead removal, but will get completed in 2024. Projects with "NA" do not have any overhead removals.  </t>
  </si>
  <si>
    <t xml:space="preserve">5. For (i), Mileage reported were installed and energized. </t>
  </si>
  <si>
    <t>6. For (j), Projects with "NA" mileage, trench mileage completed and reported in 2022.</t>
  </si>
  <si>
    <t xml:space="preserve">7. For (k), Cost provided includes actual cost for construction and unit cost for Engineering &amp; Design and Project Support. Projects marked "NA" indicate partial energization, with the majority of the work completed and billed in 2022. </t>
  </si>
  <si>
    <t>8. For (l), this is not applicable due to all projects being electric utilities related.</t>
  </si>
  <si>
    <t>8. This list does not include Non-WMP Undergrounding Projects.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</si>
</sst>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1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36106B-54FB-44EA-9D7E-AFC41BEF02E3}" name="Table1" displayName="Table1" ref="A1:Q34" totalsRowShown="0" headerRowDxfId="15">
  <autoFilter ref="A1:Q34" xr:uid="{7636106B-54FB-44EA-9D7E-AFC41BEF02E3}"/>
  <sortState xmlns:xlrd2="http://schemas.microsoft.com/office/spreadsheetml/2017/richdata2" ref="A2:Q34">
    <sortCondition ref="B1:B34"/>
  </sortState>
  <tableColumns count="17">
    <tableColumn id="1" xr3:uid="{880780C6-114D-4AD9-A07D-F9E9ACDCD292}" name="(a) Project ID - 1"/>
    <tableColumn id="2" xr3:uid="{F9B34887-5BA6-4530-8B6B-7C8E82747336}" name="(b) Circuit ID"/>
    <tableColumn id="3" xr3:uid="{53241746-01E2-4FCE-8089-00FBF4850812}" name="(c) Circuit Segment ID Entirely Underground" dataDxfId="14"/>
    <tableColumn id="4" xr3:uid="{FFC1EE45-BB72-49F2-8E4D-8A7D3231D4F3}" name="(d) Circuit Segment ID Partially Underground" dataDxfId="13"/>
    <tableColumn id="5" xr3:uid="{C5D0B29B-3A85-4618-BDEB-E2A9077F9BEE}" name="(e) County" dataDxfId="12"/>
    <tableColumn id="6" xr3:uid="{C844F8F7-CAE4-40FE-8F62-B0937E95EA8B}" name="(f) Project Start Date - 2" dataDxfId="11"/>
    <tableColumn id="7" xr3:uid="{57D484DB-5422-4DF9-A549-F137C4B1FF5D}" name="(g) Project Completion Date - 3" dataDxfId="10"/>
    <tableColumn id="8" xr3:uid="{9840405D-D512-47BC-A469-4CF7A5C05DF6}" name="(h) Total Overhead Miles Removed - 4" dataDxfId="9"/>
    <tableColumn id="9" xr3:uid="{14247499-7E71-48AB-8AD8-79587D943A4C}" name="(i) Total Cable Miles Installed - 5" dataDxfId="8"/>
    <tableColumn id="10" xr3:uid="{ADEE8B42-E459-41B9-80ED-E5C0E33F742F}" name="(j) Total Trench Miles  - 6" dataDxfId="7"/>
    <tableColumn id="11" xr3:uid="{CE3C9479-1658-4014-913B-CA1043B75EB7}" name="(k) Total Electric Cost - 7" dataDxfId="6"/>
    <tableColumn id="12" xr3:uid="{35538AD6-2AA1-497B-9D02-8AEC6C97AB7E}" name="(l) Total Cost - Inc Non-Electric Utilities - 8" dataDxfId="5"/>
    <tableColumn id="13" xr3:uid="{988CE22B-F098-426E-AF9B-6588316B1E23}" name="(m) Rule 20?" dataDxfId="4"/>
    <tableColumn id="14" xr3:uid="{69BAD8E3-83D0-4EA1-9B1F-B50037BA4D14}" name="(n) WMP?" dataDxfId="3"/>
    <tableColumn id="15" xr3:uid="{47B49D9A-50DB-4EB9-81A4-F4B540165DED}" name="Post-wildfire Rebuild?" dataDxfId="2"/>
    <tableColumn id="16" xr3:uid="{6766DD01-E7A9-419A-AC60-E52A94B56EB1}" name="Shared Trench with Com?" dataDxfId="1"/>
    <tableColumn id="17" xr3:uid="{37727CAE-8840-4266-BB51-A44E262B85E9}" name="Shared Trench with Gas?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6583-A1D7-4F84-8344-7179825B52DE}">
  <dimension ref="A1:Q48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" sqref="L1"/>
    </sheetView>
  </sheetViews>
  <sheetFormatPr defaultRowHeight="15" x14ac:dyDescent="0.25"/>
  <cols>
    <col min="1" max="1" width="22.42578125" bestFit="1" customWidth="1"/>
    <col min="2" max="2" width="14.140625" customWidth="1"/>
    <col min="3" max="3" width="23.140625" customWidth="1"/>
    <col min="4" max="4" width="23" customWidth="1"/>
    <col min="5" max="5" width="12.42578125" customWidth="1"/>
    <col min="6" max="6" width="15.42578125" customWidth="1"/>
    <col min="7" max="7" width="20.85546875" customWidth="1"/>
    <col min="8" max="8" width="19" customWidth="1"/>
    <col min="9" max="9" width="18.42578125" customWidth="1"/>
    <col min="10" max="10" width="14.28515625" customWidth="1"/>
    <col min="11" max="11" width="24.5703125" customWidth="1"/>
    <col min="12" max="12" width="20.5703125" customWidth="1"/>
    <col min="13" max="13" width="10.140625" customWidth="1"/>
    <col min="14" max="14" width="12.140625" customWidth="1"/>
    <col min="15" max="15" width="13.42578125" customWidth="1"/>
    <col min="16" max="17" width="13.85546875" customWidth="1"/>
  </cols>
  <sheetData>
    <row r="1" spans="1:17" ht="34.5" customHeight="1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5">
      <c r="A2" t="s">
        <v>17</v>
      </c>
      <c r="B2" t="s">
        <v>18</v>
      </c>
      <c r="C2" s="2" t="s">
        <v>19</v>
      </c>
      <c r="D2" s="2" t="s">
        <v>20</v>
      </c>
      <c r="E2" s="2" t="s">
        <v>21</v>
      </c>
      <c r="F2" s="3">
        <v>44371</v>
      </c>
      <c r="G2" s="3">
        <v>44974</v>
      </c>
      <c r="H2" s="4">
        <v>9.4403000000000006</v>
      </c>
      <c r="I2" s="4">
        <v>1.73</v>
      </c>
      <c r="J2" s="4" t="s">
        <v>22</v>
      </c>
      <c r="K2" s="6" t="s">
        <v>22</v>
      </c>
      <c r="L2" s="2" t="s">
        <v>22</v>
      </c>
      <c r="M2" s="2" t="s">
        <v>19</v>
      </c>
      <c r="N2" s="2" t="s">
        <v>23</v>
      </c>
      <c r="O2" s="2" t="s">
        <v>19</v>
      </c>
      <c r="P2" s="2" t="s">
        <v>19</v>
      </c>
      <c r="Q2" s="2" t="s">
        <v>19</v>
      </c>
    </row>
    <row r="3" spans="1:17" x14ac:dyDescent="0.25">
      <c r="A3" t="s">
        <v>24</v>
      </c>
      <c r="B3" t="s">
        <v>25</v>
      </c>
      <c r="C3" s="2" t="s">
        <v>19</v>
      </c>
      <c r="D3" s="2" t="s">
        <v>26</v>
      </c>
      <c r="E3" s="2" t="s">
        <v>21</v>
      </c>
      <c r="F3" s="3">
        <v>43920</v>
      </c>
      <c r="G3" s="3">
        <v>45190</v>
      </c>
      <c r="H3" s="4">
        <v>0</v>
      </c>
      <c r="I3" s="4">
        <v>3.13</v>
      </c>
      <c r="J3" s="4">
        <v>2.46</v>
      </c>
      <c r="K3" s="6">
        <f>13439640.17+(300000*Table1[[#This Row],[(i) Total Cable Miles Installed - 5]])+(241192.23*Table1[[#This Row],[(i) Total Cable Miles Installed - 5]])+(37060.25*Table1[[#This Row],[(i) Total Cable Miles Installed - 5]])</f>
        <v>15249570.432399999</v>
      </c>
      <c r="L3" s="2" t="s">
        <v>22</v>
      </c>
      <c r="M3" s="2" t="s">
        <v>19</v>
      </c>
      <c r="N3" s="2" t="s">
        <v>23</v>
      </c>
      <c r="O3" s="2" t="s">
        <v>19</v>
      </c>
      <c r="P3" s="2" t="s">
        <v>19</v>
      </c>
      <c r="Q3" s="2" t="s">
        <v>19</v>
      </c>
    </row>
    <row r="4" spans="1:17" x14ac:dyDescent="0.25">
      <c r="A4" t="s">
        <v>27</v>
      </c>
      <c r="B4" t="s">
        <v>25</v>
      </c>
      <c r="C4" s="2" t="s">
        <v>19</v>
      </c>
      <c r="D4" s="2" t="s">
        <v>28</v>
      </c>
      <c r="E4" s="2" t="s">
        <v>21</v>
      </c>
      <c r="F4" s="3">
        <v>44489</v>
      </c>
      <c r="G4" s="3">
        <v>45126</v>
      </c>
      <c r="H4" s="4">
        <v>0.39660000000000001</v>
      </c>
      <c r="I4" s="4">
        <v>0.94</v>
      </c>
      <c r="J4" s="4" t="s">
        <v>22</v>
      </c>
      <c r="K4" s="6" t="s">
        <v>22</v>
      </c>
      <c r="L4" s="2" t="s">
        <v>22</v>
      </c>
      <c r="M4" s="2" t="s">
        <v>19</v>
      </c>
      <c r="N4" s="2" t="s">
        <v>23</v>
      </c>
      <c r="O4" s="2" t="s">
        <v>19</v>
      </c>
      <c r="P4" s="2" t="s">
        <v>19</v>
      </c>
      <c r="Q4" s="2" t="s">
        <v>19</v>
      </c>
    </row>
    <row r="5" spans="1:17" x14ac:dyDescent="0.25">
      <c r="A5" t="s">
        <v>29</v>
      </c>
      <c r="B5" t="s">
        <v>25</v>
      </c>
      <c r="C5" s="2" t="s">
        <v>19</v>
      </c>
      <c r="D5" s="2" t="s">
        <v>30</v>
      </c>
      <c r="E5" s="2" t="s">
        <v>21</v>
      </c>
      <c r="F5" s="3">
        <v>44635</v>
      </c>
      <c r="G5" s="3">
        <v>45189</v>
      </c>
      <c r="H5" s="4">
        <v>0.1116</v>
      </c>
      <c r="I5" s="4">
        <v>0.3</v>
      </c>
      <c r="J5" s="4">
        <v>0.15</v>
      </c>
      <c r="K5" s="6">
        <f>334488.08+(300000*Table1[[#This Row],[(i) Total Cable Miles Installed - 5]])+(241192.23*Table1[[#This Row],[(i) Total Cable Miles Installed - 5]])+(37060.25*Table1[[#This Row],[(i) Total Cable Miles Installed - 5]])</f>
        <v>507963.82400000002</v>
      </c>
      <c r="L5" s="2" t="s">
        <v>22</v>
      </c>
      <c r="M5" s="2" t="s">
        <v>19</v>
      </c>
      <c r="N5" s="2" t="s">
        <v>23</v>
      </c>
      <c r="O5" s="2" t="s">
        <v>19</v>
      </c>
      <c r="P5" s="2" t="s">
        <v>19</v>
      </c>
      <c r="Q5" s="2" t="s">
        <v>19</v>
      </c>
    </row>
    <row r="6" spans="1:17" x14ac:dyDescent="0.25">
      <c r="A6" t="s">
        <v>31</v>
      </c>
      <c r="B6" t="s">
        <v>25</v>
      </c>
      <c r="C6" s="2" t="s">
        <v>19</v>
      </c>
      <c r="D6" s="2" t="s">
        <v>32</v>
      </c>
      <c r="E6" s="2" t="s">
        <v>21</v>
      </c>
      <c r="F6" s="3">
        <v>44489</v>
      </c>
      <c r="G6" s="3">
        <v>45236</v>
      </c>
      <c r="H6" s="4" t="s">
        <v>22</v>
      </c>
      <c r="I6" s="4">
        <v>1.19</v>
      </c>
      <c r="J6" s="4">
        <v>1.2</v>
      </c>
      <c r="K6" s="6">
        <f>2150933.36+(300000*Table1[[#This Row],[(i) Total Cable Miles Installed - 5]])+(241192.23*Table1[[#This Row],[(i) Total Cable Miles Installed - 5]])+(37060.25*Table1[[#This Row],[(i) Total Cable Miles Installed - 5]])</f>
        <v>2839053.8111999994</v>
      </c>
      <c r="L6" s="2" t="s">
        <v>22</v>
      </c>
      <c r="M6" s="2" t="s">
        <v>19</v>
      </c>
      <c r="N6" s="2" t="s">
        <v>23</v>
      </c>
      <c r="O6" s="2" t="s">
        <v>19</v>
      </c>
      <c r="P6" s="2" t="s">
        <v>19</v>
      </c>
      <c r="Q6" s="2" t="s">
        <v>19</v>
      </c>
    </row>
    <row r="7" spans="1:17" x14ac:dyDescent="0.25">
      <c r="A7" t="s">
        <v>33</v>
      </c>
      <c r="B7" t="s">
        <v>34</v>
      </c>
      <c r="C7" s="2" t="s">
        <v>19</v>
      </c>
      <c r="D7" s="2" t="s">
        <v>35</v>
      </c>
      <c r="E7" s="2" t="s">
        <v>21</v>
      </c>
      <c r="F7" s="3">
        <v>43920</v>
      </c>
      <c r="G7" s="3">
        <v>45190</v>
      </c>
      <c r="H7" s="4">
        <v>0</v>
      </c>
      <c r="I7" s="4">
        <v>2.91</v>
      </c>
      <c r="J7" s="4">
        <v>2.46</v>
      </c>
      <c r="K7" s="6">
        <f>(300000*Table1[[#This Row],[(i) Total Cable Miles Installed - 5]])+(241192.23*Table1[[#This Row],[(i) Total Cable Miles Installed - 5]])+(37060.25*Table1[[#This Row],[(i) Total Cable Miles Installed - 5]])</f>
        <v>1682714.7167999998</v>
      </c>
      <c r="L7" s="2" t="s">
        <v>22</v>
      </c>
      <c r="M7" s="2" t="s">
        <v>19</v>
      </c>
      <c r="N7" s="2" t="s">
        <v>23</v>
      </c>
      <c r="O7" s="2" t="s">
        <v>19</v>
      </c>
      <c r="P7" s="2" t="s">
        <v>19</v>
      </c>
      <c r="Q7" s="2" t="s">
        <v>19</v>
      </c>
    </row>
    <row r="8" spans="1:17" x14ac:dyDescent="0.25">
      <c r="A8" t="s">
        <v>36</v>
      </c>
      <c r="B8" t="s">
        <v>34</v>
      </c>
      <c r="C8" s="2" t="s">
        <v>19</v>
      </c>
      <c r="D8" s="2" t="s">
        <v>37</v>
      </c>
      <c r="E8" s="2" t="s">
        <v>21</v>
      </c>
      <c r="F8" s="3">
        <v>44649</v>
      </c>
      <c r="G8" s="3">
        <v>45272</v>
      </c>
      <c r="H8" s="4">
        <v>0</v>
      </c>
      <c r="I8" s="4">
        <v>2.42</v>
      </c>
      <c r="J8" s="4">
        <v>1.48</v>
      </c>
      <c r="K8" s="6">
        <f>2016217.18+(300000*Table1[[#This Row],[(i) Total Cable Miles Installed - 5]])+(241192.23*Table1[[#This Row],[(i) Total Cable Miles Installed - 5]])+(37060.25*Table1[[#This Row],[(i) Total Cable Miles Installed - 5]])</f>
        <v>3415588.1815999998</v>
      </c>
      <c r="L8" s="2" t="s">
        <v>22</v>
      </c>
      <c r="M8" s="2" t="s">
        <v>19</v>
      </c>
      <c r="N8" s="2" t="s">
        <v>23</v>
      </c>
      <c r="O8" s="2" t="s">
        <v>19</v>
      </c>
      <c r="P8" s="2" t="s">
        <v>19</v>
      </c>
      <c r="Q8" s="2" t="s">
        <v>19</v>
      </c>
    </row>
    <row r="9" spans="1:17" x14ac:dyDescent="0.25">
      <c r="A9" t="s">
        <v>38</v>
      </c>
      <c r="B9" t="s">
        <v>34</v>
      </c>
      <c r="C9" s="2" t="s">
        <v>19</v>
      </c>
      <c r="D9" s="2" t="s">
        <v>37</v>
      </c>
      <c r="E9" s="2" t="s">
        <v>21</v>
      </c>
      <c r="F9" s="3">
        <v>44649</v>
      </c>
      <c r="G9" s="3">
        <v>45273</v>
      </c>
      <c r="H9" s="4">
        <v>0</v>
      </c>
      <c r="I9" s="4">
        <v>2.94</v>
      </c>
      <c r="J9" s="4">
        <v>2.2400000000000002</v>
      </c>
      <c r="K9" s="6">
        <f>3591073.47+(300000*Table1[[#This Row],[(i) Total Cable Miles Installed - 5]])+(241192.23*Table1[[#This Row],[(i) Total Cable Miles Installed - 5]])+(37060.25*Table1[[#This Row],[(i) Total Cable Miles Installed - 5]])</f>
        <v>5291135.7612000005</v>
      </c>
      <c r="L9" s="2" t="s">
        <v>22</v>
      </c>
      <c r="M9" s="2" t="s">
        <v>19</v>
      </c>
      <c r="N9" s="2" t="s">
        <v>23</v>
      </c>
      <c r="O9" s="2" t="s">
        <v>19</v>
      </c>
      <c r="P9" s="2" t="s">
        <v>19</v>
      </c>
      <c r="Q9" s="2" t="s">
        <v>19</v>
      </c>
    </row>
    <row r="10" spans="1:17" x14ac:dyDescent="0.25">
      <c r="A10" t="s">
        <v>39</v>
      </c>
      <c r="B10" t="s">
        <v>34</v>
      </c>
      <c r="C10" s="2" t="s">
        <v>19</v>
      </c>
      <c r="D10" s="2" t="s">
        <v>40</v>
      </c>
      <c r="E10" s="2" t="s">
        <v>21</v>
      </c>
      <c r="F10" s="3">
        <v>44635</v>
      </c>
      <c r="G10" s="3">
        <v>45190</v>
      </c>
      <c r="H10" s="4" t="s">
        <v>22</v>
      </c>
      <c r="I10" s="4">
        <v>0.14000000000000001</v>
      </c>
      <c r="J10" s="4">
        <v>0.01</v>
      </c>
      <c r="K10" s="6">
        <f>498695.41+(300000*Table1[[#This Row],[(i) Total Cable Miles Installed - 5]])+(241192.23*Table1[[#This Row],[(i) Total Cable Miles Installed - 5]])+(37060.25*Table1[[#This Row],[(i) Total Cable Miles Installed - 5]])</f>
        <v>579650.75720000011</v>
      </c>
      <c r="L10" s="2" t="s">
        <v>22</v>
      </c>
      <c r="M10" s="2" t="s">
        <v>19</v>
      </c>
      <c r="N10" s="2" t="s">
        <v>23</v>
      </c>
      <c r="O10" s="2" t="s">
        <v>19</v>
      </c>
      <c r="P10" s="2" t="s">
        <v>19</v>
      </c>
      <c r="Q10" s="2" t="s">
        <v>19</v>
      </c>
    </row>
    <row r="11" spans="1:17" x14ac:dyDescent="0.25">
      <c r="A11" t="s">
        <v>41</v>
      </c>
      <c r="B11" t="s">
        <v>34</v>
      </c>
      <c r="C11" s="2" t="s">
        <v>19</v>
      </c>
      <c r="D11" s="2" t="s">
        <v>35</v>
      </c>
      <c r="E11" s="2" t="s">
        <v>21</v>
      </c>
      <c r="F11" s="3">
        <v>44635</v>
      </c>
      <c r="G11" s="3">
        <v>45282</v>
      </c>
      <c r="H11" s="4">
        <v>0</v>
      </c>
      <c r="I11" s="4">
        <v>3.54</v>
      </c>
      <c r="J11" s="4">
        <v>3.6</v>
      </c>
      <c r="K11" s="6">
        <f>3243574.13+(300000*Table1[[#This Row],[(i) Total Cable Miles Installed - 5]])+(241192.23*Table1[[#This Row],[(i) Total Cable Miles Installed - 5]])+(37060.25*Table1[[#This Row],[(i) Total Cable Miles Installed - 5]])</f>
        <v>5290587.9091999996</v>
      </c>
      <c r="L11" s="2" t="s">
        <v>22</v>
      </c>
      <c r="M11" s="2" t="s">
        <v>19</v>
      </c>
      <c r="N11" s="2" t="s">
        <v>23</v>
      </c>
      <c r="O11" s="2" t="s">
        <v>19</v>
      </c>
      <c r="P11" s="2" t="s">
        <v>19</v>
      </c>
      <c r="Q11" s="2" t="s">
        <v>19</v>
      </c>
    </row>
    <row r="12" spans="1:17" x14ac:dyDescent="0.25">
      <c r="A12" t="s">
        <v>42</v>
      </c>
      <c r="B12" t="s">
        <v>34</v>
      </c>
      <c r="C12" s="2" t="s">
        <v>19</v>
      </c>
      <c r="D12" s="2" t="s">
        <v>35</v>
      </c>
      <c r="E12" s="2" t="s">
        <v>21</v>
      </c>
      <c r="F12" s="3">
        <v>44635</v>
      </c>
      <c r="G12" s="3">
        <v>45281</v>
      </c>
      <c r="H12" s="4">
        <v>0</v>
      </c>
      <c r="I12" s="4">
        <v>2.68</v>
      </c>
      <c r="J12" s="4">
        <v>2.74</v>
      </c>
      <c r="K12" s="6">
        <f>2502540.71+(300000*Table1[[#This Row],[(i) Total Cable Miles Installed - 5]])+(241192.23*Table1[[#This Row],[(i) Total Cable Miles Installed - 5]])+(37060.25*Table1[[#This Row],[(i) Total Cable Miles Installed - 5]])</f>
        <v>4052257.3564000004</v>
      </c>
      <c r="L12" s="2" t="s">
        <v>22</v>
      </c>
      <c r="M12" s="2" t="s">
        <v>19</v>
      </c>
      <c r="N12" s="2" t="s">
        <v>23</v>
      </c>
      <c r="O12" s="2" t="s">
        <v>19</v>
      </c>
      <c r="P12" s="2" t="s">
        <v>19</v>
      </c>
      <c r="Q12" s="2" t="s">
        <v>19</v>
      </c>
    </row>
    <row r="13" spans="1:17" x14ac:dyDescent="0.25">
      <c r="A13" t="s">
        <v>43</v>
      </c>
      <c r="B13" t="s">
        <v>34</v>
      </c>
      <c r="C13" s="2" t="s">
        <v>19</v>
      </c>
      <c r="D13" s="2" t="s">
        <v>44</v>
      </c>
      <c r="E13" s="2" t="s">
        <v>21</v>
      </c>
      <c r="F13" s="3">
        <v>44635</v>
      </c>
      <c r="G13" s="3">
        <v>45289</v>
      </c>
      <c r="H13" s="4">
        <v>0</v>
      </c>
      <c r="I13" s="4">
        <v>2.7800000000000002</v>
      </c>
      <c r="J13" s="4">
        <v>2.65</v>
      </c>
      <c r="K13" s="6">
        <f>3328525.04+(300000*Table1[[#This Row],[(i) Total Cable Miles Installed - 5]])+(241192.23*Table1[[#This Row],[(i) Total Cable Miles Installed - 5]])+(37060.25*Table1[[#This Row],[(i) Total Cable Miles Installed - 5]])</f>
        <v>4936066.9344000006</v>
      </c>
      <c r="L13" s="2" t="s">
        <v>22</v>
      </c>
      <c r="M13" s="2" t="s">
        <v>19</v>
      </c>
      <c r="N13" s="2" t="s">
        <v>23</v>
      </c>
      <c r="O13" s="2" t="s">
        <v>19</v>
      </c>
      <c r="P13" s="2" t="s">
        <v>19</v>
      </c>
      <c r="Q13" s="2" t="s">
        <v>19</v>
      </c>
    </row>
    <row r="14" spans="1:17" x14ac:dyDescent="0.25">
      <c r="A14" t="s">
        <v>45</v>
      </c>
      <c r="B14" t="s">
        <v>34</v>
      </c>
      <c r="C14" s="2" t="s">
        <v>19</v>
      </c>
      <c r="D14" s="2" t="s">
        <v>46</v>
      </c>
      <c r="E14" s="2" t="s">
        <v>21</v>
      </c>
      <c r="F14" s="3">
        <v>44635</v>
      </c>
      <c r="G14" s="3">
        <v>45274</v>
      </c>
      <c r="H14" s="4">
        <v>0</v>
      </c>
      <c r="I14" s="4">
        <v>1.59</v>
      </c>
      <c r="J14" s="4">
        <v>1.34</v>
      </c>
      <c r="K14" s="6">
        <f>1553229.5+(300000*Table1[[#This Row],[(i) Total Cable Miles Installed - 5]])+(241192.23*Table1[[#This Row],[(i) Total Cable Miles Installed - 5]])+(37060.25*Table1[[#This Row],[(i) Total Cable Miles Installed - 5]])</f>
        <v>2472650.9432000001</v>
      </c>
      <c r="L14" s="2" t="s">
        <v>22</v>
      </c>
      <c r="M14" s="2" t="s">
        <v>19</v>
      </c>
      <c r="N14" s="2" t="s">
        <v>23</v>
      </c>
      <c r="O14" s="2" t="s">
        <v>19</v>
      </c>
      <c r="P14" s="2" t="s">
        <v>19</v>
      </c>
      <c r="Q14" s="2" t="s">
        <v>19</v>
      </c>
    </row>
    <row r="15" spans="1:17" x14ac:dyDescent="0.25">
      <c r="A15" t="s">
        <v>47</v>
      </c>
      <c r="B15" t="s">
        <v>34</v>
      </c>
      <c r="C15" s="2" t="s">
        <v>19</v>
      </c>
      <c r="D15" s="2" t="s">
        <v>48</v>
      </c>
      <c r="E15" s="2" t="s">
        <v>21</v>
      </c>
      <c r="F15" s="3">
        <v>44635</v>
      </c>
      <c r="G15" s="3">
        <v>45282</v>
      </c>
      <c r="H15" s="4">
        <v>0</v>
      </c>
      <c r="I15" s="4">
        <v>0.75</v>
      </c>
      <c r="J15" s="4">
        <v>1.26</v>
      </c>
      <c r="K15" s="6">
        <f>1284256.46+(300000*Table1[[#This Row],[(i) Total Cable Miles Installed - 5]])+(241192.23*Table1[[#This Row],[(i) Total Cable Miles Installed - 5]])+(37060.25*Table1[[#This Row],[(i) Total Cable Miles Installed - 5]])</f>
        <v>1717945.82</v>
      </c>
      <c r="L15" s="2" t="s">
        <v>22</v>
      </c>
      <c r="M15" s="2" t="s">
        <v>19</v>
      </c>
      <c r="N15" s="2" t="s">
        <v>23</v>
      </c>
      <c r="O15" s="2" t="s">
        <v>19</v>
      </c>
      <c r="P15" s="2" t="s">
        <v>19</v>
      </c>
      <c r="Q15" s="2" t="s">
        <v>19</v>
      </c>
    </row>
    <row r="16" spans="1:17" x14ac:dyDescent="0.25">
      <c r="A16" t="s">
        <v>49</v>
      </c>
      <c r="B16" t="s">
        <v>34</v>
      </c>
      <c r="C16" s="2" t="s">
        <v>19</v>
      </c>
      <c r="D16" s="2" t="s">
        <v>50</v>
      </c>
      <c r="E16" s="2" t="s">
        <v>21</v>
      </c>
      <c r="F16" s="3">
        <v>44635</v>
      </c>
      <c r="G16" s="3">
        <v>45282</v>
      </c>
      <c r="H16" s="4">
        <v>0</v>
      </c>
      <c r="I16" s="4">
        <v>1.04</v>
      </c>
      <c r="J16" s="4">
        <v>1</v>
      </c>
      <c r="K16" s="6">
        <f>1258865.61+(300000*Table1[[#This Row],[(i) Total Cable Miles Installed - 5]])+(241192.23*Table1[[#This Row],[(i) Total Cable Miles Installed - 5]])+(37060.25*Table1[[#This Row],[(i) Total Cable Miles Installed - 5]])</f>
        <v>1860248.1892000001</v>
      </c>
      <c r="L16" s="2" t="s">
        <v>22</v>
      </c>
      <c r="M16" s="2" t="s">
        <v>19</v>
      </c>
      <c r="N16" s="2" t="s">
        <v>23</v>
      </c>
      <c r="O16" s="2" t="s">
        <v>19</v>
      </c>
      <c r="P16" s="2" t="s">
        <v>19</v>
      </c>
      <c r="Q16" s="2" t="s">
        <v>19</v>
      </c>
    </row>
    <row r="17" spans="1:17" x14ac:dyDescent="0.25">
      <c r="A17" t="s">
        <v>51</v>
      </c>
      <c r="B17" t="s">
        <v>34</v>
      </c>
      <c r="C17" s="2" t="s">
        <v>19</v>
      </c>
      <c r="D17" s="2" t="s">
        <v>52</v>
      </c>
      <c r="E17" s="2" t="s">
        <v>21</v>
      </c>
      <c r="F17" s="3">
        <v>44635</v>
      </c>
      <c r="G17" s="3">
        <v>45278</v>
      </c>
      <c r="H17" s="4">
        <v>0</v>
      </c>
      <c r="I17" s="4">
        <v>3.05</v>
      </c>
      <c r="J17" s="4">
        <v>2.68</v>
      </c>
      <c r="K17" s="6">
        <f>2560499.35+(300000*Table1[[#This Row],[(i) Total Cable Miles Installed - 5]])+(241192.23*Table1[[#This Row],[(i) Total Cable Miles Installed - 5]])+(37060.25*Table1[[#This Row],[(i) Total Cable Miles Installed - 5]])</f>
        <v>4324169.4139999999</v>
      </c>
      <c r="L17" s="2" t="s">
        <v>22</v>
      </c>
      <c r="M17" s="2" t="s">
        <v>19</v>
      </c>
      <c r="N17" s="2" t="s">
        <v>23</v>
      </c>
      <c r="O17" s="2" t="s">
        <v>19</v>
      </c>
      <c r="P17" s="2" t="s">
        <v>19</v>
      </c>
      <c r="Q17" s="2" t="s">
        <v>19</v>
      </c>
    </row>
    <row r="18" spans="1:17" x14ac:dyDescent="0.25">
      <c r="A18" t="s">
        <v>53</v>
      </c>
      <c r="B18" t="s">
        <v>34</v>
      </c>
      <c r="C18" s="2" t="s">
        <v>19</v>
      </c>
      <c r="D18" s="2" t="s">
        <v>52</v>
      </c>
      <c r="E18" s="2" t="s">
        <v>21</v>
      </c>
      <c r="F18" s="3">
        <v>44635</v>
      </c>
      <c r="G18" s="3">
        <v>45211</v>
      </c>
      <c r="H18" s="4">
        <v>0.97650000000000003</v>
      </c>
      <c r="I18" s="4">
        <v>2.87</v>
      </c>
      <c r="J18" s="4">
        <v>1.8</v>
      </c>
      <c r="K18" s="6">
        <f>2729159.54+(300000*Table1[[#This Row],[(i) Total Cable Miles Installed - 5]])+(241192.23*Table1[[#This Row],[(i) Total Cable Miles Installed - 5]])+(37060.25*Table1[[#This Row],[(i) Total Cable Miles Installed - 5]])</f>
        <v>4388744.1576000005</v>
      </c>
      <c r="L18" s="2" t="s">
        <v>22</v>
      </c>
      <c r="M18" s="2" t="s">
        <v>19</v>
      </c>
      <c r="N18" s="2" t="s">
        <v>23</v>
      </c>
      <c r="O18" s="2" t="s">
        <v>19</v>
      </c>
      <c r="P18" s="2" t="s">
        <v>19</v>
      </c>
      <c r="Q18" s="2" t="s">
        <v>19</v>
      </c>
    </row>
    <row r="19" spans="1:17" x14ac:dyDescent="0.25">
      <c r="A19" t="s">
        <v>54</v>
      </c>
      <c r="B19" t="s">
        <v>34</v>
      </c>
      <c r="C19" s="2" t="s">
        <v>19</v>
      </c>
      <c r="D19" s="2" t="s">
        <v>52</v>
      </c>
      <c r="E19" s="2" t="s">
        <v>21</v>
      </c>
      <c r="F19" s="3">
        <v>44635</v>
      </c>
      <c r="G19" s="3">
        <v>45287</v>
      </c>
      <c r="H19" s="4">
        <v>0</v>
      </c>
      <c r="I19" s="4">
        <v>1.1399999999999999</v>
      </c>
      <c r="J19" s="4">
        <v>1.05</v>
      </c>
      <c r="K19" s="6">
        <f>1214801.18+(300000*Table1[[#This Row],[(i) Total Cable Miles Installed - 5]])+(241192.23*Table1[[#This Row],[(i) Total Cable Miles Installed - 5]])+(37060.25*Table1[[#This Row],[(i) Total Cable Miles Installed - 5]])</f>
        <v>1874009.0071999999</v>
      </c>
      <c r="L19" s="2" t="s">
        <v>22</v>
      </c>
      <c r="M19" s="2" t="s">
        <v>19</v>
      </c>
      <c r="N19" s="2" t="s">
        <v>23</v>
      </c>
      <c r="O19" s="2" t="s">
        <v>19</v>
      </c>
      <c r="P19" s="2" t="s">
        <v>19</v>
      </c>
      <c r="Q19" s="2" t="s">
        <v>19</v>
      </c>
    </row>
    <row r="20" spans="1:17" x14ac:dyDescent="0.25">
      <c r="A20" t="s">
        <v>55</v>
      </c>
      <c r="B20" t="s">
        <v>56</v>
      </c>
      <c r="C20" s="2" t="s">
        <v>19</v>
      </c>
      <c r="D20" s="2" t="s">
        <v>57</v>
      </c>
      <c r="E20" s="2" t="s">
        <v>21</v>
      </c>
      <c r="F20" s="3">
        <v>44351</v>
      </c>
      <c r="G20" s="3">
        <v>45281</v>
      </c>
      <c r="H20" s="4">
        <v>0</v>
      </c>
      <c r="I20" s="4">
        <v>2.3199999999999998</v>
      </c>
      <c r="J20" s="4">
        <v>1.58</v>
      </c>
      <c r="K20" s="6">
        <f>5865391.53+(300000*Table1[[#This Row],[(i) Total Cable Miles Installed - 5]])+(241192.23*Table1[[#This Row],[(i) Total Cable Miles Installed - 5]])+(37060.25*Table1[[#This Row],[(i) Total Cable Miles Installed - 5]])</f>
        <v>7206937.2836000007</v>
      </c>
      <c r="L20" s="2" t="s">
        <v>22</v>
      </c>
      <c r="M20" s="2" t="s">
        <v>19</v>
      </c>
      <c r="N20" s="2" t="s">
        <v>23</v>
      </c>
      <c r="O20" s="2" t="s">
        <v>19</v>
      </c>
      <c r="P20" s="2" t="s">
        <v>23</v>
      </c>
      <c r="Q20" s="2" t="s">
        <v>19</v>
      </c>
    </row>
    <row r="21" spans="1:17" x14ac:dyDescent="0.25">
      <c r="A21" t="s">
        <v>58</v>
      </c>
      <c r="B21" t="s">
        <v>59</v>
      </c>
      <c r="C21" s="2" t="s">
        <v>19</v>
      </c>
      <c r="D21" s="2" t="s">
        <v>60</v>
      </c>
      <c r="E21" s="2" t="s">
        <v>21</v>
      </c>
      <c r="F21" s="3">
        <v>43908</v>
      </c>
      <c r="G21" s="3">
        <v>45121</v>
      </c>
      <c r="H21" s="4" t="s">
        <v>22</v>
      </c>
      <c r="I21" s="4">
        <v>0.2</v>
      </c>
      <c r="J21" s="4">
        <v>0.08</v>
      </c>
      <c r="K21" s="6">
        <f>577203.36+(300000*Table1[[#This Row],[(i) Total Cable Miles Installed - 5]])+(241192.23*Table1[[#This Row],[(i) Total Cable Miles Installed - 5]])+(37060.25*Table1[[#This Row],[(i) Total Cable Miles Installed - 5]])</f>
        <v>692853.85600000003</v>
      </c>
      <c r="L21" s="2" t="s">
        <v>22</v>
      </c>
      <c r="M21" s="2" t="s">
        <v>19</v>
      </c>
      <c r="N21" s="2" t="s">
        <v>23</v>
      </c>
      <c r="O21" s="2" t="s">
        <v>19</v>
      </c>
      <c r="P21" s="2" t="s">
        <v>19</v>
      </c>
      <c r="Q21" s="2" t="s">
        <v>19</v>
      </c>
    </row>
    <row r="22" spans="1:17" x14ac:dyDescent="0.25">
      <c r="A22" t="s">
        <v>61</v>
      </c>
      <c r="B22" t="s">
        <v>62</v>
      </c>
      <c r="C22" s="2" t="s">
        <v>19</v>
      </c>
      <c r="D22" s="2" t="s">
        <v>63</v>
      </c>
      <c r="E22" s="2" t="s">
        <v>21</v>
      </c>
      <c r="F22" s="3">
        <v>44635</v>
      </c>
      <c r="G22" s="3">
        <v>45281</v>
      </c>
      <c r="H22" s="4">
        <v>0</v>
      </c>
      <c r="I22" s="4">
        <v>1.52</v>
      </c>
      <c r="J22" s="4">
        <v>1.77</v>
      </c>
      <c r="K22" s="6">
        <f>1341585.37+(300000*Table1[[#This Row],[(i) Total Cable Miles Installed - 5]])+(241192.23*Table1[[#This Row],[(i) Total Cable Miles Installed - 5]])+(37060.25*Table1[[#This Row],[(i) Total Cable Miles Installed - 5]])</f>
        <v>2220529.1396000003</v>
      </c>
      <c r="L22" s="2" t="s">
        <v>22</v>
      </c>
      <c r="M22" s="2" t="s">
        <v>19</v>
      </c>
      <c r="N22" s="2" t="s">
        <v>23</v>
      </c>
      <c r="O22" s="2" t="s">
        <v>19</v>
      </c>
      <c r="P22" s="2" t="s">
        <v>19</v>
      </c>
      <c r="Q22" s="2" t="s">
        <v>19</v>
      </c>
    </row>
    <row r="23" spans="1:17" x14ac:dyDescent="0.25">
      <c r="A23" t="s">
        <v>64</v>
      </c>
      <c r="B23" t="s">
        <v>62</v>
      </c>
      <c r="C23" s="2" t="s">
        <v>19</v>
      </c>
      <c r="D23" s="2" t="s">
        <v>65</v>
      </c>
      <c r="E23" s="2" t="s">
        <v>21</v>
      </c>
      <c r="F23" s="3">
        <v>44635</v>
      </c>
      <c r="G23" s="3">
        <v>45239</v>
      </c>
      <c r="H23" s="4">
        <v>0</v>
      </c>
      <c r="I23" s="4">
        <v>2.63</v>
      </c>
      <c r="J23" s="4">
        <v>2.61</v>
      </c>
      <c r="K23" s="6">
        <f>1592809.19+(300000*Table1[[#This Row],[(i) Total Cable Miles Installed - 5]])+(241192.23*Table1[[#This Row],[(i) Total Cable Miles Installed - 5]])+(37060.25*Table1[[#This Row],[(i) Total Cable Miles Installed - 5]])</f>
        <v>3113613.2124000001</v>
      </c>
      <c r="L23" s="2" t="s">
        <v>22</v>
      </c>
      <c r="M23" s="2" t="s">
        <v>19</v>
      </c>
      <c r="N23" s="2" t="s">
        <v>23</v>
      </c>
      <c r="O23" s="2" t="s">
        <v>19</v>
      </c>
      <c r="P23" s="2" t="s">
        <v>19</v>
      </c>
      <c r="Q23" s="2" t="s">
        <v>19</v>
      </c>
    </row>
    <row r="24" spans="1:17" x14ac:dyDescent="0.25">
      <c r="A24" t="s">
        <v>66</v>
      </c>
      <c r="B24" t="s">
        <v>62</v>
      </c>
      <c r="C24" s="2" t="s">
        <v>19</v>
      </c>
      <c r="D24" s="2" t="s">
        <v>65</v>
      </c>
      <c r="E24" s="2" t="s">
        <v>21</v>
      </c>
      <c r="F24" s="3">
        <v>44635</v>
      </c>
      <c r="G24" s="3">
        <v>45260</v>
      </c>
      <c r="H24" s="4">
        <v>0</v>
      </c>
      <c r="I24" s="4">
        <v>2.0700000000000003</v>
      </c>
      <c r="J24" s="4">
        <v>1.86</v>
      </c>
      <c r="K24" s="6">
        <f>1834860.21+(300000*Table1[[#This Row],[(i) Total Cable Miles Installed - 5]])+(241192.23*Table1[[#This Row],[(i) Total Cable Miles Installed - 5]])+(37060.25*Table1[[#This Row],[(i) Total Cable Miles Installed - 5]])</f>
        <v>3031842.8435999998</v>
      </c>
      <c r="L24" s="2" t="s">
        <v>22</v>
      </c>
      <c r="M24" s="2" t="s">
        <v>19</v>
      </c>
      <c r="N24" s="2" t="s">
        <v>23</v>
      </c>
      <c r="O24" s="2" t="s">
        <v>19</v>
      </c>
      <c r="P24" s="2" t="s">
        <v>19</v>
      </c>
      <c r="Q24" s="2" t="s">
        <v>19</v>
      </c>
    </row>
    <row r="25" spans="1:17" x14ac:dyDescent="0.25">
      <c r="A25" t="s">
        <v>67</v>
      </c>
      <c r="B25" t="s">
        <v>62</v>
      </c>
      <c r="C25" s="2" t="s">
        <v>19</v>
      </c>
      <c r="D25" s="2" t="s">
        <v>68</v>
      </c>
      <c r="E25" s="2" t="s">
        <v>21</v>
      </c>
      <c r="F25" s="3">
        <v>44635</v>
      </c>
      <c r="G25" s="3">
        <v>45411</v>
      </c>
      <c r="H25" s="4">
        <v>0</v>
      </c>
      <c r="I25" s="4">
        <v>1.38</v>
      </c>
      <c r="J25" s="4">
        <v>6.07</v>
      </c>
      <c r="K25" s="6">
        <f>3088526.62+(300000*Table1[[#This Row],[(i) Total Cable Miles Installed - 5]])+(241192.23*Table1[[#This Row],[(i) Total Cable Miles Installed - 5]])+(37060.25*Table1[[#This Row],[(i) Total Cable Miles Installed - 5]])</f>
        <v>3886515.0424000002</v>
      </c>
      <c r="L25" s="2" t="s">
        <v>22</v>
      </c>
      <c r="M25" s="2" t="s">
        <v>19</v>
      </c>
      <c r="N25" s="2" t="s">
        <v>23</v>
      </c>
      <c r="O25" s="2" t="s">
        <v>19</v>
      </c>
      <c r="P25" s="2" t="s">
        <v>19</v>
      </c>
      <c r="Q25" s="2" t="s">
        <v>19</v>
      </c>
    </row>
    <row r="26" spans="1:17" x14ac:dyDescent="0.25">
      <c r="A26" t="s">
        <v>69</v>
      </c>
      <c r="B26" t="s">
        <v>62</v>
      </c>
      <c r="C26" s="2" t="s">
        <v>19</v>
      </c>
      <c r="D26" s="2" t="s">
        <v>70</v>
      </c>
      <c r="E26" s="2" t="s">
        <v>21</v>
      </c>
      <c r="F26" s="3">
        <v>44635</v>
      </c>
      <c r="G26" s="3">
        <v>45279</v>
      </c>
      <c r="H26" s="4">
        <v>0</v>
      </c>
      <c r="I26" s="4">
        <v>0.96749999999999992</v>
      </c>
      <c r="J26" s="4">
        <v>1.33</v>
      </c>
      <c r="K26" s="6">
        <f>1688517.73+(300000*Table1[[#This Row],[(i) Total Cable Miles Installed - 5]])+(241192.23*Table1[[#This Row],[(i) Total Cable Miles Installed - 5]])+(37060.25*Table1[[#This Row],[(i) Total Cable Miles Installed - 5]])</f>
        <v>2247977.0044</v>
      </c>
      <c r="L26" s="2" t="s">
        <v>22</v>
      </c>
      <c r="M26" s="2" t="s">
        <v>19</v>
      </c>
      <c r="N26" s="2" t="s">
        <v>23</v>
      </c>
      <c r="O26" s="2" t="s">
        <v>19</v>
      </c>
      <c r="P26" s="2" t="s">
        <v>19</v>
      </c>
      <c r="Q26" s="2" t="s">
        <v>19</v>
      </c>
    </row>
    <row r="27" spans="1:17" x14ac:dyDescent="0.25">
      <c r="A27" t="s">
        <v>71</v>
      </c>
      <c r="B27" t="s">
        <v>72</v>
      </c>
      <c r="C27" s="2" t="s">
        <v>19</v>
      </c>
      <c r="D27" s="2" t="s">
        <v>73</v>
      </c>
      <c r="E27" s="2" t="s">
        <v>21</v>
      </c>
      <c r="F27" s="3">
        <v>44635</v>
      </c>
      <c r="G27" s="3">
        <v>45247</v>
      </c>
      <c r="H27" s="4">
        <v>0</v>
      </c>
      <c r="I27" s="4">
        <v>2.66</v>
      </c>
      <c r="J27" s="4">
        <v>1.92</v>
      </c>
      <c r="K27" s="6">
        <f>2537945.41+(300000*Table1[[#This Row],[(i) Total Cable Miles Installed - 5]])+(241192.23*Table1[[#This Row],[(i) Total Cable Miles Installed - 5]])+(37060.25*Table1[[#This Row],[(i) Total Cable Miles Installed - 5]])</f>
        <v>4076097.0068000001</v>
      </c>
      <c r="L27" s="2" t="s">
        <v>22</v>
      </c>
      <c r="M27" s="2" t="s">
        <v>19</v>
      </c>
      <c r="N27" s="2" t="s">
        <v>23</v>
      </c>
      <c r="O27" s="2" t="s">
        <v>19</v>
      </c>
      <c r="P27" s="2" t="s">
        <v>19</v>
      </c>
      <c r="Q27" s="2" t="s">
        <v>19</v>
      </c>
    </row>
    <row r="28" spans="1:17" x14ac:dyDescent="0.25">
      <c r="A28" t="s">
        <v>74</v>
      </c>
      <c r="B28" t="s">
        <v>75</v>
      </c>
      <c r="C28" s="2" t="s">
        <v>19</v>
      </c>
      <c r="D28" s="2" t="s">
        <v>76</v>
      </c>
      <c r="E28" s="2" t="s">
        <v>21</v>
      </c>
      <c r="F28" s="3">
        <v>44348</v>
      </c>
      <c r="G28" s="3">
        <v>44972</v>
      </c>
      <c r="H28" s="4">
        <v>0.71970000000000001</v>
      </c>
      <c r="I28" s="4">
        <v>0.01</v>
      </c>
      <c r="J28" s="4" t="s">
        <v>22</v>
      </c>
      <c r="K28" s="6" t="s">
        <v>22</v>
      </c>
      <c r="L28" s="2" t="s">
        <v>22</v>
      </c>
      <c r="M28" s="2" t="s">
        <v>19</v>
      </c>
      <c r="N28" s="2" t="s">
        <v>23</v>
      </c>
      <c r="O28" s="2" t="s">
        <v>19</v>
      </c>
      <c r="P28" s="2" t="s">
        <v>19</v>
      </c>
      <c r="Q28" s="2" t="s">
        <v>19</v>
      </c>
    </row>
    <row r="29" spans="1:17" x14ac:dyDescent="0.25">
      <c r="A29" t="s">
        <v>77</v>
      </c>
      <c r="B29" t="s">
        <v>78</v>
      </c>
      <c r="C29" s="2" t="s">
        <v>19</v>
      </c>
      <c r="D29" s="2" t="s">
        <v>79</v>
      </c>
      <c r="E29" s="2" t="s">
        <v>21</v>
      </c>
      <c r="F29" s="3">
        <v>44350</v>
      </c>
      <c r="G29" s="3">
        <v>44968</v>
      </c>
      <c r="H29" s="4">
        <v>0</v>
      </c>
      <c r="I29" s="4">
        <v>1.72</v>
      </c>
      <c r="J29" s="4" t="s">
        <v>22</v>
      </c>
      <c r="K29" s="6" t="s">
        <v>22</v>
      </c>
      <c r="L29" s="2" t="s">
        <v>22</v>
      </c>
      <c r="M29" s="2" t="s">
        <v>19</v>
      </c>
      <c r="N29" s="2" t="s">
        <v>23</v>
      </c>
      <c r="O29" s="2" t="s">
        <v>19</v>
      </c>
      <c r="P29" s="2" t="s">
        <v>19</v>
      </c>
      <c r="Q29" s="2" t="s">
        <v>19</v>
      </c>
    </row>
    <row r="30" spans="1:17" x14ac:dyDescent="0.25">
      <c r="A30" t="s">
        <v>80</v>
      </c>
      <c r="B30" t="s">
        <v>78</v>
      </c>
      <c r="C30" s="2" t="s">
        <v>19</v>
      </c>
      <c r="D30" s="2" t="s">
        <v>79</v>
      </c>
      <c r="E30" s="2" t="s">
        <v>21</v>
      </c>
      <c r="F30" s="3">
        <v>44350</v>
      </c>
      <c r="G30" s="3">
        <v>44987</v>
      </c>
      <c r="H30" s="4">
        <v>2.5226999999999999</v>
      </c>
      <c r="I30" s="4">
        <v>1.23</v>
      </c>
      <c r="J30" s="4" t="s">
        <v>22</v>
      </c>
      <c r="K30" s="6" t="s">
        <v>22</v>
      </c>
      <c r="L30" s="2" t="s">
        <v>22</v>
      </c>
      <c r="M30" s="2" t="s">
        <v>19</v>
      </c>
      <c r="N30" s="2" t="s">
        <v>23</v>
      </c>
      <c r="O30" s="2" t="s">
        <v>19</v>
      </c>
      <c r="P30" s="2" t="s">
        <v>23</v>
      </c>
      <c r="Q30" s="2" t="s">
        <v>19</v>
      </c>
    </row>
    <row r="31" spans="1:17" x14ac:dyDescent="0.25">
      <c r="A31" t="s">
        <v>81</v>
      </c>
      <c r="B31" t="s">
        <v>78</v>
      </c>
      <c r="C31" s="2" t="s">
        <v>19</v>
      </c>
      <c r="D31" s="2" t="s">
        <v>82</v>
      </c>
      <c r="E31" s="2" t="s">
        <v>21</v>
      </c>
      <c r="F31" s="3">
        <v>44636</v>
      </c>
      <c r="G31" s="3">
        <v>45247</v>
      </c>
      <c r="H31" s="4">
        <v>0</v>
      </c>
      <c r="I31" s="4">
        <v>6.08</v>
      </c>
      <c r="J31" s="4">
        <v>3.48</v>
      </c>
      <c r="K31" s="6">
        <f>7728739.49+(300000*Table1[[#This Row],[(i) Total Cable Miles Installed - 5]])+(241192.23*Table1[[#This Row],[(i) Total Cable Miles Installed - 5]])+(37060.25*Table1[[#This Row],[(i) Total Cable Miles Installed - 5]])</f>
        <v>11244514.568400001</v>
      </c>
      <c r="L31" s="2" t="s">
        <v>22</v>
      </c>
      <c r="M31" s="2" t="s">
        <v>19</v>
      </c>
      <c r="N31" s="2" t="s">
        <v>23</v>
      </c>
      <c r="O31" s="2" t="s">
        <v>19</v>
      </c>
      <c r="P31" s="2" t="s">
        <v>23</v>
      </c>
      <c r="Q31" s="2" t="s">
        <v>19</v>
      </c>
    </row>
    <row r="32" spans="1:17" x14ac:dyDescent="0.25">
      <c r="A32" t="s">
        <v>83</v>
      </c>
      <c r="B32" t="s">
        <v>84</v>
      </c>
      <c r="C32" s="2" t="s">
        <v>19</v>
      </c>
      <c r="D32" s="2" t="s">
        <v>85</v>
      </c>
      <c r="E32" s="2" t="s">
        <v>21</v>
      </c>
      <c r="F32" s="3">
        <v>44489</v>
      </c>
      <c r="G32" s="3">
        <v>45174</v>
      </c>
      <c r="H32" s="4">
        <v>2.9365999999999999</v>
      </c>
      <c r="I32" s="4">
        <v>8.44</v>
      </c>
      <c r="J32" s="4">
        <v>5.2</v>
      </c>
      <c r="K32" s="6">
        <f>7240946.14+(300000*Table1[[#This Row],[(i) Total Cable Miles Installed - 5]])+(241192.23*Table1[[#This Row],[(i) Total Cable Miles Installed - 5]])+(37060.25*Table1[[#This Row],[(i) Total Cable Miles Installed - 5]])</f>
        <v>12121397.0712</v>
      </c>
      <c r="L32" s="2" t="s">
        <v>22</v>
      </c>
      <c r="M32" s="2" t="s">
        <v>19</v>
      </c>
      <c r="N32" s="2" t="s">
        <v>23</v>
      </c>
      <c r="O32" s="2" t="s">
        <v>19</v>
      </c>
      <c r="P32" s="2" t="s">
        <v>19</v>
      </c>
      <c r="Q32" s="2" t="s">
        <v>19</v>
      </c>
    </row>
    <row r="33" spans="1:17" x14ac:dyDescent="0.25">
      <c r="A33" t="s">
        <v>86</v>
      </c>
      <c r="B33" t="s">
        <v>84</v>
      </c>
      <c r="C33" s="2" t="s">
        <v>19</v>
      </c>
      <c r="D33" s="2" t="s">
        <v>85</v>
      </c>
      <c r="E33" s="2" t="s">
        <v>21</v>
      </c>
      <c r="F33" s="3">
        <v>44489</v>
      </c>
      <c r="G33" s="3">
        <v>45174</v>
      </c>
      <c r="H33" s="4">
        <v>4.9654999999999996</v>
      </c>
      <c r="I33" s="4">
        <v>6.13</v>
      </c>
      <c r="J33" s="4">
        <v>3.99</v>
      </c>
      <c r="K33" s="6">
        <f>5749033.06+(300000*Table1[[#This Row],[(i) Total Cable Miles Installed - 5]])+(241192.23*Table1[[#This Row],[(i) Total Cable Miles Installed - 5]])+(37060.25*Table1[[#This Row],[(i) Total Cable Miles Installed - 5]])</f>
        <v>9293720.7623999994</v>
      </c>
      <c r="L33" s="2" t="s">
        <v>22</v>
      </c>
      <c r="M33" s="2" t="s">
        <v>19</v>
      </c>
      <c r="N33" s="2" t="s">
        <v>23</v>
      </c>
      <c r="O33" s="2" t="s">
        <v>19</v>
      </c>
      <c r="P33" s="2" t="s">
        <v>19</v>
      </c>
      <c r="Q33" s="2" t="s">
        <v>19</v>
      </c>
    </row>
    <row r="34" spans="1:17" x14ac:dyDescent="0.25">
      <c r="A34" t="s">
        <v>87</v>
      </c>
      <c r="B34" t="s">
        <v>88</v>
      </c>
      <c r="C34" s="2" t="s">
        <v>19</v>
      </c>
      <c r="D34" s="2" t="s">
        <v>89</v>
      </c>
      <c r="E34" s="2" t="s">
        <v>21</v>
      </c>
      <c r="F34" s="3">
        <v>44489</v>
      </c>
      <c r="G34" s="3">
        <v>44953</v>
      </c>
      <c r="H34" s="4">
        <v>0.35439999999999999</v>
      </c>
      <c r="I34" s="4">
        <v>0.39</v>
      </c>
      <c r="J34" s="4" t="s">
        <v>22</v>
      </c>
      <c r="K34" s="6" t="s">
        <v>22</v>
      </c>
      <c r="L34" s="2" t="s">
        <v>22</v>
      </c>
      <c r="M34" s="2" t="s">
        <v>19</v>
      </c>
      <c r="N34" s="2" t="s">
        <v>23</v>
      </c>
      <c r="O34" s="2" t="s">
        <v>19</v>
      </c>
      <c r="P34" s="2" t="s">
        <v>19</v>
      </c>
      <c r="Q34" s="2" t="s">
        <v>19</v>
      </c>
    </row>
    <row r="36" spans="1:17" x14ac:dyDescent="0.25">
      <c r="C36" s="5" t="s">
        <v>90</v>
      </c>
    </row>
    <row r="37" spans="1:17" x14ac:dyDescent="0.25">
      <c r="C37" s="5" t="s">
        <v>91</v>
      </c>
    </row>
    <row r="38" spans="1:17" x14ac:dyDescent="0.25">
      <c r="C38" s="5" t="s">
        <v>92</v>
      </c>
    </row>
    <row r="39" spans="1:17" x14ac:dyDescent="0.25">
      <c r="C39" s="5" t="s">
        <v>93</v>
      </c>
    </row>
    <row r="40" spans="1:17" x14ac:dyDescent="0.25">
      <c r="C40" s="5" t="s">
        <v>94</v>
      </c>
    </row>
    <row r="41" spans="1:17" x14ac:dyDescent="0.25">
      <c r="C41" s="5" t="s">
        <v>95</v>
      </c>
    </row>
    <row r="42" spans="1:17" x14ac:dyDescent="0.25">
      <c r="C42" s="5" t="s">
        <v>96</v>
      </c>
    </row>
    <row r="43" spans="1:17" x14ac:dyDescent="0.25">
      <c r="C43" s="5" t="s">
        <v>97</v>
      </c>
    </row>
    <row r="44" spans="1:17" x14ac:dyDescent="0.25">
      <c r="C44" s="5" t="s">
        <v>98</v>
      </c>
    </row>
    <row r="45" spans="1:17" x14ac:dyDescent="0.25">
      <c r="C45" s="5" t="s">
        <v>99</v>
      </c>
    </row>
    <row r="48" spans="1:17" x14ac:dyDescent="0.25">
      <c r="C48" s="5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C5B34FB2B05C498322EC0E0E7F8BBD" ma:contentTypeVersion="21" ma:contentTypeDescription="Create a new document." ma:contentTypeScope="" ma:versionID="c243bf6f29386086e21656a0b091e581">
  <xsd:schema xmlns:xsd="http://www.w3.org/2001/XMLSchema" xmlns:xs="http://www.w3.org/2001/XMLSchema" xmlns:p="http://schemas.microsoft.com/office/2006/metadata/properties" xmlns:ns2="2104ad18-0c40-4759-978d-9031b6355d10" xmlns:ns3="80a17f64-e774-4a01-b2f5-de7df872f7b3" targetNamespace="http://schemas.microsoft.com/office/2006/metadata/properties" ma:root="true" ma:fieldsID="4bbf6d1ef2da01010e564fac80a0ca5f" ns2:_="" ns3:_="">
    <xsd:import namespace="2104ad18-0c40-4759-978d-9031b6355d10"/>
    <xsd:import namespace="80a17f64-e774-4a01-b2f5-de7df872f7b3"/>
    <xsd:element name="properties">
      <xsd:complexType>
        <xsd:sequence>
          <xsd:element name="documentManagement">
            <xsd:complexType>
              <xsd:all>
                <xsd:element ref="ns2:QuestionsinDR" minOccurs="0"/>
                <xsd:element ref="ns2:Commen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04ad18-0c40-4759-978d-9031b6355d10" elementFormDefault="qualified">
    <xsd:import namespace="http://schemas.microsoft.com/office/2006/documentManagement/types"/>
    <xsd:import namespace="http://schemas.microsoft.com/office/infopath/2007/PartnerControls"/>
    <xsd:element name="QuestionsinDR" ma:index="3" nillable="true" ma:displayName="# Questions in DR" ma:description="The number of questions per data request" ma:format="Dropdown" ma:internalName="QuestionsinDR" ma:readOnly="false">
      <xsd:simpleType>
        <xsd:restriction base="dms:Text">
          <xsd:maxLength value="255"/>
        </xsd:restriction>
      </xsd:simpleType>
    </xsd:element>
    <xsd:element name="Comment" ma:index="4" nillable="true" ma:displayName="Comment" ma:format="Dropdown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17f64-e774-4a01-b2f5-de7df872f7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5b4ddc04-4c88-44c7-b3d4-e8d4a0fe3abf}" ma:internalName="TaxCatchAll" ma:readOnly="false" ma:showField="CatchAllData" ma:web="80a17f64-e774-4a01-b2f5-de7df872f7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uestionsinDR xmlns="2104ad18-0c40-4759-978d-9031b6355d10" xsi:nil="true"/>
    <Comment xmlns="2104ad18-0c40-4759-978d-9031b6355d10" xsi:nil="true"/>
    <lcf76f155ced4ddcb4097134ff3c332f xmlns="2104ad18-0c40-4759-978d-9031b6355d10">
      <Terms xmlns="http://schemas.microsoft.com/office/infopath/2007/PartnerControls"/>
    </lcf76f155ced4ddcb4097134ff3c332f>
    <TaxCatchAll xmlns="80a17f64-e774-4a01-b2f5-de7df872f7b3" xsi:nil="true"/>
  </documentManagement>
</p:properties>
</file>

<file path=customXml/itemProps1.xml><?xml version="1.0" encoding="utf-8"?>
<ds:datastoreItem xmlns:ds="http://schemas.openxmlformats.org/officeDocument/2006/customXml" ds:itemID="{06DEAB47-E029-4F94-943F-CA3947412942}"/>
</file>

<file path=customXml/itemProps2.xml><?xml version="1.0" encoding="utf-8"?>
<ds:datastoreItem xmlns:ds="http://schemas.openxmlformats.org/officeDocument/2006/customXml" ds:itemID="{DBDF880A-F4C2-4451-8C59-3EFA26C9F96A}"/>
</file>

<file path=customXml/itemProps3.xml><?xml version="1.0" encoding="utf-8"?>
<ds:datastoreItem xmlns:ds="http://schemas.openxmlformats.org/officeDocument/2006/customXml" ds:itemID="{BAE249A3-7F05-4BF0-9C20-354140CE08DD}"/>
</file>

<file path=docMetadata/LabelInfo.xml><?xml version="1.0" encoding="utf-8"?>
<clbl:labelList xmlns:clbl="http://schemas.microsoft.com/office/2020/mipLabelMetadata">
  <clbl:label id="{b9b7cde0-d580-4baa-b993-829072e57bff}" enabled="1" method="Standard" siteId="{07420c3d-c141-4c67-b6f3-f448e5adb67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2024-04-08T23:23:01Z</dcterms:created>
  <dcterms:modified xsi:type="dcterms:W3CDTF">2024-04-08T23:23:03Z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0x0101007BC5B34FB2B05C498322EC0E0E7F8BBD</vt:lpwstr>
  </property>
</Properties>
</file>