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drawings/drawing1.xml" ContentType="application/vnd.openxmlformats-officedocument.drawing+xml"/>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valdivi\OneDrive - Sempra Energy\User Folders\Desktop\COPIES OF WORK IN PROGRESS (AL, DATA REQUEST...)\"/>
    </mc:Choice>
  </mc:AlternateContent>
  <xr:revisionPtr revIDLastSave="0" documentId="8_{49945547-AC46-45AF-B32E-41091B0900CE}" xr6:coauthVersionLast="44" xr6:coauthVersionMax="44" xr10:uidLastSave="{00000000-0000-0000-0000-000000000000}"/>
  <bookViews>
    <workbookView xWindow="-120" yWindow="-120" windowWidth="29040" windowHeight="15840" tabRatio="873" firstSheet="1" activeTab="1" xr2:uid="{00000000-000D-0000-FFFF-FFFF00000000}"/>
  </bookViews>
  <sheets>
    <sheet name="Business Unit Reporting" sheetId="136" state="hidden" r:id="rId1"/>
    <sheet name="Program MW " sheetId="33" r:id="rId2"/>
    <sheet name="Ex ante LI &amp; Eligibility Stats" sheetId="34" r:id="rId3"/>
    <sheet name="Ex post LI &amp; Eligibility Stats" sheetId="35" r:id="rId4"/>
    <sheet name="TA-TI Distribution@" sheetId="36" state="hidden" r:id="rId5"/>
    <sheet name="Auto DR (TI) &amp; Tech Deployment" sheetId="131" r:id="rId6"/>
    <sheet name="Marketing" sheetId="134" r:id="rId7"/>
    <sheet name="DRP Expenditures" sheetId="117" r:id="rId8"/>
    <sheet name="Fund Shift Log" sheetId="29" r:id="rId9"/>
    <sheet name="Event Summary" sheetId="57" r:id="rId10"/>
    <sheet name="SDGE Costs - AMDRMA Balance" sheetId="119" r:id="rId11"/>
    <sheet name="SDGE Costs -GRC " sheetId="120" r:id="rId12"/>
    <sheet name="SDGE Costs -DPDRMA" sheetId="129" r:id="rId13"/>
  </sheets>
  <externalReferences>
    <externalReference r:id="rId14"/>
    <externalReference r:id="rId15"/>
  </externalReferences>
  <definedNames>
    <definedName name="_AMO_UniqueIdentifier" hidden="1">"'149b2d1a-72c1-44e5-bc61-8e647e92c66a'"</definedName>
    <definedName name="_DAT1" localSheetId="7">#REF!</definedName>
    <definedName name="_DAT1" localSheetId="6">#REF!</definedName>
    <definedName name="_DAT1" localSheetId="10">#REF!</definedName>
    <definedName name="_DAT1" localSheetId="12">#REF!</definedName>
    <definedName name="_DAT1">#REF!</definedName>
    <definedName name="_DAT10" localSheetId="7">#REF!</definedName>
    <definedName name="_DAT10" localSheetId="6">#REF!</definedName>
    <definedName name="_DAT10" localSheetId="12">#REF!</definedName>
    <definedName name="_DAT10">#REF!</definedName>
    <definedName name="_DAT11" localSheetId="7">#REF!</definedName>
    <definedName name="_DAT11" localSheetId="6">#REF!</definedName>
    <definedName name="_DAT11" localSheetId="12">#REF!</definedName>
    <definedName name="_DAT11">#REF!</definedName>
    <definedName name="_DAT12" localSheetId="7">#REF!</definedName>
    <definedName name="_DAT12" localSheetId="12">#REF!</definedName>
    <definedName name="_DAT12">#REF!</definedName>
    <definedName name="_DAT13" localSheetId="7">#REF!</definedName>
    <definedName name="_DAT13" localSheetId="12">#REF!</definedName>
    <definedName name="_DAT13">#REF!</definedName>
    <definedName name="_DAT14" localSheetId="7">#REF!</definedName>
    <definedName name="_DAT14" localSheetId="12">#REF!</definedName>
    <definedName name="_DAT14">#REF!</definedName>
    <definedName name="_DAT15" localSheetId="7">#REF!</definedName>
    <definedName name="_DAT15" localSheetId="12">#REF!</definedName>
    <definedName name="_DAT15">#REF!</definedName>
    <definedName name="_DAT16" localSheetId="7">#REF!</definedName>
    <definedName name="_DAT16" localSheetId="12">#REF!</definedName>
    <definedName name="_DAT16">#REF!</definedName>
    <definedName name="_DAT17" localSheetId="7">#REF!</definedName>
    <definedName name="_DAT17" localSheetId="12">#REF!</definedName>
    <definedName name="_DAT17">#REF!</definedName>
    <definedName name="_DAT2" localSheetId="7">#REF!</definedName>
    <definedName name="_DAT2" localSheetId="12">#REF!</definedName>
    <definedName name="_DAT2">#REF!</definedName>
    <definedName name="_DAT3" localSheetId="7">#REF!</definedName>
    <definedName name="_DAT3" localSheetId="12">#REF!</definedName>
    <definedName name="_DAT3">#REF!</definedName>
    <definedName name="_DAT4" localSheetId="7">#REF!</definedName>
    <definedName name="_DAT4" localSheetId="12">#REF!</definedName>
    <definedName name="_DAT4">#REF!</definedName>
    <definedName name="_DAT5" localSheetId="7">#REF!</definedName>
    <definedName name="_DAT5" localSheetId="12">#REF!</definedName>
    <definedName name="_DAT5">#REF!</definedName>
    <definedName name="_DAT6" localSheetId="7">#REF!</definedName>
    <definedName name="_DAT6" localSheetId="12">#REF!</definedName>
    <definedName name="_DAT6">#REF!</definedName>
    <definedName name="_DAT7" localSheetId="7">#REF!</definedName>
    <definedName name="_DAT7" localSheetId="12">#REF!</definedName>
    <definedName name="_DAT7">#REF!</definedName>
    <definedName name="_DAT8" localSheetId="7">#REF!</definedName>
    <definedName name="_DAT8" localSheetId="12">#REF!</definedName>
    <definedName name="_DAT8">#REF!</definedName>
    <definedName name="_DAT9" localSheetId="7">#REF!</definedName>
    <definedName name="_DAT9" localSheetId="12">#REF!</definedName>
    <definedName name="_DAT9">#REF!</definedName>
    <definedName name="_xlnm._FilterDatabase" localSheetId="9" hidden="1">'Event Summary'!$A$8:$G$20</definedName>
    <definedName name="Achieve_GRC" localSheetId="7">#REF!</definedName>
    <definedName name="Achieve_GRC" localSheetId="2">#REF!</definedName>
    <definedName name="Achieve_GRC" localSheetId="3">#REF!</definedName>
    <definedName name="Achieve_GRC" localSheetId="1">#REF!</definedName>
    <definedName name="Achieve_GRC" localSheetId="12">#REF!</definedName>
    <definedName name="Achieve_GRC" localSheetId="4">#REF!</definedName>
    <definedName name="Achieve_GRC">#REF!</definedName>
    <definedName name="Achieve_Service_Excellenc" localSheetId="7">#REF!</definedName>
    <definedName name="Achieve_Service_Excellenc" localSheetId="2">#REF!</definedName>
    <definedName name="Achieve_Service_Excellenc" localSheetId="3">#REF!</definedName>
    <definedName name="Achieve_Service_Excellenc" localSheetId="1">#REF!</definedName>
    <definedName name="Achieve_Service_Excellenc" localSheetId="12">#REF!</definedName>
    <definedName name="Achieve_Service_Excellenc" localSheetId="4">#REF!</definedName>
    <definedName name="Achieve_Service_Excellenc">#REF!</definedName>
    <definedName name="Achieve_Service_Excellence" localSheetId="7">#REF!</definedName>
    <definedName name="Achieve_Service_Excellence" localSheetId="2">#REF!</definedName>
    <definedName name="Achieve_Service_Excellence" localSheetId="3">#REF!</definedName>
    <definedName name="Achieve_Service_Excellence" localSheetId="1">#REF!</definedName>
    <definedName name="Achieve_Service_Excellence" localSheetId="12">#REF!</definedName>
    <definedName name="Achieve_Service_Excellence" localSheetId="4">#REF!</definedName>
    <definedName name="Achieve_Service_Excellence">#REF!</definedName>
    <definedName name="Collect_Revenue" localSheetId="7">#REF!</definedName>
    <definedName name="Collect_Revenue" localSheetId="2">#REF!</definedName>
    <definedName name="Collect_Revenue" localSheetId="3">#REF!</definedName>
    <definedName name="Collect_Revenue" localSheetId="1">#REF!</definedName>
    <definedName name="Collect_Revenue" localSheetId="12">#REF!</definedName>
    <definedName name="Collect_Revenue" localSheetId="4">#REF!</definedName>
    <definedName name="Collect_Revenue">#REF!</definedName>
    <definedName name="DATA1" localSheetId="7">#REF!</definedName>
    <definedName name="DATA1" localSheetId="12">#REF!</definedName>
    <definedName name="DATA1">#REF!</definedName>
    <definedName name="DATA10" localSheetId="7">#REF!</definedName>
    <definedName name="DATA10" localSheetId="12">#REF!</definedName>
    <definedName name="DATA10">#REF!</definedName>
    <definedName name="DATA11" localSheetId="7">#REF!</definedName>
    <definedName name="DATA11" localSheetId="12">#REF!</definedName>
    <definedName name="DATA11">#REF!</definedName>
    <definedName name="DATA12" localSheetId="7">#REF!</definedName>
    <definedName name="DATA12" localSheetId="12">#REF!</definedName>
    <definedName name="DATA12">#REF!</definedName>
    <definedName name="DATA13" localSheetId="7">#REF!</definedName>
    <definedName name="DATA13" localSheetId="12">#REF!</definedName>
    <definedName name="DATA13">#REF!</definedName>
    <definedName name="DATA14" localSheetId="7">#REF!</definedName>
    <definedName name="DATA14" localSheetId="12">#REF!</definedName>
    <definedName name="DATA14">#REF!</definedName>
    <definedName name="DATA15" localSheetId="7">#REF!</definedName>
    <definedName name="DATA15" localSheetId="12">#REF!</definedName>
    <definedName name="DATA15">#REF!</definedName>
    <definedName name="DATA16" localSheetId="7">#REF!</definedName>
    <definedName name="DATA16" localSheetId="12">#REF!</definedName>
    <definedName name="DATA16">#REF!</definedName>
    <definedName name="DATA17" localSheetId="7">#REF!</definedName>
    <definedName name="DATA17" localSheetId="12">#REF!</definedName>
    <definedName name="DATA17">#REF!</definedName>
    <definedName name="DATA18" localSheetId="7">#REF!</definedName>
    <definedName name="DATA18" localSheetId="12">#REF!</definedName>
    <definedName name="DATA18">#REF!</definedName>
    <definedName name="DATA19" localSheetId="7">#REF!</definedName>
    <definedName name="DATA19" localSheetId="12">#REF!</definedName>
    <definedName name="DATA19">#REF!</definedName>
    <definedName name="DATA2" localSheetId="7">#REF!</definedName>
    <definedName name="DATA2" localSheetId="12">#REF!</definedName>
    <definedName name="DATA2">#REF!</definedName>
    <definedName name="DATA20" localSheetId="7">#REF!</definedName>
    <definedName name="DATA20" localSheetId="12">#REF!</definedName>
    <definedName name="DATA20">#REF!</definedName>
    <definedName name="DATA3" localSheetId="7">#REF!</definedName>
    <definedName name="DATA3" localSheetId="12">#REF!</definedName>
    <definedName name="DATA3">#REF!</definedName>
    <definedName name="DATA4" localSheetId="7">#REF!</definedName>
    <definedName name="DATA4" localSheetId="12">#REF!</definedName>
    <definedName name="DATA4">#REF!</definedName>
    <definedName name="DATA5" localSheetId="7">#REF!</definedName>
    <definedName name="DATA5" localSheetId="12">#REF!</definedName>
    <definedName name="DATA5">#REF!</definedName>
    <definedName name="data5000">'[1]ACTMA Detail'!$N$2:$N$102</definedName>
    <definedName name="DATA6" localSheetId="7">#REF!</definedName>
    <definedName name="DATA6" localSheetId="6">#REF!</definedName>
    <definedName name="DATA6" localSheetId="12">#REF!</definedName>
    <definedName name="DATA6">#REF!</definedName>
    <definedName name="DATA7" localSheetId="7">#REF!</definedName>
    <definedName name="DATA7" localSheetId="6">#REF!</definedName>
    <definedName name="DATA7" localSheetId="12">#REF!</definedName>
    <definedName name="DATA7">#REF!</definedName>
    <definedName name="DATA8" localSheetId="7">#REF!</definedName>
    <definedName name="DATA8" localSheetId="6">#REF!</definedName>
    <definedName name="DATA8" localSheetId="12">#REF!</definedName>
    <definedName name="DATA8">#REF!</definedName>
    <definedName name="DATA9" localSheetId="7">#REF!</definedName>
    <definedName name="DATA9" localSheetId="12">#REF!</definedName>
    <definedName name="DATA9">#REF!</definedName>
    <definedName name="DayTypeList" localSheetId="7">[2]LOOKUP!$E$2:$E$14</definedName>
    <definedName name="DayTypeList" localSheetId="10">[2]LOOKUP!$E$2:$E$14</definedName>
    <definedName name="DayTypeList" localSheetId="12">[2]LOOKUP!$E$2:$E$14</definedName>
    <definedName name="DayTypeList" localSheetId="11">[2]LOOKUP!$E$2:$E$14</definedName>
    <definedName name="DayTypeList">[2]LOOKUP!$E$2:$E$14</definedName>
    <definedName name="Enhance_Delivery_Channels" localSheetId="7">#REF!</definedName>
    <definedName name="Enhance_Delivery_Channels" localSheetId="2">#REF!</definedName>
    <definedName name="Enhance_Delivery_Channels" localSheetId="3">#REF!</definedName>
    <definedName name="Enhance_Delivery_Channels" localSheetId="1">#REF!</definedName>
    <definedName name="Enhance_Delivery_Channels" localSheetId="12">#REF!</definedName>
    <definedName name="Enhance_Delivery_Channels" localSheetId="4">#REF!</definedName>
    <definedName name="Enhance_Delivery_Channels">#REF!</definedName>
    <definedName name="Ethics_and_Compliance" localSheetId="7">#REF!</definedName>
    <definedName name="Ethics_and_Compliance" localSheetId="2">#REF!</definedName>
    <definedName name="Ethics_and_Compliance" localSheetId="3">#REF!</definedName>
    <definedName name="Ethics_and_Compliance" localSheetId="1">#REF!</definedName>
    <definedName name="Ethics_and_Compliance" localSheetId="12">#REF!</definedName>
    <definedName name="Ethics_and_Compliance" localSheetId="4">#REF!</definedName>
    <definedName name="Ethics_and_Compliance">#REF!</definedName>
    <definedName name="Launch_Refine_Market" localSheetId="7">#REF!</definedName>
    <definedName name="Launch_Refine_Market" localSheetId="2">#REF!</definedName>
    <definedName name="Launch_Refine_Market" localSheetId="3">#REF!</definedName>
    <definedName name="Launch_Refine_Market" localSheetId="1">#REF!</definedName>
    <definedName name="Launch_Refine_Market" localSheetId="12">#REF!</definedName>
    <definedName name="Launch_Refine_Market" localSheetId="4">#REF!</definedName>
    <definedName name="Launch_Refine_Market">#REF!</definedName>
    <definedName name="Manage_AMI" localSheetId="7">#REF!</definedName>
    <definedName name="Manage_AMI" localSheetId="2">#REF!</definedName>
    <definedName name="Manage_AMI" localSheetId="3">#REF!</definedName>
    <definedName name="Manage_AMI" localSheetId="1">#REF!</definedName>
    <definedName name="Manage_AMI" localSheetId="12">#REF!</definedName>
    <definedName name="Manage_AMI" localSheetId="4">#REF!</definedName>
    <definedName name="Manage_AMI">#REF!</definedName>
    <definedName name="Meet_Financial_Targets" localSheetId="7">#REF!</definedName>
    <definedName name="Meet_Financial_Targets" localSheetId="2">#REF!</definedName>
    <definedName name="Meet_Financial_Targets" localSheetId="3">#REF!</definedName>
    <definedName name="Meet_Financial_Targets" localSheetId="1">#REF!</definedName>
    <definedName name="Meet_Financial_Targets" localSheetId="12">#REF!</definedName>
    <definedName name="Meet_Financial_Targets" localSheetId="4">#REF!</definedName>
    <definedName name="Meet_Financial_Targets">#REF!</definedName>
    <definedName name="nnnnnn">'[1]ACTMA Detail'!$P$2:$P$102</definedName>
    <definedName name="_xlnm.Print_Area" localSheetId="5">'Auto DR (TI) &amp; Tech Deployment'!$A$1:$M$45</definedName>
    <definedName name="_xlnm.Print_Area" localSheetId="7">'DRP Expenditures'!$A$54:$M$54</definedName>
    <definedName name="_xlnm.Print_Area" localSheetId="2">'Ex ante LI &amp; Eligibility Stats'!$A$1:$O$19</definedName>
    <definedName name="_xlnm.Print_Area" localSheetId="3">'Ex post LI &amp; Eligibility Stats'!$A$1:$O$28</definedName>
    <definedName name="_xlnm.Print_Area" localSheetId="8">'Fund Shift Log'!$A$1:$E$19</definedName>
    <definedName name="_xlnm.Print_Area" localSheetId="6">Marketing!$A$1:$Q$40</definedName>
    <definedName name="_xlnm.Print_Area" localSheetId="1">'Program MW '!$A$1:$S$57</definedName>
    <definedName name="_xlnm.Print_Area" localSheetId="12">'SDGE Costs -DPDRMA'!$A$2:$N$45</definedName>
    <definedName name="_xlnm.Print_Area" localSheetId="11">'SDGE Costs -GRC '!$A$1:$N$34</definedName>
    <definedName name="Reliability_Expectations" localSheetId="7">#REF!</definedName>
    <definedName name="Reliability_Expectations" localSheetId="2">#REF!</definedName>
    <definedName name="Reliability_Expectations" localSheetId="3">#REF!</definedName>
    <definedName name="Reliability_Expectations" localSheetId="6">#REF!</definedName>
    <definedName name="Reliability_Expectations" localSheetId="1">#REF!</definedName>
    <definedName name="Reliability_Expectations" localSheetId="12">#REF!</definedName>
    <definedName name="Reliability_Expectations" localSheetId="4">#REF!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7">#REF!</definedName>
    <definedName name="Stabilization_Customer_Base" localSheetId="2">#REF!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12">#REF!</definedName>
    <definedName name="Stabilization_Customer_Base" localSheetId="4">#REF!</definedName>
    <definedName name="Stabilization_Customer_Base">#REF!</definedName>
    <definedName name="TEST0" localSheetId="7">#REF!</definedName>
    <definedName name="TEST0" localSheetId="6">#REF!</definedName>
    <definedName name="TEST0" localSheetId="12">#REF!</definedName>
    <definedName name="TEST0">#REF!</definedName>
    <definedName name="TEST1" localSheetId="7">#REF!</definedName>
    <definedName name="TEST1" localSheetId="12">#REF!</definedName>
    <definedName name="TEST1">#REF!</definedName>
    <definedName name="TEST10" localSheetId="7">#REF!</definedName>
    <definedName name="TEST10" localSheetId="12">#REF!</definedName>
    <definedName name="TEST10">#REF!</definedName>
    <definedName name="TEST11" localSheetId="7">#REF!</definedName>
    <definedName name="TEST11" localSheetId="12">#REF!</definedName>
    <definedName name="TEST11">#REF!</definedName>
    <definedName name="TEST12" localSheetId="7">#REF!</definedName>
    <definedName name="TEST12" localSheetId="12">#REF!</definedName>
    <definedName name="TEST12">#REF!</definedName>
    <definedName name="TEST13" localSheetId="7">#REF!</definedName>
    <definedName name="TEST13" localSheetId="12">#REF!</definedName>
    <definedName name="TEST13">#REF!</definedName>
    <definedName name="TEST14" localSheetId="7">#REF!</definedName>
    <definedName name="TEST14" localSheetId="12">#REF!</definedName>
    <definedName name="TEST14">#REF!</definedName>
    <definedName name="TEST15" localSheetId="7">#REF!</definedName>
    <definedName name="TEST15" localSheetId="12">#REF!</definedName>
    <definedName name="TEST15">#REF!</definedName>
    <definedName name="TEST16" localSheetId="7">#REF!</definedName>
    <definedName name="TEST16" localSheetId="12">#REF!</definedName>
    <definedName name="TEST16">#REF!</definedName>
    <definedName name="TEST17" localSheetId="7">#REF!</definedName>
    <definedName name="TEST17" localSheetId="12">#REF!</definedName>
    <definedName name="TEST17">#REF!</definedName>
    <definedName name="TEST18" localSheetId="7">#REF!</definedName>
    <definedName name="TEST18" localSheetId="12">#REF!</definedName>
    <definedName name="TEST18">#REF!</definedName>
    <definedName name="TEST19" localSheetId="7">#REF!</definedName>
    <definedName name="TEST19" localSheetId="12">#REF!</definedName>
    <definedName name="TEST19">#REF!</definedName>
    <definedName name="TEST2" localSheetId="7">#REF!</definedName>
    <definedName name="TEST2" localSheetId="12">#REF!</definedName>
    <definedName name="TEST2">#REF!</definedName>
    <definedName name="TEST20" localSheetId="7">#REF!</definedName>
    <definedName name="TEST20" localSheetId="12">#REF!</definedName>
    <definedName name="TEST20">#REF!</definedName>
    <definedName name="TEST21" localSheetId="7">#REF!</definedName>
    <definedName name="TEST21" localSheetId="12">#REF!</definedName>
    <definedName name="TEST21">#REF!</definedName>
    <definedName name="TEST22" localSheetId="7">#REF!</definedName>
    <definedName name="TEST22" localSheetId="12">#REF!</definedName>
    <definedName name="TEST22">#REF!</definedName>
    <definedName name="TEST23" localSheetId="7">#REF!</definedName>
    <definedName name="TEST23" localSheetId="12">#REF!</definedName>
    <definedName name="TEST23">#REF!</definedName>
    <definedName name="TEST24" localSheetId="7">#REF!</definedName>
    <definedName name="TEST24" localSheetId="12">#REF!</definedName>
    <definedName name="TEST24">#REF!</definedName>
    <definedName name="TEST25" localSheetId="7">#REF!</definedName>
    <definedName name="TEST25" localSheetId="12">#REF!</definedName>
    <definedName name="TEST25">#REF!</definedName>
    <definedName name="TEST26" localSheetId="7">#REF!</definedName>
    <definedName name="TEST26" localSheetId="12">#REF!</definedName>
    <definedName name="TEST26">#REF!</definedName>
    <definedName name="TEST27" localSheetId="7">#REF!</definedName>
    <definedName name="TEST27" localSheetId="12">#REF!</definedName>
    <definedName name="TEST27">#REF!</definedName>
    <definedName name="TEST28" localSheetId="7">#REF!</definedName>
    <definedName name="TEST28" localSheetId="12">#REF!</definedName>
    <definedName name="TEST28">#REF!</definedName>
    <definedName name="TEST3" localSheetId="7">#REF!</definedName>
    <definedName name="TEST3" localSheetId="12">#REF!</definedName>
    <definedName name="TEST3">#REF!</definedName>
    <definedName name="TEST4" localSheetId="7">#REF!</definedName>
    <definedName name="TEST4" localSheetId="12">#REF!</definedName>
    <definedName name="TEST4">#REF!</definedName>
    <definedName name="TEST5" localSheetId="7">#REF!</definedName>
    <definedName name="TEST5" localSheetId="12">#REF!</definedName>
    <definedName name="TEST5">#REF!</definedName>
    <definedName name="TEST6" localSheetId="7">#REF!</definedName>
    <definedName name="TEST6" localSheetId="12">#REF!</definedName>
    <definedName name="TEST6">#REF!</definedName>
    <definedName name="TEST7" localSheetId="7">#REF!</definedName>
    <definedName name="TEST7" localSheetId="12">#REF!</definedName>
    <definedName name="TEST7">#REF!</definedName>
    <definedName name="TEST8" localSheetId="7">#REF!</definedName>
    <definedName name="TEST8" localSheetId="12">#REF!</definedName>
    <definedName name="TEST8">#REF!</definedName>
    <definedName name="TEST9" localSheetId="7">#REF!</definedName>
    <definedName name="TEST9" localSheetId="12">#REF!</definedName>
    <definedName name="TEST9">#REF!</definedName>
    <definedName name="TESTHKEY" localSheetId="7">#REF!</definedName>
    <definedName name="TESTHKEY" localSheetId="12">#REF!</definedName>
    <definedName name="TESTHKEY">#REF!</definedName>
    <definedName name="TESTKEYS" localSheetId="7">#REF!</definedName>
    <definedName name="TESTKEYS" localSheetId="12">#REF!</definedName>
    <definedName name="TESTKEYS">#REF!</definedName>
    <definedName name="TESTVKEY" localSheetId="7">#REF!</definedName>
    <definedName name="TESTVKEY" localSheetId="12">#REF!</definedName>
    <definedName name="TESTVKEY">#REF!</definedName>
    <definedName name="Valued_Service_Provider" localSheetId="7">#REF!</definedName>
    <definedName name="Valued_Service_Provider" localSheetId="2">#REF!</definedName>
    <definedName name="Valued_Service_Provider" localSheetId="3">#REF!</definedName>
    <definedName name="Valued_Service_Provider" localSheetId="1">#REF!</definedName>
    <definedName name="Valued_Service_Provider" localSheetId="12">#REF!</definedName>
    <definedName name="Valued_Service_Provider" localSheetId="4">#REF!</definedName>
    <definedName name="Valued_Service_Provider">#REF!</definedName>
    <definedName name="Voice_of_Customer" localSheetId="7">#REF!</definedName>
    <definedName name="Voice_of_Customer" localSheetId="2">#REF!</definedName>
    <definedName name="Voice_of_Customer" localSheetId="3">#REF!</definedName>
    <definedName name="Voice_of_Customer" localSheetId="1">#REF!</definedName>
    <definedName name="Voice_of_Customer" localSheetId="12">#REF!</definedName>
    <definedName name="Voice_of_Customer" localSheetId="4">#REF!</definedName>
    <definedName name="Voice_of_Customer">#REF!</definedName>
    <definedName name="Z_E5DF83AA_DC53_4EBF_A523_33DA0FE284E8_.wvu.PrintArea" localSheetId="3" hidden="1">'Ex post LI &amp; Eligibility Stats'!$A$2:$O$26</definedName>
    <definedName name="Z_E5DF83AA_DC53_4EBF_A523_33DA0FE284E8_.wvu.PrintArea" localSheetId="1" hidden="1">'Program MW '!$A$1:$Z$50</definedName>
    <definedName name="Z_E5DF83AA_DC53_4EBF_A523_33DA0FE284E8_.wvu.PrintArea" localSheetId="4" hidden="1">'TA-TI Distribution@'!#REF!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4" i="119" l="1"/>
  <c r="N50" i="119"/>
  <c r="N47" i="119"/>
  <c r="N46" i="119"/>
  <c r="N45" i="119"/>
  <c r="N44" i="119"/>
  <c r="N43" i="119"/>
  <c r="N42" i="119"/>
  <c r="N41" i="119"/>
  <c r="N40" i="119"/>
  <c r="N39" i="119"/>
  <c r="N38" i="119"/>
  <c r="N37" i="119"/>
  <c r="N13" i="129"/>
  <c r="N14" i="129"/>
  <c r="N15" i="129"/>
  <c r="N16" i="129"/>
  <c r="N48" i="119" l="1"/>
  <c r="G36" i="131"/>
  <c r="G34" i="131"/>
  <c r="G23" i="131" l="1"/>
  <c r="G24" i="131"/>
  <c r="S23" i="33" l="1"/>
  <c r="R23" i="33"/>
  <c r="S22" i="33"/>
  <c r="R22" i="33"/>
  <c r="S21" i="33"/>
  <c r="R21" i="33"/>
  <c r="S20" i="33"/>
  <c r="R20" i="33"/>
  <c r="S19" i="33"/>
  <c r="R19" i="33"/>
  <c r="S18" i="33"/>
  <c r="R18" i="33"/>
  <c r="S17" i="33"/>
  <c r="R17" i="33"/>
  <c r="S16" i="33"/>
  <c r="G33" i="131" s="1"/>
  <c r="R16" i="33"/>
  <c r="S15" i="33"/>
  <c r="G22" i="131" s="1"/>
  <c r="R15" i="33"/>
  <c r="S14" i="33"/>
  <c r="R14" i="33"/>
  <c r="S12" i="33"/>
  <c r="R12" i="33"/>
  <c r="S9" i="33"/>
  <c r="S10" i="33" s="1"/>
  <c r="R9" i="33"/>
  <c r="R10" i="33" s="1"/>
  <c r="N16" i="119" l="1"/>
  <c r="N15" i="119"/>
  <c r="G23" i="134" l="1"/>
  <c r="N15" i="117" l="1"/>
  <c r="N14" i="117"/>
  <c r="N13" i="117"/>
  <c r="N12" i="117"/>
  <c r="F36" i="131" l="1"/>
  <c r="F34" i="131"/>
  <c r="F24" i="131"/>
  <c r="E24" i="131"/>
  <c r="D24" i="131"/>
  <c r="F23" i="131"/>
  <c r="E23" i="131"/>
  <c r="P9" i="33" l="1"/>
  <c r="O9" i="33"/>
  <c r="P23" i="33" l="1"/>
  <c r="O23" i="33"/>
  <c r="P22" i="33"/>
  <c r="O22" i="33"/>
  <c r="P21" i="33"/>
  <c r="O21" i="33"/>
  <c r="P20" i="33"/>
  <c r="O20" i="33"/>
  <c r="P19" i="33"/>
  <c r="O19" i="33"/>
  <c r="P18" i="33"/>
  <c r="O18" i="33"/>
  <c r="P17" i="33"/>
  <c r="O17" i="33"/>
  <c r="P16" i="33"/>
  <c r="F33" i="131" s="1"/>
  <c r="F40" i="131" s="1"/>
  <c r="O16" i="33"/>
  <c r="P15" i="33"/>
  <c r="F22" i="131" s="1"/>
  <c r="F25" i="131" s="1"/>
  <c r="O15" i="33"/>
  <c r="P14" i="33"/>
  <c r="O14" i="33"/>
  <c r="P12" i="33"/>
  <c r="O12" i="33"/>
  <c r="N24" i="33" l="1"/>
  <c r="F23" i="134" l="1"/>
  <c r="M40" i="131" l="1"/>
  <c r="L40" i="131"/>
  <c r="K40" i="131"/>
  <c r="J40" i="131"/>
  <c r="I40" i="131"/>
  <c r="H40" i="131"/>
  <c r="G40" i="131"/>
  <c r="P10" i="33"/>
  <c r="M23" i="33" l="1"/>
  <c r="L23" i="33"/>
  <c r="M22" i="33"/>
  <c r="L22" i="33"/>
  <c r="M21" i="33"/>
  <c r="L21" i="33"/>
  <c r="M20" i="33"/>
  <c r="L20" i="33"/>
  <c r="M19" i="33"/>
  <c r="L19" i="33"/>
  <c r="M18" i="33"/>
  <c r="L18" i="33"/>
  <c r="M17" i="33"/>
  <c r="L17" i="33"/>
  <c r="M16" i="33"/>
  <c r="L16" i="33"/>
  <c r="M15" i="33"/>
  <c r="L15" i="33"/>
  <c r="M14" i="33"/>
  <c r="L14" i="33"/>
  <c r="M12" i="33"/>
  <c r="L12" i="33"/>
  <c r="M9" i="33"/>
  <c r="M10" i="33" s="1"/>
  <c r="L9" i="33"/>
  <c r="L10" i="33" s="1"/>
  <c r="M24" i="33" l="1"/>
  <c r="M25" i="33" s="1"/>
  <c r="L24" i="33"/>
  <c r="L25" i="33" s="1"/>
  <c r="D36" i="131"/>
  <c r="D34" i="131"/>
  <c r="E33" i="131"/>
  <c r="E36" i="131"/>
  <c r="E34" i="131"/>
  <c r="E22" i="131"/>
  <c r="E40" i="131" l="1"/>
  <c r="D39" i="131"/>
  <c r="D23" i="131"/>
  <c r="J23" i="33" l="1"/>
  <c r="J22" i="33"/>
  <c r="J21" i="33"/>
  <c r="J20" i="33"/>
  <c r="J19" i="33"/>
  <c r="J18" i="33"/>
  <c r="J17" i="33"/>
  <c r="J16" i="33"/>
  <c r="D33" i="131" s="1"/>
  <c r="J15" i="33"/>
  <c r="D22" i="131" s="1"/>
  <c r="D25" i="131" s="1"/>
  <c r="J14" i="33"/>
  <c r="J12" i="33"/>
  <c r="J9" i="33"/>
  <c r="I23" i="33"/>
  <c r="I22" i="33"/>
  <c r="I21" i="33"/>
  <c r="I20" i="33"/>
  <c r="I19" i="33"/>
  <c r="I18" i="33"/>
  <c r="I17" i="33"/>
  <c r="I16" i="33"/>
  <c r="I15" i="33"/>
  <c r="I14" i="33"/>
  <c r="I12" i="33"/>
  <c r="I9" i="33"/>
  <c r="D23" i="134" l="1"/>
  <c r="B39" i="131" l="1"/>
  <c r="C39" i="131"/>
  <c r="C36" i="131"/>
  <c r="C34" i="131"/>
  <c r="B37" i="131"/>
  <c r="B38" i="131"/>
  <c r="C38" i="131"/>
  <c r="C37" i="131"/>
  <c r="C24" i="131"/>
  <c r="C23" i="131"/>
  <c r="B36" i="131" l="1"/>
  <c r="B34" i="131"/>
  <c r="B24" i="131"/>
  <c r="B23" i="131"/>
  <c r="D18" i="33" l="1"/>
  <c r="B33" i="131" s="1"/>
  <c r="C15" i="33"/>
  <c r="D17" i="33"/>
  <c r="O19" i="35" l="1"/>
  <c r="M47" i="119" l="1"/>
  <c r="L47" i="119"/>
  <c r="K47" i="119"/>
  <c r="J47" i="119"/>
  <c r="I47" i="119"/>
  <c r="H47" i="119"/>
  <c r="G47" i="119"/>
  <c r="F47" i="119"/>
  <c r="E47" i="119"/>
  <c r="D47" i="119"/>
  <c r="C47" i="119"/>
  <c r="B47" i="119"/>
  <c r="B23" i="134"/>
  <c r="N37" i="134" l="1"/>
  <c r="O37" i="134" s="1"/>
  <c r="N36" i="134"/>
  <c r="O36" i="134" s="1"/>
  <c r="N35" i="134"/>
  <c r="O35" i="134" s="1"/>
  <c r="N34" i="134"/>
  <c r="N30" i="134"/>
  <c r="O30" i="134" s="1"/>
  <c r="N29" i="134"/>
  <c r="O29" i="134" s="1"/>
  <c r="N28" i="134"/>
  <c r="O28" i="134" s="1"/>
  <c r="N27" i="134"/>
  <c r="O27" i="134" s="1"/>
  <c r="N26" i="134"/>
  <c r="O26" i="134" s="1"/>
  <c r="N22" i="134"/>
  <c r="O22" i="134" s="1"/>
  <c r="N21" i="134"/>
  <c r="O21" i="134" s="1"/>
  <c r="N20" i="134"/>
  <c r="O20" i="134" s="1"/>
  <c r="N19" i="134"/>
  <c r="O19" i="134" s="1"/>
  <c r="N18" i="134"/>
  <c r="O18" i="134" s="1"/>
  <c r="N17" i="134"/>
  <c r="O17" i="134" s="1"/>
  <c r="O16" i="134"/>
  <c r="O15" i="134"/>
  <c r="N14" i="134"/>
  <c r="O14" i="134" s="1"/>
  <c r="N13" i="134"/>
  <c r="O13" i="134" s="1"/>
  <c r="N12" i="134"/>
  <c r="O12" i="134" s="1"/>
  <c r="N11" i="134"/>
  <c r="O11" i="134" s="1"/>
  <c r="O23" i="134" l="1"/>
  <c r="N38" i="134"/>
  <c r="N31" i="134"/>
  <c r="N23" i="134"/>
  <c r="O34" i="134"/>
  <c r="C4" i="57" l="1"/>
  <c r="N29" i="117" l="1"/>
  <c r="O29" i="117" s="1"/>
  <c r="M13" i="131" l="1"/>
  <c r="N32" i="119" l="1"/>
  <c r="K13" i="131" l="1"/>
  <c r="L13" i="131"/>
  <c r="K34" i="119" l="1"/>
  <c r="N27" i="119"/>
  <c r="Q11" i="134" l="1"/>
  <c r="G145" i="136" l="1"/>
  <c r="G132" i="136"/>
  <c r="G119" i="136"/>
  <c r="G106" i="136"/>
  <c r="G93" i="136"/>
  <c r="G80" i="136"/>
  <c r="G67" i="136"/>
  <c r="G54" i="136"/>
  <c r="G41" i="136"/>
  <c r="G28" i="136"/>
  <c r="G2" i="136"/>
  <c r="G15" i="136"/>
  <c r="H69" i="136" l="1"/>
  <c r="H70" i="136"/>
  <c r="H71" i="136"/>
  <c r="H56" i="136"/>
  <c r="H57" i="136"/>
  <c r="H58" i="136"/>
  <c r="H43" i="136"/>
  <c r="H44" i="136"/>
  <c r="H45" i="136"/>
  <c r="H30" i="136"/>
  <c r="H31" i="136"/>
  <c r="H32" i="136"/>
  <c r="H17" i="136"/>
  <c r="H18" i="136"/>
  <c r="H19" i="136"/>
  <c r="H4" i="136" l="1"/>
  <c r="H5" i="136"/>
  <c r="H6" i="136"/>
  <c r="G3" i="136" l="1"/>
  <c r="G146" i="136" l="1"/>
  <c r="G133" i="136"/>
  <c r="G120" i="136"/>
  <c r="G107" i="136"/>
  <c r="G94" i="136"/>
  <c r="G81" i="136"/>
  <c r="G69" i="136"/>
  <c r="G70" i="136"/>
  <c r="G71" i="136"/>
  <c r="G72" i="136"/>
  <c r="G73" i="136"/>
  <c r="G74" i="136"/>
  <c r="G75" i="136"/>
  <c r="G76" i="136"/>
  <c r="G77" i="136"/>
  <c r="G78" i="136"/>
  <c r="G79" i="136"/>
  <c r="G68" i="136"/>
  <c r="G56" i="136"/>
  <c r="G57" i="136"/>
  <c r="G58" i="136"/>
  <c r="G59" i="136"/>
  <c r="G60" i="136"/>
  <c r="G61" i="136"/>
  <c r="G62" i="136"/>
  <c r="G63" i="136"/>
  <c r="G64" i="136"/>
  <c r="G65" i="136"/>
  <c r="G66" i="136"/>
  <c r="G55" i="136"/>
  <c r="G43" i="136"/>
  <c r="G44" i="136"/>
  <c r="G45" i="136"/>
  <c r="G46" i="136"/>
  <c r="G47" i="136"/>
  <c r="G48" i="136"/>
  <c r="G49" i="136"/>
  <c r="G50" i="136"/>
  <c r="G51" i="136"/>
  <c r="G52" i="136"/>
  <c r="G53" i="136"/>
  <c r="G42" i="136"/>
  <c r="G30" i="136"/>
  <c r="G31" i="136"/>
  <c r="G32" i="136"/>
  <c r="G33" i="136"/>
  <c r="G34" i="136"/>
  <c r="G35" i="136"/>
  <c r="G36" i="136"/>
  <c r="G37" i="136"/>
  <c r="G38" i="136"/>
  <c r="G39" i="136"/>
  <c r="G40" i="136"/>
  <c r="G29" i="136"/>
  <c r="G17" i="136"/>
  <c r="G18" i="136"/>
  <c r="G19" i="136"/>
  <c r="G20" i="136"/>
  <c r="G21" i="136"/>
  <c r="G22" i="136"/>
  <c r="G23" i="136"/>
  <c r="G24" i="136"/>
  <c r="G25" i="136"/>
  <c r="G26" i="136"/>
  <c r="G27" i="136"/>
  <c r="G16" i="136"/>
  <c r="G4" i="136"/>
  <c r="G5" i="136"/>
  <c r="G6" i="136"/>
  <c r="G7" i="136"/>
  <c r="G8" i="136"/>
  <c r="G9" i="136"/>
  <c r="G10" i="136"/>
  <c r="G11" i="136"/>
  <c r="G12" i="136"/>
  <c r="G13" i="136"/>
  <c r="G14" i="136"/>
  <c r="N22" i="129" l="1"/>
  <c r="N21" i="129"/>
  <c r="K32" i="131" l="1"/>
  <c r="O11" i="35" l="1"/>
  <c r="N8" i="35"/>
  <c r="E24" i="33"/>
  <c r="C31" i="134"/>
  <c r="C17" i="33"/>
  <c r="H9" i="136" s="1"/>
  <c r="C18" i="33"/>
  <c r="H10" i="136" s="1"/>
  <c r="H7" i="136"/>
  <c r="E33" i="33"/>
  <c r="C16" i="33"/>
  <c r="H8" i="136" s="1"/>
  <c r="B34" i="119"/>
  <c r="B48" i="119" s="1"/>
  <c r="B50" i="119" s="1"/>
  <c r="L34" i="119"/>
  <c r="Q15" i="134"/>
  <c r="Q23" i="134" s="1"/>
  <c r="P48" i="117"/>
  <c r="P30" i="117"/>
  <c r="P16" i="117"/>
  <c r="B20" i="117"/>
  <c r="C20" i="117"/>
  <c r="D20" i="117"/>
  <c r="E20" i="117"/>
  <c r="F20" i="117"/>
  <c r="G20" i="117"/>
  <c r="H20" i="117"/>
  <c r="I20" i="117"/>
  <c r="J20" i="117"/>
  <c r="K20" i="117"/>
  <c r="L20" i="117"/>
  <c r="M20" i="117"/>
  <c r="N47" i="117"/>
  <c r="N34" i="117"/>
  <c r="N33" i="117"/>
  <c r="N35" i="117"/>
  <c r="O35" i="117" s="1"/>
  <c r="N36" i="117"/>
  <c r="P37" i="117"/>
  <c r="N19" i="117"/>
  <c r="N11" i="117"/>
  <c r="N16" i="117" s="1"/>
  <c r="F16" i="33"/>
  <c r="G16" i="33"/>
  <c r="F17" i="33"/>
  <c r="G17" i="33"/>
  <c r="F18" i="33"/>
  <c r="G18" i="33"/>
  <c r="F19" i="33"/>
  <c r="D37" i="131" s="1"/>
  <c r="F20" i="33"/>
  <c r="D38" i="131" s="1"/>
  <c r="G19" i="33"/>
  <c r="G20" i="33"/>
  <c r="D15" i="33"/>
  <c r="B22" i="131" s="1"/>
  <c r="F15" i="33"/>
  <c r="H20" i="136" s="1"/>
  <c r="G15" i="33"/>
  <c r="H33" i="136"/>
  <c r="H46" i="136"/>
  <c r="M25" i="131"/>
  <c r="M17" i="129"/>
  <c r="M24" i="129"/>
  <c r="M28" i="129"/>
  <c r="M33" i="129"/>
  <c r="B33" i="129"/>
  <c r="C33" i="129"/>
  <c r="D33" i="129"/>
  <c r="E33" i="129"/>
  <c r="F33" i="129"/>
  <c r="G33" i="129"/>
  <c r="H33" i="129"/>
  <c r="I33" i="129"/>
  <c r="J33" i="129"/>
  <c r="K33" i="129"/>
  <c r="L33" i="129"/>
  <c r="N46" i="117"/>
  <c r="O46" i="117" s="1"/>
  <c r="N45" i="117"/>
  <c r="N44" i="117"/>
  <c r="H120" i="136"/>
  <c r="K16" i="117"/>
  <c r="H107" i="136"/>
  <c r="N9" i="119"/>
  <c r="N10" i="119"/>
  <c r="N11" i="119"/>
  <c r="N12" i="119"/>
  <c r="N13" i="119"/>
  <c r="N14" i="119"/>
  <c r="N17" i="119"/>
  <c r="N18" i="119"/>
  <c r="N19" i="119"/>
  <c r="N20" i="119"/>
  <c r="N21" i="119"/>
  <c r="N22" i="119"/>
  <c r="N23" i="119"/>
  <c r="N24" i="119"/>
  <c r="N25" i="119"/>
  <c r="N26" i="119"/>
  <c r="N28" i="119"/>
  <c r="N29" i="119"/>
  <c r="N30" i="119"/>
  <c r="N31" i="119"/>
  <c r="N33" i="119"/>
  <c r="B17" i="129"/>
  <c r="B24" i="129"/>
  <c r="B28" i="129"/>
  <c r="C24" i="129"/>
  <c r="D24" i="129"/>
  <c r="E24" i="129"/>
  <c r="F24" i="129"/>
  <c r="G24" i="129"/>
  <c r="H24" i="129"/>
  <c r="I24" i="129"/>
  <c r="J24" i="129"/>
  <c r="K24" i="129"/>
  <c r="L24" i="129"/>
  <c r="D17" i="129"/>
  <c r="D28" i="129"/>
  <c r="F17" i="129"/>
  <c r="F28" i="129"/>
  <c r="L17" i="129"/>
  <c r="L28" i="129"/>
  <c r="N20" i="129"/>
  <c r="B13" i="29"/>
  <c r="Q48" i="117"/>
  <c r="Q16" i="117"/>
  <c r="G13" i="131"/>
  <c r="F13" i="131"/>
  <c r="E13" i="131"/>
  <c r="G48" i="117"/>
  <c r="G41" i="117"/>
  <c r="G37" i="117"/>
  <c r="G30" i="117"/>
  <c r="G24" i="117"/>
  <c r="G16" i="117"/>
  <c r="D13" i="131"/>
  <c r="D38" i="134"/>
  <c r="C13" i="131"/>
  <c r="C34" i="119"/>
  <c r="M16" i="117"/>
  <c r="L16" i="117"/>
  <c r="J16" i="117"/>
  <c r="I16" i="117"/>
  <c r="H16" i="117"/>
  <c r="F16" i="117"/>
  <c r="E16" i="117"/>
  <c r="D16" i="117"/>
  <c r="C16" i="117"/>
  <c r="P41" i="117"/>
  <c r="P24" i="117"/>
  <c r="P20" i="117"/>
  <c r="Q20" i="117"/>
  <c r="A41" i="119"/>
  <c r="P38" i="134"/>
  <c r="M38" i="134"/>
  <c r="L38" i="134"/>
  <c r="K38" i="134"/>
  <c r="J38" i="134"/>
  <c r="I38" i="134"/>
  <c r="H38" i="134"/>
  <c r="G38" i="134"/>
  <c r="F38" i="134"/>
  <c r="E38" i="134"/>
  <c r="C38" i="134"/>
  <c r="B38" i="134"/>
  <c r="M31" i="134"/>
  <c r="L31" i="134"/>
  <c r="K31" i="134"/>
  <c r="J31" i="134"/>
  <c r="I31" i="134"/>
  <c r="H31" i="134"/>
  <c r="G31" i="134"/>
  <c r="F31" i="134"/>
  <c r="E31" i="134"/>
  <c r="D31" i="134"/>
  <c r="B31" i="134"/>
  <c r="M23" i="134"/>
  <c r="L23" i="134"/>
  <c r="K23" i="134"/>
  <c r="J23" i="134"/>
  <c r="I23" i="134"/>
  <c r="H23" i="134"/>
  <c r="E23" i="134"/>
  <c r="C23" i="134"/>
  <c r="M48" i="117"/>
  <c r="L48" i="117"/>
  <c r="K48" i="117"/>
  <c r="B48" i="117"/>
  <c r="B41" i="117"/>
  <c r="B37" i="117"/>
  <c r="B30" i="117"/>
  <c r="B24" i="117"/>
  <c r="B16" i="117"/>
  <c r="C48" i="117"/>
  <c r="D48" i="117"/>
  <c r="E48" i="117"/>
  <c r="F48" i="117"/>
  <c r="F41" i="117"/>
  <c r="F37" i="117"/>
  <c r="F30" i="117"/>
  <c r="F24" i="117"/>
  <c r="H48" i="117"/>
  <c r="I48" i="117"/>
  <c r="J48" i="117"/>
  <c r="J41" i="117"/>
  <c r="J37" i="117"/>
  <c r="J30" i="117"/>
  <c r="J24" i="117"/>
  <c r="R15" i="117"/>
  <c r="O14" i="117"/>
  <c r="O12" i="117"/>
  <c r="O10" i="35"/>
  <c r="O12" i="35"/>
  <c r="O13" i="35"/>
  <c r="O14" i="35"/>
  <c r="O15" i="35"/>
  <c r="O16" i="35"/>
  <c r="O17" i="35"/>
  <c r="O18" i="35"/>
  <c r="H73" i="136"/>
  <c r="H68" i="136"/>
  <c r="H72" i="136"/>
  <c r="H74" i="136"/>
  <c r="H75" i="136"/>
  <c r="H76" i="136"/>
  <c r="H77" i="136"/>
  <c r="H78" i="136"/>
  <c r="H79" i="136"/>
  <c r="D16" i="33"/>
  <c r="D32" i="131"/>
  <c r="F32" i="131" s="1"/>
  <c r="H32" i="131" s="1"/>
  <c r="J32" i="131" s="1"/>
  <c r="C32" i="131"/>
  <c r="E32" i="131" s="1"/>
  <c r="G32" i="131" s="1"/>
  <c r="M32" i="131"/>
  <c r="C19" i="33"/>
  <c r="H11" i="136" s="1"/>
  <c r="D19" i="33"/>
  <c r="D21" i="131"/>
  <c r="F21" i="131" s="1"/>
  <c r="H21" i="131" s="1"/>
  <c r="J21" i="131" s="1"/>
  <c r="L21" i="131" s="1"/>
  <c r="C21" i="131"/>
  <c r="E21" i="131" s="1"/>
  <c r="G21" i="131" s="1"/>
  <c r="I21" i="131" s="1"/>
  <c r="K21" i="131" s="1"/>
  <c r="M21" i="131" s="1"/>
  <c r="C4" i="134"/>
  <c r="L24" i="117"/>
  <c r="E28" i="129"/>
  <c r="E17" i="129"/>
  <c r="I41" i="117"/>
  <c r="I37" i="117"/>
  <c r="I30" i="117"/>
  <c r="I24" i="117"/>
  <c r="H41" i="117"/>
  <c r="H37" i="117"/>
  <c r="H30" i="117"/>
  <c r="H24" i="117"/>
  <c r="E41" i="117"/>
  <c r="D41" i="117"/>
  <c r="D37" i="117"/>
  <c r="D30" i="117"/>
  <c r="D24" i="117"/>
  <c r="C41" i="117"/>
  <c r="C37" i="117"/>
  <c r="C30" i="117"/>
  <c r="C24" i="117"/>
  <c r="E37" i="117"/>
  <c r="E30" i="117"/>
  <c r="E24" i="117"/>
  <c r="G4" i="117"/>
  <c r="N23" i="117"/>
  <c r="O23" i="117" s="1"/>
  <c r="O24" i="117" s="1"/>
  <c r="K24" i="117"/>
  <c r="M24" i="117"/>
  <c r="Q24" i="117"/>
  <c r="N27" i="117"/>
  <c r="N28" i="117"/>
  <c r="K30" i="117"/>
  <c r="L30" i="117"/>
  <c r="M30" i="117"/>
  <c r="Q30" i="117"/>
  <c r="K37" i="117"/>
  <c r="L37" i="117"/>
  <c r="M37" i="117"/>
  <c r="M41" i="117"/>
  <c r="Q37" i="117"/>
  <c r="N40" i="117"/>
  <c r="O40" i="117" s="1"/>
  <c r="K41" i="117"/>
  <c r="L41" i="117"/>
  <c r="Q41" i="117"/>
  <c r="D9" i="33"/>
  <c r="D10" i="33" s="1"/>
  <c r="D12" i="33"/>
  <c r="D20" i="33"/>
  <c r="D22" i="33"/>
  <c r="D23" i="33"/>
  <c r="H81" i="136"/>
  <c r="H13" i="131"/>
  <c r="N35" i="129"/>
  <c r="N31" i="129"/>
  <c r="K28" i="129"/>
  <c r="K17" i="129"/>
  <c r="J28" i="129"/>
  <c r="I28" i="129"/>
  <c r="H28" i="129"/>
  <c r="G28" i="129"/>
  <c r="C28" i="129"/>
  <c r="N27" i="129"/>
  <c r="N23" i="129"/>
  <c r="J17" i="129"/>
  <c r="I17" i="129"/>
  <c r="H17" i="129"/>
  <c r="G17" i="129"/>
  <c r="C17" i="129"/>
  <c r="N12" i="129"/>
  <c r="E5" i="129"/>
  <c r="N30" i="120"/>
  <c r="M28" i="120"/>
  <c r="L28" i="120"/>
  <c r="K28" i="120"/>
  <c r="J28" i="120"/>
  <c r="I28" i="120"/>
  <c r="H28" i="120"/>
  <c r="G28" i="120"/>
  <c r="F28" i="120"/>
  <c r="E28" i="120"/>
  <c r="D28" i="120"/>
  <c r="D14" i="120"/>
  <c r="D18" i="120"/>
  <c r="D22" i="120"/>
  <c r="B14" i="120"/>
  <c r="B18" i="120"/>
  <c r="B22" i="120"/>
  <c r="B28" i="120"/>
  <c r="C14" i="120"/>
  <c r="C18" i="120"/>
  <c r="C22" i="120"/>
  <c r="C28" i="120"/>
  <c r="E14" i="120"/>
  <c r="E18" i="120"/>
  <c r="E22" i="120"/>
  <c r="F14" i="120"/>
  <c r="F18" i="120"/>
  <c r="F22" i="120"/>
  <c r="G14" i="120"/>
  <c r="G18" i="120"/>
  <c r="G22" i="120"/>
  <c r="H14" i="120"/>
  <c r="H18" i="120"/>
  <c r="H22" i="120"/>
  <c r="I14" i="120"/>
  <c r="I18" i="120"/>
  <c r="I22" i="120"/>
  <c r="J14" i="120"/>
  <c r="J18" i="120"/>
  <c r="J22" i="120"/>
  <c r="K14" i="120"/>
  <c r="K18" i="120"/>
  <c r="K22" i="120"/>
  <c r="L14" i="120"/>
  <c r="L18" i="120"/>
  <c r="L22" i="120"/>
  <c r="M14" i="120"/>
  <c r="M18" i="120"/>
  <c r="M22" i="120"/>
  <c r="N27" i="120"/>
  <c r="N26" i="120"/>
  <c r="N25" i="120"/>
  <c r="N21" i="120"/>
  <c r="N17" i="120"/>
  <c r="N13" i="120"/>
  <c r="N12" i="120"/>
  <c r="N11" i="120"/>
  <c r="E4" i="120"/>
  <c r="H34" i="119"/>
  <c r="G34" i="119"/>
  <c r="F34" i="119"/>
  <c r="D34" i="119"/>
  <c r="M34" i="119"/>
  <c r="J34" i="119"/>
  <c r="I34" i="119"/>
  <c r="I48" i="119" s="1"/>
  <c r="E34" i="119"/>
  <c r="E3" i="119"/>
  <c r="C3" i="29"/>
  <c r="J13" i="131"/>
  <c r="I13" i="131"/>
  <c r="B13" i="131"/>
  <c r="G4" i="131"/>
  <c r="U47" i="36"/>
  <c r="U49" i="36" s="1"/>
  <c r="Q47" i="36"/>
  <c r="Q49" i="36" s="1"/>
  <c r="M47" i="36"/>
  <c r="M49" i="36" s="1"/>
  <c r="I47" i="36"/>
  <c r="I49" i="36" s="1"/>
  <c r="F47" i="36"/>
  <c r="F49" i="36" s="1"/>
  <c r="B47" i="36"/>
  <c r="B49" i="36" s="1"/>
  <c r="V42" i="36"/>
  <c r="R42" i="36"/>
  <c r="N42" i="36"/>
  <c r="Y40" i="36"/>
  <c r="U40" i="36"/>
  <c r="Q40" i="36"/>
  <c r="L40" i="36"/>
  <c r="K40" i="36"/>
  <c r="K33" i="36"/>
  <c r="L33" i="36"/>
  <c r="H40" i="36"/>
  <c r="G40" i="36"/>
  <c r="E40" i="36"/>
  <c r="D40" i="36"/>
  <c r="C40" i="36"/>
  <c r="Y39" i="36"/>
  <c r="U39" i="36"/>
  <c r="Q39" i="36"/>
  <c r="M39" i="36"/>
  <c r="I39" i="36"/>
  <c r="Y38" i="36"/>
  <c r="U38" i="36"/>
  <c r="Q38" i="36"/>
  <c r="M38" i="36"/>
  <c r="I38" i="36"/>
  <c r="Y37" i="36"/>
  <c r="U37" i="36"/>
  <c r="Q37" i="36"/>
  <c r="M37" i="36"/>
  <c r="I37" i="36"/>
  <c r="Y36" i="36"/>
  <c r="U36" i="36"/>
  <c r="Q36" i="36"/>
  <c r="M36" i="36"/>
  <c r="I36" i="36"/>
  <c r="Y35" i="36"/>
  <c r="U35" i="36"/>
  <c r="Q35" i="36"/>
  <c r="M35" i="36"/>
  <c r="I35" i="36"/>
  <c r="X33" i="36"/>
  <c r="X42" i="36" s="1"/>
  <c r="W33" i="36"/>
  <c r="T33" i="36"/>
  <c r="T42" i="36" s="1"/>
  <c r="S33" i="36"/>
  <c r="P33" i="36"/>
  <c r="O33" i="36"/>
  <c r="O42" i="36" s="1"/>
  <c r="H33" i="36"/>
  <c r="G33" i="36"/>
  <c r="D33" i="36"/>
  <c r="C33" i="36"/>
  <c r="Y32" i="36"/>
  <c r="U32" i="36"/>
  <c r="Q32" i="36"/>
  <c r="M32" i="36"/>
  <c r="I32" i="36"/>
  <c r="E32" i="36"/>
  <c r="E28" i="36"/>
  <c r="Q31" i="36"/>
  <c r="M31" i="36"/>
  <c r="I31" i="36"/>
  <c r="Q30" i="36"/>
  <c r="M30" i="36"/>
  <c r="I30" i="36"/>
  <c r="Q29" i="36"/>
  <c r="M29" i="36"/>
  <c r="I29" i="36"/>
  <c r="I28" i="36"/>
  <c r="Y28" i="36"/>
  <c r="U28" i="36"/>
  <c r="Q28" i="36"/>
  <c r="M28" i="36"/>
  <c r="V20" i="36"/>
  <c r="V22" i="36" s="1"/>
  <c r="R20" i="36"/>
  <c r="R22" i="36" s="1"/>
  <c r="N20" i="36"/>
  <c r="N22" i="36" s="1"/>
  <c r="J20" i="36"/>
  <c r="J22" i="36" s="1"/>
  <c r="F20" i="36"/>
  <c r="F22" i="36" s="1"/>
  <c r="B20" i="36"/>
  <c r="B22" i="36" s="1"/>
  <c r="U14" i="36"/>
  <c r="Q14" i="36"/>
  <c r="M14" i="36"/>
  <c r="X13" i="36"/>
  <c r="W13" i="36"/>
  <c r="U13" i="36"/>
  <c r="T13" i="36"/>
  <c r="S13" i="36"/>
  <c r="Q13" i="36"/>
  <c r="P13" i="36"/>
  <c r="O13" i="36"/>
  <c r="M13" i="36"/>
  <c r="L13" i="36"/>
  <c r="K13" i="36"/>
  <c r="I13" i="36"/>
  <c r="H13" i="36"/>
  <c r="G13" i="36"/>
  <c r="G7" i="36"/>
  <c r="E13" i="36"/>
  <c r="D13" i="36"/>
  <c r="Y11" i="36"/>
  <c r="Y9" i="36"/>
  <c r="Y10" i="36"/>
  <c r="Y5" i="36"/>
  <c r="Y6" i="36"/>
  <c r="X7" i="36"/>
  <c r="W7" i="36"/>
  <c r="T7" i="36"/>
  <c r="S7" i="36"/>
  <c r="P7" i="36"/>
  <c r="P15" i="36" s="1"/>
  <c r="O7" i="36"/>
  <c r="L7" i="36"/>
  <c r="K7" i="36"/>
  <c r="H7" i="36"/>
  <c r="D7" i="36"/>
  <c r="C7" i="36"/>
  <c r="C15" i="36" s="1"/>
  <c r="U6" i="36"/>
  <c r="U5" i="36"/>
  <c r="Q6" i="36"/>
  <c r="Q5" i="36"/>
  <c r="M6" i="36"/>
  <c r="M5" i="36"/>
  <c r="I6" i="36"/>
  <c r="E6" i="36"/>
  <c r="E5" i="36"/>
  <c r="I5" i="36"/>
  <c r="H3" i="35"/>
  <c r="H3" i="34"/>
  <c r="Q47" i="33"/>
  <c r="Q33" i="33"/>
  <c r="N47" i="33"/>
  <c r="K47" i="33"/>
  <c r="K33" i="33"/>
  <c r="H47" i="33"/>
  <c r="E47" i="33"/>
  <c r="B47" i="33"/>
  <c r="B33" i="33"/>
  <c r="S33" i="33"/>
  <c r="H146" i="136"/>
  <c r="I25" i="131"/>
  <c r="H25" i="131"/>
  <c r="H133" i="136"/>
  <c r="H94" i="136"/>
  <c r="N33" i="33"/>
  <c r="H33" i="33"/>
  <c r="P33" i="33"/>
  <c r="M33" i="33"/>
  <c r="J33" i="33"/>
  <c r="G33" i="33"/>
  <c r="D33" i="33"/>
  <c r="C28" i="33"/>
  <c r="Q24" i="33"/>
  <c r="Q10" i="33"/>
  <c r="K24" i="33"/>
  <c r="H24" i="33"/>
  <c r="H66" i="136"/>
  <c r="H53" i="136"/>
  <c r="H40" i="136"/>
  <c r="G23" i="33"/>
  <c r="F23" i="33"/>
  <c r="H27" i="136" s="1"/>
  <c r="C23" i="33"/>
  <c r="H14" i="136" s="1"/>
  <c r="G22" i="33"/>
  <c r="F22" i="33"/>
  <c r="B24" i="33"/>
  <c r="B10" i="33"/>
  <c r="C20" i="33"/>
  <c r="H12" i="136" s="1"/>
  <c r="G25" i="131"/>
  <c r="H59" i="136"/>
  <c r="H55" i="136"/>
  <c r="H42" i="136"/>
  <c r="H29" i="136"/>
  <c r="G12" i="33"/>
  <c r="F12" i="33"/>
  <c r="H16" i="136" s="1"/>
  <c r="C12" i="33"/>
  <c r="H3" i="136" s="1"/>
  <c r="N10" i="33"/>
  <c r="K10" i="33"/>
  <c r="H10" i="33"/>
  <c r="E10" i="33"/>
  <c r="J10" i="33"/>
  <c r="G9" i="33"/>
  <c r="G10" i="33" s="1"/>
  <c r="F9" i="33"/>
  <c r="C9" i="33"/>
  <c r="C22" i="33"/>
  <c r="H13" i="136" s="1"/>
  <c r="F4" i="33"/>
  <c r="D4" i="33"/>
  <c r="D28" i="33" s="1"/>
  <c r="P42" i="36"/>
  <c r="L25" i="131"/>
  <c r="P50" i="117" l="1"/>
  <c r="P55" i="117" s="1"/>
  <c r="N25" i="33"/>
  <c r="D40" i="131"/>
  <c r="H147" i="136"/>
  <c r="H134" i="136"/>
  <c r="H82" i="136"/>
  <c r="H121" i="136"/>
  <c r="H108" i="136"/>
  <c r="H95" i="136"/>
  <c r="G147" i="136"/>
  <c r="G134" i="136"/>
  <c r="G121" i="136"/>
  <c r="G108" i="136"/>
  <c r="G95" i="136"/>
  <c r="G82" i="136"/>
  <c r="C22" i="131"/>
  <c r="C25" i="131" s="1"/>
  <c r="C33" i="131"/>
  <c r="C40" i="131" s="1"/>
  <c r="N48" i="33"/>
  <c r="H85" i="136"/>
  <c r="D42" i="36"/>
  <c r="B50" i="117"/>
  <c r="O33" i="117"/>
  <c r="R33" i="117" s="1"/>
  <c r="N20" i="117"/>
  <c r="O28" i="117"/>
  <c r="R28" i="117" s="1"/>
  <c r="O34" i="117"/>
  <c r="R34" i="117" s="1"/>
  <c r="O27" i="117"/>
  <c r="R27" i="117" s="1"/>
  <c r="O13" i="117"/>
  <c r="R13" i="117" s="1"/>
  <c r="O44" i="117"/>
  <c r="R44" i="117" s="1"/>
  <c r="O36" i="117"/>
  <c r="R36" i="117" s="1"/>
  <c r="O47" i="117"/>
  <c r="R47" i="117" s="1"/>
  <c r="O45" i="117"/>
  <c r="R45" i="117" s="1"/>
  <c r="O11" i="117"/>
  <c r="R11" i="117" s="1"/>
  <c r="H23" i="136"/>
  <c r="H61" i="136"/>
  <c r="H34" i="136"/>
  <c r="H39" i="136"/>
  <c r="H65" i="136"/>
  <c r="H25" i="136"/>
  <c r="H37" i="136"/>
  <c r="H48" i="136"/>
  <c r="H64" i="136"/>
  <c r="H60" i="136"/>
  <c r="H52" i="136"/>
  <c r="H49" i="136"/>
  <c r="H24" i="136"/>
  <c r="H36" i="136"/>
  <c r="H51" i="136"/>
  <c r="H35" i="136"/>
  <c r="H63" i="136"/>
  <c r="H21" i="136"/>
  <c r="H38" i="136"/>
  <c r="H22" i="136"/>
  <c r="H26" i="136"/>
  <c r="H50" i="136"/>
  <c r="H62" i="136"/>
  <c r="H47" i="136"/>
  <c r="H98" i="136"/>
  <c r="H89" i="136"/>
  <c r="H100" i="136"/>
  <c r="H139" i="136"/>
  <c r="H141" i="136"/>
  <c r="H103" i="136"/>
  <c r="H155" i="136"/>
  <c r="H104" i="136"/>
  <c r="R29" i="117"/>
  <c r="H90" i="136"/>
  <c r="H116" i="136"/>
  <c r="H152" i="136"/>
  <c r="H91" i="136"/>
  <c r="H153" i="136"/>
  <c r="H99" i="136"/>
  <c r="H130" i="136"/>
  <c r="H126" i="136"/>
  <c r="H113" i="136"/>
  <c r="H111" i="136"/>
  <c r="J25" i="131"/>
  <c r="H150" i="136"/>
  <c r="H143" i="136"/>
  <c r="H92" i="136"/>
  <c r="H157" i="136"/>
  <c r="H101" i="136"/>
  <c r="H129" i="136"/>
  <c r="H124" i="136"/>
  <c r="H151" i="136"/>
  <c r="H88" i="136"/>
  <c r="H117" i="136"/>
  <c r="H135" i="136"/>
  <c r="H123" i="136"/>
  <c r="H83" i="136"/>
  <c r="H148" i="136"/>
  <c r="H136" i="136"/>
  <c r="H96" i="136"/>
  <c r="H122" i="136"/>
  <c r="H149" i="136"/>
  <c r="H109" i="136"/>
  <c r="H97" i="136"/>
  <c r="H110" i="136"/>
  <c r="H84" i="136"/>
  <c r="H140" i="136"/>
  <c r="H86" i="136"/>
  <c r="H112" i="136"/>
  <c r="H128" i="136"/>
  <c r="H125" i="136"/>
  <c r="H87" i="136"/>
  <c r="H118" i="136"/>
  <c r="H137" i="136"/>
  <c r="H115" i="136"/>
  <c r="H142" i="136"/>
  <c r="H154" i="136"/>
  <c r="H156" i="136"/>
  <c r="H105" i="136"/>
  <c r="H144" i="136"/>
  <c r="S15" i="36"/>
  <c r="H102" i="136"/>
  <c r="H114" i="136"/>
  <c r="H131" i="136"/>
  <c r="H127" i="136"/>
  <c r="H138" i="136"/>
  <c r="H48" i="33"/>
  <c r="O33" i="33"/>
  <c r="H132" i="136"/>
  <c r="C10" i="33"/>
  <c r="H2" i="136"/>
  <c r="H67" i="136"/>
  <c r="C33" i="33"/>
  <c r="H80" i="136"/>
  <c r="F10" i="33"/>
  <c r="H15" i="136"/>
  <c r="H41" i="136"/>
  <c r="I10" i="33"/>
  <c r="H28" i="136"/>
  <c r="O10" i="33"/>
  <c r="H54" i="136"/>
  <c r="L33" i="33"/>
  <c r="H119" i="136"/>
  <c r="I33" i="33"/>
  <c r="H106" i="136"/>
  <c r="F33" i="33"/>
  <c r="H93" i="136"/>
  <c r="R33" i="33"/>
  <c r="H145" i="136"/>
  <c r="D36" i="129"/>
  <c r="D37" i="129" s="1"/>
  <c r="C42" i="36"/>
  <c r="L42" i="36"/>
  <c r="G151" i="136"/>
  <c r="G155" i="136"/>
  <c r="G138" i="136"/>
  <c r="G142" i="136"/>
  <c r="G149" i="136"/>
  <c r="G153" i="136"/>
  <c r="G157" i="136"/>
  <c r="G136" i="136"/>
  <c r="G140" i="136"/>
  <c r="G144" i="136"/>
  <c r="G123" i="136"/>
  <c r="G127" i="136"/>
  <c r="G131" i="136"/>
  <c r="G148" i="136"/>
  <c r="G156" i="136"/>
  <c r="G139" i="136"/>
  <c r="G122" i="136"/>
  <c r="G128" i="136"/>
  <c r="G112" i="136"/>
  <c r="G116" i="136"/>
  <c r="G99" i="136"/>
  <c r="G103" i="136"/>
  <c r="G86" i="136"/>
  <c r="G90" i="136"/>
  <c r="G150" i="136"/>
  <c r="G141" i="136"/>
  <c r="G124" i="136"/>
  <c r="G129" i="136"/>
  <c r="G109" i="136"/>
  <c r="G113" i="136"/>
  <c r="G117" i="136"/>
  <c r="G96" i="136"/>
  <c r="G100" i="136"/>
  <c r="G104" i="136"/>
  <c r="G83" i="136"/>
  <c r="G87" i="136"/>
  <c r="G91" i="136"/>
  <c r="G137" i="136"/>
  <c r="G111" i="136"/>
  <c r="G102" i="136"/>
  <c r="G89" i="136"/>
  <c r="G152" i="136"/>
  <c r="G135" i="136"/>
  <c r="G143" i="136"/>
  <c r="G125" i="136"/>
  <c r="G130" i="136"/>
  <c r="G110" i="136"/>
  <c r="G114" i="136"/>
  <c r="G118" i="136"/>
  <c r="G97" i="136"/>
  <c r="G101" i="136"/>
  <c r="G105" i="136"/>
  <c r="G84" i="136"/>
  <c r="G88" i="136"/>
  <c r="G92" i="136"/>
  <c r="G154" i="136"/>
  <c r="G126" i="136"/>
  <c r="G115" i="136"/>
  <c r="G98" i="136"/>
  <c r="G85" i="136"/>
  <c r="M7" i="36"/>
  <c r="M15" i="36" s="1"/>
  <c r="J50" i="117"/>
  <c r="L15" i="36"/>
  <c r="E25" i="33"/>
  <c r="Q33" i="36"/>
  <c r="Q42" i="36" s="1"/>
  <c r="H15" i="36"/>
  <c r="X15" i="36"/>
  <c r="G15" i="36"/>
  <c r="C48" i="119"/>
  <c r="C50" i="119" s="1"/>
  <c r="E25" i="131"/>
  <c r="Y13" i="36"/>
  <c r="E33" i="36"/>
  <c r="F48" i="119"/>
  <c r="F50" i="119" s="1"/>
  <c r="K25" i="131"/>
  <c r="D15" i="36"/>
  <c r="O15" i="36"/>
  <c r="L31" i="120"/>
  <c r="E36" i="129"/>
  <c r="E37" i="129" s="1"/>
  <c r="E42" i="36"/>
  <c r="E7" i="36"/>
  <c r="E15" i="36" s="1"/>
  <c r="Q7" i="36"/>
  <c r="Q15" i="36" s="1"/>
  <c r="Y7" i="36"/>
  <c r="Y15" i="36" s="1"/>
  <c r="H42" i="36"/>
  <c r="B31" i="120"/>
  <c r="H36" i="129"/>
  <c r="L50" i="117"/>
  <c r="R14" i="117"/>
  <c r="N33" i="129"/>
  <c r="L48" i="119"/>
  <c r="I33" i="36"/>
  <c r="K31" i="120"/>
  <c r="F31" i="120"/>
  <c r="E31" i="120"/>
  <c r="B36" i="129"/>
  <c r="B37" i="129" s="1"/>
  <c r="F47" i="33"/>
  <c r="M36" i="129"/>
  <c r="L36" i="129"/>
  <c r="N14" i="120"/>
  <c r="O38" i="134"/>
  <c r="I50" i="117"/>
  <c r="C24" i="33"/>
  <c r="G47" i="33"/>
  <c r="G48" i="33" s="1"/>
  <c r="P47" i="33"/>
  <c r="P48" i="33" s="1"/>
  <c r="O47" i="33"/>
  <c r="L47" i="33"/>
  <c r="M48" i="119"/>
  <c r="E48" i="119"/>
  <c r="E50" i="119" s="1"/>
  <c r="G48" i="119"/>
  <c r="G50" i="119" s="1"/>
  <c r="J48" i="119"/>
  <c r="D48" i="119"/>
  <c r="D50" i="119" s="1"/>
  <c r="K48" i="119"/>
  <c r="Q25" i="33"/>
  <c r="J47" i="33"/>
  <c r="J48" i="33" s="1"/>
  <c r="R47" i="33"/>
  <c r="C31" i="120"/>
  <c r="I36" i="129"/>
  <c r="D50" i="117"/>
  <c r="G50" i="117"/>
  <c r="Q50" i="117"/>
  <c r="I47" i="33"/>
  <c r="M47" i="33"/>
  <c r="M48" i="33" s="1"/>
  <c r="N24" i="117"/>
  <c r="G24" i="33"/>
  <c r="G25" i="33" s="1"/>
  <c r="B25" i="33"/>
  <c r="Q48" i="33"/>
  <c r="I7" i="36"/>
  <c r="I15" i="36" s="1"/>
  <c r="T15" i="36"/>
  <c r="Y33" i="36"/>
  <c r="Y42" i="36" s="1"/>
  <c r="M40" i="36"/>
  <c r="H48" i="119"/>
  <c r="M31" i="120"/>
  <c r="I31" i="120"/>
  <c r="N22" i="120"/>
  <c r="C36" i="129"/>
  <c r="C37" i="129" s="1"/>
  <c r="J36" i="129"/>
  <c r="G36" i="129"/>
  <c r="G37" i="129" s="1"/>
  <c r="K36" i="129"/>
  <c r="H25" i="33"/>
  <c r="E50" i="117"/>
  <c r="N28" i="120"/>
  <c r="O24" i="33"/>
  <c r="K48" i="33"/>
  <c r="W15" i="36"/>
  <c r="G42" i="36"/>
  <c r="U33" i="36"/>
  <c r="U42" i="36" s="1"/>
  <c r="J31" i="120"/>
  <c r="F50" i="117"/>
  <c r="M50" i="117"/>
  <c r="O20" i="117"/>
  <c r="S47" i="33"/>
  <c r="S48" i="33" s="1"/>
  <c r="K15" i="36"/>
  <c r="S42" i="36"/>
  <c r="W42" i="36"/>
  <c r="I40" i="36"/>
  <c r="I42" i="36" s="1"/>
  <c r="N18" i="120"/>
  <c r="D31" i="120"/>
  <c r="N41" i="117"/>
  <c r="K50" i="117"/>
  <c r="I4" i="33"/>
  <c r="F28" i="33"/>
  <c r="G4" i="33"/>
  <c r="G28" i="33" s="1"/>
  <c r="N28" i="129"/>
  <c r="N17" i="129"/>
  <c r="M33" i="36"/>
  <c r="K42" i="36"/>
  <c r="K25" i="33"/>
  <c r="U7" i="36"/>
  <c r="U15" i="36" s="1"/>
  <c r="D24" i="33"/>
  <c r="D25" i="33" s="1"/>
  <c r="C50" i="117"/>
  <c r="F36" i="129"/>
  <c r="F37" i="129" s="1"/>
  <c r="R46" i="117"/>
  <c r="J24" i="33"/>
  <c r="J25" i="33" s="1"/>
  <c r="P24" i="33"/>
  <c r="P25" i="33" s="1"/>
  <c r="E48" i="33"/>
  <c r="B48" i="33"/>
  <c r="H31" i="120"/>
  <c r="O31" i="134"/>
  <c r="F24" i="33"/>
  <c r="I24" i="33"/>
  <c r="D47" i="33"/>
  <c r="D48" i="33" s="1"/>
  <c r="C47" i="33"/>
  <c r="N48" i="117"/>
  <c r="R40" i="117"/>
  <c r="O41" i="117"/>
  <c r="R41" i="117" s="1"/>
  <c r="R35" i="117"/>
  <c r="N37" i="117"/>
  <c r="N30" i="117"/>
  <c r="H50" i="117"/>
  <c r="R23" i="117"/>
  <c r="R24" i="117"/>
  <c r="R12" i="117"/>
  <c r="B25" i="131"/>
  <c r="G31" i="120"/>
  <c r="N24" i="129"/>
  <c r="R24" i="33"/>
  <c r="S24" i="33"/>
  <c r="S25" i="33" s="1"/>
  <c r="N50" i="117" l="1"/>
  <c r="O30" i="117"/>
  <c r="R30" i="117" s="1"/>
  <c r="B40" i="131"/>
  <c r="R48" i="33"/>
  <c r="O48" i="117"/>
  <c r="R48" i="117" s="1"/>
  <c r="O37" i="117"/>
  <c r="R37" i="117" s="1"/>
  <c r="O16" i="117"/>
  <c r="R16" i="117" s="1"/>
  <c r="C25" i="33"/>
  <c r="C48" i="33"/>
  <c r="O25" i="33"/>
  <c r="R25" i="33"/>
  <c r="L48" i="33"/>
  <c r="I25" i="33"/>
  <c r="F25" i="33"/>
  <c r="F48" i="33"/>
  <c r="O48" i="33"/>
  <c r="I48" i="33"/>
  <c r="N37" i="129"/>
  <c r="M42" i="36"/>
  <c r="N31" i="120"/>
  <c r="J4" i="33"/>
  <c r="J28" i="33" s="1"/>
  <c r="I28" i="33"/>
  <c r="L4" i="33"/>
  <c r="N36" i="129"/>
  <c r="O50" i="117" l="1"/>
  <c r="R50" i="117" s="1"/>
  <c r="M4" i="33"/>
  <c r="M28" i="33" s="1"/>
  <c r="O4" i="33"/>
  <c r="L28" i="33"/>
  <c r="O28" i="33" l="1"/>
  <c r="P4" i="33"/>
  <c r="P28" i="33" s="1"/>
  <c r="R4" i="33"/>
  <c r="S4" i="33" l="1"/>
  <c r="S28" i="33" s="1"/>
  <c r="R28" i="33"/>
</calcChain>
</file>

<file path=xl/sharedStrings.xml><?xml version="1.0" encoding="utf-8"?>
<sst xmlns="http://schemas.openxmlformats.org/spreadsheetml/2006/main" count="1286" uniqueCount="326">
  <si>
    <t>Group</t>
  </si>
  <si>
    <t>Program</t>
  </si>
  <si>
    <t>Desc</t>
  </si>
  <si>
    <t>Type</t>
  </si>
  <si>
    <t>Period</t>
  </si>
  <si>
    <t>Month</t>
  </si>
  <si>
    <t>Service Accounts</t>
  </si>
  <si>
    <t>Ex Ante Estimated MW</t>
  </si>
  <si>
    <t>BIP - (20 minute option)</t>
  </si>
  <si>
    <t>c</t>
  </si>
  <si>
    <t>Jan</t>
  </si>
  <si>
    <t>CPP-D (Large and Medium customers)</t>
  </si>
  <si>
    <t xml:space="preserve">Armed Forces Pilot </t>
  </si>
  <si>
    <t>Active but no participants</t>
  </si>
  <si>
    <t>Over Generation Pilot</t>
  </si>
  <si>
    <t>Small Business Energy Management Pilot</t>
  </si>
  <si>
    <t>Closed</t>
  </si>
  <si>
    <t>AC Saver Day-Ahead Residential</t>
  </si>
  <si>
    <t>Thermostats</t>
  </si>
  <si>
    <t>r</t>
  </si>
  <si>
    <t>AC Saver Day-Ahead Commercial</t>
  </si>
  <si>
    <t>AC Saver Day-Of Residential</t>
  </si>
  <si>
    <t>Switches</t>
  </si>
  <si>
    <t>AC Saver Day-Of Commercial</t>
  </si>
  <si>
    <t xml:space="preserve">CBP - Day-Ahead </t>
  </si>
  <si>
    <t xml:space="preserve">CBP - Day-Of </t>
  </si>
  <si>
    <t>TOU-A-P Small Commercial</t>
  </si>
  <si>
    <t>TOU-DR-P Voluntary Residential</t>
  </si>
  <si>
    <t>Feb</t>
  </si>
  <si>
    <t>Mar</t>
  </si>
  <si>
    <t>Apr</t>
  </si>
  <si>
    <t>May</t>
  </si>
  <si>
    <t>Jun</t>
  </si>
  <si>
    <t>Jul</t>
  </si>
  <si>
    <t>Aug</t>
  </si>
  <si>
    <t>Sep</t>
  </si>
  <si>
    <t>Oct</t>
  </si>
  <si>
    <t>Nov</t>
  </si>
  <si>
    <t>Dec</t>
  </si>
  <si>
    <t xml:space="preserve">SAN DIEGO GAS &amp; ELECTRIC COMPANY REPORT ON INTERRUPTIBLE LOAD AND DEMAND RESPONSE PROGRAMS </t>
  </si>
  <si>
    <t>SUBSCRIPTION STATISTICS - ENROLLED MWs</t>
  </si>
  <si>
    <t>June 2020</t>
  </si>
  <si>
    <t>January</t>
  </si>
  <si>
    <t>February</t>
  </si>
  <si>
    <t>March</t>
  </si>
  <si>
    <t>April</t>
  </si>
  <si>
    <t>June</t>
  </si>
  <si>
    <t>Programs</t>
  </si>
  <si>
    <t xml:space="preserve">Service Accounts </t>
  </si>
  <si>
    <r>
      <t xml:space="preserve">Ex Ante Estimated MW </t>
    </r>
    <r>
      <rPr>
        <vertAlign val="superscript"/>
        <sz val="11"/>
        <color rgb="FFFF0000"/>
        <rFont val="Arial"/>
        <family val="2"/>
      </rPr>
      <t>1</t>
    </r>
  </si>
  <si>
    <r>
      <t xml:space="preserve">Ex Post Estimated MW </t>
    </r>
    <r>
      <rPr>
        <vertAlign val="superscript"/>
        <sz val="11"/>
        <color rgb="FFFF0000"/>
        <rFont val="Arial"/>
        <family val="2"/>
      </rPr>
      <t>2</t>
    </r>
  </si>
  <si>
    <t>Eligible Accounts as of Aug 31, 2012</t>
  </si>
  <si>
    <t>Interruptible/Reliability</t>
  </si>
  <si>
    <t xml:space="preserve">  Sub-Total Interruptible</t>
  </si>
  <si>
    <t>Demand Response Programs</t>
  </si>
  <si>
    <r>
      <t>Armed Forces Pilot</t>
    </r>
    <r>
      <rPr>
        <vertAlign val="superscript"/>
        <sz val="9"/>
        <rFont val="Arial"/>
        <family val="2"/>
      </rPr>
      <t xml:space="preserve"> </t>
    </r>
    <r>
      <rPr>
        <vertAlign val="superscript"/>
        <sz val="9"/>
        <color rgb="FFFF0000"/>
        <rFont val="Arial"/>
        <family val="2"/>
      </rPr>
      <t>3</t>
    </r>
  </si>
  <si>
    <r>
      <t xml:space="preserve">Over Generation Pilot </t>
    </r>
    <r>
      <rPr>
        <vertAlign val="superscript"/>
        <sz val="10"/>
        <color rgb="FFFF0000"/>
        <rFont val="Arial"/>
        <family val="2"/>
      </rPr>
      <t>4</t>
    </r>
  </si>
  <si>
    <t>TOU-PA-P Agricultural</t>
  </si>
  <si>
    <t xml:space="preserve"> </t>
  </si>
  <si>
    <t>Sub-Total Demand Response Programs</t>
  </si>
  <si>
    <t>Total All Programs</t>
  </si>
  <si>
    <t>July</t>
  </si>
  <si>
    <t xml:space="preserve">August </t>
  </si>
  <si>
    <t xml:space="preserve">September </t>
  </si>
  <si>
    <t>October</t>
  </si>
  <si>
    <t xml:space="preserve">November </t>
  </si>
  <si>
    <t>December</t>
  </si>
  <si>
    <t xml:space="preserve">Ex Ante Estimated MW </t>
  </si>
  <si>
    <t xml:space="preserve">Ex Post Estimated MW </t>
  </si>
  <si>
    <t>Notes:</t>
  </si>
  <si>
    <r>
      <rPr>
        <vertAlign val="superscript"/>
        <sz val="11"/>
        <color rgb="FFFF0000"/>
        <rFont val="Arial"/>
        <family val="2"/>
      </rPr>
      <t>1</t>
    </r>
    <r>
      <rPr>
        <sz val="11"/>
        <rFont val="Arial"/>
        <family val="2"/>
      </rPr>
      <t xml:space="preserve">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r>
  </si>
  <si>
    <r>
      <rPr>
        <vertAlign val="superscript"/>
        <sz val="11"/>
        <color rgb="FFFF0000"/>
        <rFont val="Arial"/>
        <family val="2"/>
      </rPr>
      <t>2</t>
    </r>
    <r>
      <rPr>
        <sz val="11"/>
        <rFont val="Arial"/>
        <family val="2"/>
      </rPr>
      <t xml:space="preserve">  The Ex-Post average per customer are based on Program Year 2018 SDG&amp;E DR Load Impacts report filed April 2, 2019 for the months of January and February. The Ex-Post average per customer are based on Program Year 2019 SDG&amp;E DR Load Impacts report filed  April 1, 2020 for the months of March through December for BIP, CBP Day Ahead and Day Of, AC Saver Day Ahead and Day Of and OverGen. Please note; SDGE did not triggered CPPD, TOU-PA-P, TOU-A-P, TOU-DR-P, therefore, the Ex-Post average per customer are based on Program Year 2018 SDG&amp;E DR Load Impacts report filed April 2, 2019 for the months of January through December.</t>
    </r>
  </si>
  <si>
    <r>
      <rPr>
        <vertAlign val="superscript"/>
        <sz val="11"/>
        <color rgb="FFFF0000"/>
        <rFont val="Arial"/>
        <family val="2"/>
      </rPr>
      <t xml:space="preserve">3 </t>
    </r>
    <r>
      <rPr>
        <vertAlign val="superscript"/>
        <sz val="11"/>
        <rFont val="Arial"/>
        <family val="2"/>
      </rPr>
      <t xml:space="preserve"> </t>
    </r>
    <r>
      <rPr>
        <sz val="11"/>
        <rFont val="Arial"/>
        <family val="2"/>
      </rPr>
      <t xml:space="preserve">On March 27, 2020 SDG&amp;E filed Advice Letter 3522-E (Tier 3) proposed to close the Armed Forces Pilot. SDG&amp;E is awaiting a Decision.  </t>
    </r>
  </si>
  <si>
    <r>
      <rPr>
        <vertAlign val="superscript"/>
        <sz val="11"/>
        <color rgb="FFFF0000"/>
        <rFont val="Arial"/>
        <family val="2"/>
      </rPr>
      <t xml:space="preserve">4 </t>
    </r>
    <r>
      <rPr>
        <vertAlign val="superscript"/>
        <sz val="11"/>
        <rFont val="Arial"/>
        <family val="2"/>
      </rPr>
      <t xml:space="preserve"> </t>
    </r>
    <r>
      <rPr>
        <sz val="11"/>
        <rFont val="Arial"/>
        <family val="2"/>
      </rPr>
      <t xml:space="preserve">On March 27, 2020 SDG&amp;E filed Advice Letter 3522-E (Tier 3) proposed to close the Over Generation Pilot. SDG&amp;E is awaiting a Decision.  </t>
    </r>
  </si>
  <si>
    <t>- Capacity Bidding Program reports the number of nominations not enrollments.</t>
  </si>
  <si>
    <t>- The number of customers enrolled in AC Saver day-ahead declined in April because SDG&amp;E has disenrolled  customers whose thermostat has been offline for more than 1 1/2 years.</t>
  </si>
  <si>
    <t>(End of page)</t>
  </si>
  <si>
    <t>Average Ex Ante Load Impact kW / Customer</t>
  </si>
  <si>
    <t>August</t>
  </si>
  <si>
    <t>September</t>
  </si>
  <si>
    <t>November</t>
  </si>
  <si>
    <t>Eligible Accounts as of January</t>
  </si>
  <si>
    <t>Eligibility Criteria (Refer to tariff for specifics)</t>
  </si>
  <si>
    <t>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t>
  </si>
  <si>
    <t>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</si>
  <si>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</si>
  <si>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t>
  </si>
  <si>
    <t>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t>
  </si>
  <si>
    <t xml:space="preserve">This schedule is available to commercial and industrial Utility customers receiving Bundled Utility service, Direct Access (“DA”) service or Community Choice Aggregation (“CCA”) service, and being billed on a Utility commercial, industrial or agricultural rate schedule. </t>
  </si>
  <si>
    <t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t>
  </si>
  <si>
    <t>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t>
  </si>
  <si>
    <t>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t>
  </si>
  <si>
    <t xml:space="preserve">A customer is required to be in SDGE’s updated AL-TOU rate and have enough over generation to maximize the utilization of the distributed storage unit. </t>
  </si>
  <si>
    <r>
      <rPr>
        <vertAlign val="superscript"/>
        <sz val="11"/>
        <color rgb="FFFF0000"/>
        <rFont val="Arial"/>
        <family val="2"/>
      </rPr>
      <t>4</t>
    </r>
    <r>
      <rPr>
        <vertAlign val="superscript"/>
        <sz val="11"/>
        <rFont val="Arial"/>
        <family val="2"/>
      </rPr>
      <t xml:space="preserve"> </t>
    </r>
    <r>
      <rPr>
        <sz val="11"/>
        <rFont val="Arial"/>
        <family val="2"/>
      </rPr>
      <t>This footnote is linked to footnote no. 4 in the "Program MW" tab.</t>
    </r>
  </si>
  <si>
    <t>- The Ex-Ante average per customer are based on Program Year 2018 SDG&amp;E DR Load Impacts report filed April 2, 2019 for the months of January and February. The Ex-Ante average per customer are based on Program Year 2019 SDG&amp;E DR Load Impacts report filed April 1st, 2020 for the months of March through December.</t>
  </si>
  <si>
    <t>-  The Estimated Average Ex-Ante Load Impact kW/Customer = Average kW / Customer, under 1-in-2 weather conditions, of an event that would occur from 4 - 9 pm year around.</t>
  </si>
  <si>
    <t>-  The Resource Adequacy measurement hours were modified to HE17-HE21 (4:00 p.m. – 9:00 p.m.) for each month of the year beginning in 2019.</t>
  </si>
  <si>
    <t>-  CPP-D (Large and Medium customers Program Year 2018 Ex-Ante per customer impacts received negative estimates for the months of January-February. Therefore, the estimates are showing as zero.</t>
  </si>
  <si>
    <t>-  CPP-D, TOU-DR-P (Voluntary Residential) and TOU-A-P (Small Commercial) include Technology Deployment (TD).</t>
  </si>
  <si>
    <t> </t>
  </si>
  <si>
    <t>Average Ex Post Load Impact kW / Customer</t>
  </si>
  <si>
    <t xml:space="preserve">Notes: </t>
  </si>
  <si>
    <t>-  The Ex-Post average per customer are based on Program Year 2018 SDG&amp;E DR Load Impacts report filed April 2, 2019 for the months of January and February. The Ex-Post average per customer are based on Program Year 2019 SDG&amp;E DR Load Impacts report filed April 1st, 2020 for the months of March through December for BIP, CBP Day Ahead and Day Of, AC Saver Day Ahead and Day Of and OverGen.Please note; SDGE did not triggered CPPD, TOU-PA-P, TOU-A-P, TOU-DR-P, therefore, the Ex-Post average per customer are based on Program Year 2018 SDG&amp;E DR Load Impacts report filed April 2, 2019 for the months of January through December.</t>
  </si>
  <si>
    <t xml:space="preserve">-  Estimated Average Ex-Post Load Impact kW / Customer = Average kW / Customer service account over all actual event hours for the preceding year if events occurred. </t>
  </si>
  <si>
    <t>Detailed Breakdown of MWs To Date in TA/Auto DR/TI Programs (A)</t>
  </si>
  <si>
    <t>Price Responsive</t>
  </si>
  <si>
    <t>TA Identified MWs</t>
  </si>
  <si>
    <t>Auto DR Verified MWs</t>
  </si>
  <si>
    <t>TI Verified MWs</t>
  </si>
  <si>
    <t>Total Technology MWs</t>
  </si>
  <si>
    <t>CPP-D</t>
  </si>
  <si>
    <t>CBP</t>
  </si>
  <si>
    <t>Total</t>
  </si>
  <si>
    <t>BIP</t>
  </si>
  <si>
    <t>SLRP</t>
  </si>
  <si>
    <t>General Program</t>
  </si>
  <si>
    <t>TA (may also be enrolled in TI and AutoDR)</t>
  </si>
  <si>
    <t>Total TA MWs</t>
  </si>
  <si>
    <t>AMP</t>
  </si>
  <si>
    <t>DBP</t>
  </si>
  <si>
    <t>Peak Choice - Best Effort</t>
  </si>
  <si>
    <t>Peak Choice - Committed</t>
  </si>
  <si>
    <t xml:space="preserve">CPP-D </t>
  </si>
  <si>
    <t>OBMC</t>
  </si>
  <si>
    <t>ddd</t>
  </si>
  <si>
    <t>·         TA Identified MW</t>
  </si>
  <si>
    <t>Represents identified MW for service accounts from completed TA in accumulative value (may or may not be enrolled in DR).</t>
  </si>
  <si>
    <t>·         AutoDR Verified MW</t>
  </si>
  <si>
    <t>Represents verified/tested MW for service accounts from complete TI (i.e. must be enrolled in DR) and must be Auto DR in accumulative value.</t>
  </si>
  <si>
    <t>·         TI Verified MW</t>
  </si>
  <si>
    <t>Represents verified MW for service accounts from completed TI (i.e. must be enrolled in DR) but not AutoDR in accumulative value; MW reported here not necessarily amount enrolled in DR.</t>
  </si>
  <si>
    <t>·         Total Technology MW</t>
  </si>
  <si>
    <t>Represents the sum of verified MW associated with the service accounts from the completed TI (i.e. must be enrolled in DR), including Auto DR and non-Auto DR.</t>
  </si>
  <si>
    <t>Auto-DR (TI) and Technology Deployment (TD)  Programs Breakdown of MWs</t>
  </si>
  <si>
    <t xml:space="preserve">May </t>
  </si>
  <si>
    <t>Eligible Programs</t>
  </si>
  <si>
    <t xml:space="preserve">Auto DR Verified MWs </t>
  </si>
  <si>
    <t>AFP</t>
  </si>
  <si>
    <t>DRAM</t>
  </si>
  <si>
    <t>-  Auto DR Verified MWs: Represent the verified/tested MW for service accounts from completed TI (i.e. must be enrolled in DR).</t>
  </si>
  <si>
    <t>Technology Deployment- Residential MWs</t>
  </si>
  <si>
    <t>-  Technology Deployment (TD) Verified MWs: Represents the average load reduction expected on an event day based on the ex-post results for customers with qualifying technology.</t>
  </si>
  <si>
    <t>Technology Deployment- Commercial MWs</t>
  </si>
  <si>
    <t xml:space="preserve">Technology Deployment- Commercial MWs </t>
  </si>
  <si>
    <t>MARKETING, EDUCATION &amp; OUTREACH</t>
  </si>
  <si>
    <t>2020 Expenditures for Marketing, Education and Outreach</t>
  </si>
  <si>
    <t>Year-to Date 2020 Expenditures</t>
  </si>
  <si>
    <t>Program Cycle-to Date 2018-2020 Expenditures</t>
  </si>
  <si>
    <r>
      <t xml:space="preserve">Authorized Budget (if Applicable) </t>
    </r>
    <r>
      <rPr>
        <b/>
        <vertAlign val="superscript"/>
        <sz val="10"/>
        <color rgb="FFFF0000"/>
        <rFont val="Calibri"/>
        <family val="2"/>
      </rPr>
      <t>1</t>
    </r>
  </si>
  <si>
    <t xml:space="preserve">October </t>
  </si>
  <si>
    <t>Carryover Expenditures to Date 2012 - 2014</t>
  </si>
  <si>
    <t>I. UTILITY MARKETING BY ACTIVITY</t>
  </si>
  <si>
    <r>
      <t>PROGRAMS, RATES &amp; ACTIVITES WHICH DO NOT REQUIRE ITEMIZED ACCOUNTING</t>
    </r>
    <r>
      <rPr>
        <b/>
        <vertAlign val="superscript"/>
        <sz val="10"/>
        <rFont val="Arial"/>
        <family val="2"/>
      </rPr>
      <t xml:space="preserve"> </t>
    </r>
  </si>
  <si>
    <t xml:space="preserve">Local IDSM Marketing </t>
  </si>
  <si>
    <t>Base Interruptible Program</t>
  </si>
  <si>
    <t xml:space="preserve">Back Up Generators (BUGs) </t>
  </si>
  <si>
    <t>Capacity Bidding Program</t>
  </si>
  <si>
    <t>AC Saver Day Ahead</t>
  </si>
  <si>
    <t>AC Saver Day Of</t>
  </si>
  <si>
    <t>Technology Deployment</t>
  </si>
  <si>
    <t xml:space="preserve">Technology Incentives </t>
  </si>
  <si>
    <r>
      <t xml:space="preserve">CPP-D </t>
    </r>
    <r>
      <rPr>
        <vertAlign val="superscript"/>
        <sz val="11"/>
        <color rgb="FFFF0000"/>
        <rFont val="Arial"/>
        <family val="2"/>
      </rPr>
      <t>2</t>
    </r>
  </si>
  <si>
    <r>
      <t>Smart Pricing</t>
    </r>
    <r>
      <rPr>
        <vertAlign val="superscript"/>
        <sz val="10"/>
        <color rgb="FFFF0000"/>
        <rFont val="Arial"/>
        <family val="2"/>
      </rPr>
      <t xml:space="preserve"> </t>
    </r>
    <r>
      <rPr>
        <sz val="10"/>
        <rFont val="Arial"/>
        <family val="2"/>
      </rPr>
      <t xml:space="preserve"> </t>
    </r>
    <r>
      <rPr>
        <vertAlign val="superscript"/>
        <sz val="11"/>
        <color rgb="FFFF0000"/>
        <rFont val="Arial"/>
        <family val="2"/>
      </rPr>
      <t>2</t>
    </r>
  </si>
  <si>
    <t xml:space="preserve">Small Customer Technology Deployment (SCTD) </t>
  </si>
  <si>
    <t xml:space="preserve">Small Business Energy Management Pilot (SBEMP) </t>
  </si>
  <si>
    <t>I. TOTAL UTILITY MARKETING BY ACTIVITY</t>
  </si>
  <si>
    <t xml:space="preserve">II. UTILITY MARKETING BY ITEMIZED COST </t>
  </si>
  <si>
    <t>Customer Research</t>
  </si>
  <si>
    <r>
      <t xml:space="preserve">Collateral- Development, Printing, Distribution etc. (all non-labor costs) </t>
    </r>
    <r>
      <rPr>
        <vertAlign val="superscript"/>
        <sz val="11"/>
        <color rgb="FFFF0000"/>
        <rFont val="Arial"/>
        <family val="2"/>
      </rPr>
      <t>2</t>
    </r>
  </si>
  <si>
    <t>Labor</t>
  </si>
  <si>
    <t xml:space="preserve">Paid Media </t>
  </si>
  <si>
    <t xml:space="preserve">Other Costs </t>
  </si>
  <si>
    <t xml:space="preserve">II. TOTAL UTILITY MARKETING BY ITEMIZED COST </t>
  </si>
  <si>
    <t>III. UTILITY MARKETING BY CUSTOMER SEGMENT</t>
  </si>
  <si>
    <r>
      <t>Agricultural</t>
    </r>
    <r>
      <rPr>
        <vertAlign val="superscript"/>
        <sz val="10"/>
        <color rgb="FFFF0000"/>
        <rFont val="Arial"/>
        <family val="2"/>
      </rPr>
      <t xml:space="preserve"> </t>
    </r>
  </si>
  <si>
    <t xml:space="preserve">Large Commercial and Industrial </t>
  </si>
  <si>
    <t xml:space="preserve">Small and Medium Commercial </t>
  </si>
  <si>
    <t xml:space="preserve">Residential </t>
  </si>
  <si>
    <t>III. TOTAL UTILITY MARKETING BY CUSTOMER SEGMENT</t>
  </si>
  <si>
    <r>
      <rPr>
        <vertAlign val="superscript"/>
        <sz val="11"/>
        <color rgb="FFFF0000"/>
        <rFont val="Arial"/>
        <family val="2"/>
      </rPr>
      <t xml:space="preserve">1 </t>
    </r>
    <r>
      <rPr>
        <sz val="11"/>
        <rFont val="Arial"/>
        <family val="2"/>
      </rPr>
      <t>LME&amp;O Approved Budget is a Five (5) Year Program Cycle 2018-2022 with the exception of Local IDSM Marketing which is funded per the approved Advice Letter 3267-E-A/2700-G-A.</t>
    </r>
  </si>
  <si>
    <r>
      <rPr>
        <vertAlign val="superscript"/>
        <sz val="11"/>
        <color rgb="FFFF0000"/>
        <rFont val="Arial"/>
        <family val="2"/>
      </rPr>
      <t>2</t>
    </r>
    <r>
      <rPr>
        <sz val="11"/>
        <rFont val="Arial"/>
        <family val="2"/>
      </rPr>
      <t xml:space="preserve"> March credits are related to Journal Entries to move charges to correct program Interal Orders.</t>
    </r>
  </si>
  <si>
    <t xml:space="preserve">SAN DIEGO GAS &amp; ELECTRIC REPORT COMPANY ON INTERRUPTIBLE LOAD AND DEMAND RESPONSE PROGRAMS </t>
  </si>
  <si>
    <t>YEAR TO DATE PROGRAM EXPENDITURES</t>
  </si>
  <si>
    <t>Cost Item</t>
  </si>
  <si>
    <t>Program Cycle-to-Date Total Expenditures (2018-2020)</t>
  </si>
  <si>
    <t>5-Year Funding (2018-2022)</t>
  </si>
  <si>
    <t xml:space="preserve">Fund shift Adjustments </t>
  </si>
  <si>
    <t>Percent Funding</t>
  </si>
  <si>
    <t>Category 1: Supply Side DR Programs</t>
  </si>
  <si>
    <t>AC Saver Day-Ahead</t>
  </si>
  <si>
    <t xml:space="preserve">AC Saver Day-Of </t>
  </si>
  <si>
    <t xml:space="preserve">Base Interruptible Program (BIP) </t>
  </si>
  <si>
    <r>
      <t xml:space="preserve">Capacity Bidding Program (CBP) </t>
    </r>
    <r>
      <rPr>
        <vertAlign val="superscript"/>
        <sz val="10"/>
        <color rgb="FFFF0000"/>
        <rFont val="Arial"/>
        <family val="2"/>
      </rPr>
      <t>4</t>
    </r>
  </si>
  <si>
    <r>
      <t>Peak Time Rebate (PTR)</t>
    </r>
    <r>
      <rPr>
        <vertAlign val="superscript"/>
        <sz val="10"/>
        <color rgb="FFFF0000"/>
        <rFont val="Arial"/>
        <family val="2"/>
      </rPr>
      <t xml:space="preserve"> </t>
    </r>
  </si>
  <si>
    <t xml:space="preserve"> Budget Category 1 Total</t>
  </si>
  <si>
    <t>Category 2:  Load Modifying Demand Response Program</t>
  </si>
  <si>
    <t xml:space="preserve"> Budget Category 2 Total</t>
  </si>
  <si>
    <t>Category 3:  Demand Response Auction Mechanism (DRAM)</t>
  </si>
  <si>
    <t>Demand Response Auction Mechanism Pilot (DRAM)</t>
  </si>
  <si>
    <t xml:space="preserve"> Budget Category 3 Total</t>
  </si>
  <si>
    <t>Category 4:  Emerging &amp; Enabling Technologies</t>
  </si>
  <si>
    <t>Emerging Technology (ET)</t>
  </si>
  <si>
    <t xml:space="preserve">Technology Deployment (TD) </t>
  </si>
  <si>
    <t xml:space="preserve">Technology Incentives (TI) </t>
  </si>
  <si>
    <t xml:space="preserve"> Budget Category 4 Total</t>
  </si>
  <si>
    <t xml:space="preserve">Category 5:  Pilots </t>
  </si>
  <si>
    <t xml:space="preserve">Armed Forces Pilot (AFP) </t>
  </si>
  <si>
    <t xml:space="preserve">Constrained Local Capacity Program (CLCP) </t>
  </si>
  <si>
    <t xml:space="preserve">   Over Generation Pilot (OGP)</t>
  </si>
  <si>
    <t xml:space="preserve">   Small Business Energy Management Pilot (SBEMP)</t>
  </si>
  <si>
    <r>
      <t xml:space="preserve"> Budget Category 5 Total </t>
    </r>
    <r>
      <rPr>
        <b/>
        <vertAlign val="superscript"/>
        <sz val="10"/>
        <color rgb="FFFF0000"/>
        <rFont val="Arial"/>
        <family val="2"/>
      </rPr>
      <t>5</t>
    </r>
  </si>
  <si>
    <t>Category 6:  Marketing, Education, and Outreach</t>
  </si>
  <si>
    <r>
      <t xml:space="preserve">Local Marketing Education &amp; Outreach (LME&amp;O) </t>
    </r>
    <r>
      <rPr>
        <vertAlign val="superscript"/>
        <sz val="10"/>
        <color rgb="FFFF0000"/>
        <rFont val="Arial"/>
        <family val="2"/>
      </rPr>
      <t>1</t>
    </r>
  </si>
  <si>
    <t xml:space="preserve"> Budget Category 6 Total</t>
  </si>
  <si>
    <t>Category 7:  Portfolio Support</t>
  </si>
  <si>
    <t>Regulatory Policy &amp; Program Support (Gen. Admin.)</t>
  </si>
  <si>
    <r>
      <t>IT Infrastructure &amp; Systems Support</t>
    </r>
    <r>
      <rPr>
        <vertAlign val="superscript"/>
        <sz val="10"/>
        <rFont val="Arial"/>
        <family val="2"/>
      </rPr>
      <t xml:space="preserve"> </t>
    </r>
    <r>
      <rPr>
        <vertAlign val="superscript"/>
        <sz val="10"/>
        <color rgb="FFFF0000"/>
        <rFont val="Arial"/>
        <family val="2"/>
      </rPr>
      <t>2</t>
    </r>
  </si>
  <si>
    <r>
      <t xml:space="preserve">EM&amp;V </t>
    </r>
    <r>
      <rPr>
        <vertAlign val="superscript"/>
        <sz val="10"/>
        <color rgb="FFFF0000"/>
        <rFont val="Arial"/>
        <family val="2"/>
      </rPr>
      <t>3</t>
    </r>
  </si>
  <si>
    <t>DR Potential Study</t>
  </si>
  <si>
    <t xml:space="preserve"> Budget Category 7 Total</t>
  </si>
  <si>
    <t>Total Incremental Cost</t>
  </si>
  <si>
    <r>
      <rPr>
        <vertAlign val="superscript"/>
        <sz val="10"/>
        <color rgb="FFFF0000"/>
        <rFont val="Arial"/>
        <family val="2"/>
      </rPr>
      <t>1</t>
    </r>
    <r>
      <rPr>
        <sz val="10"/>
        <rFont val="Arial"/>
        <family val="2"/>
      </rPr>
      <t xml:space="preserve"> March credits are related to Journal Entries to move charges to correct program Interal Orders.</t>
    </r>
  </si>
  <si>
    <r>
      <rPr>
        <vertAlign val="superscript"/>
        <sz val="10"/>
        <color rgb="FFFF0000"/>
        <rFont val="Arial"/>
        <family val="2"/>
      </rPr>
      <t>2</t>
    </r>
    <r>
      <rPr>
        <sz val="10"/>
        <rFont val="Arial"/>
        <family val="2"/>
      </rPr>
      <t xml:space="preserve"> April credits are related to Journal Entries to move charges to the correct Internal Order and Accrual Reversals which occurred in a prior reporting month (March).</t>
    </r>
  </si>
  <si>
    <r>
      <rPr>
        <vertAlign val="superscript"/>
        <sz val="10"/>
        <color rgb="FFFF0000"/>
        <rFont val="Arial"/>
        <family val="2"/>
      </rPr>
      <t xml:space="preserve">3 </t>
    </r>
    <r>
      <rPr>
        <sz val="10"/>
        <rFont val="Arial"/>
        <family val="2"/>
      </rPr>
      <t>April credits are related to Accrual Reversals which occurred in a prior reporting period (March).</t>
    </r>
  </si>
  <si>
    <r>
      <rPr>
        <vertAlign val="superscript"/>
        <sz val="10"/>
        <color rgb="FFFF0000"/>
        <rFont val="Arial"/>
        <family val="2"/>
      </rPr>
      <t>4</t>
    </r>
    <r>
      <rPr>
        <sz val="10"/>
        <rFont val="Arial"/>
        <family val="2"/>
      </rPr>
      <t xml:space="preserve"> 5 year budget updated to include fundshift authorized in Resolution E 4906.</t>
    </r>
  </si>
  <si>
    <r>
      <rPr>
        <vertAlign val="superscript"/>
        <sz val="10"/>
        <color rgb="FFFF0000"/>
        <rFont val="Arial"/>
        <family val="2"/>
      </rPr>
      <t>5</t>
    </r>
    <r>
      <rPr>
        <sz val="10"/>
        <rFont val="Arial"/>
        <family val="2"/>
      </rPr>
      <t xml:space="preserve"> The five (5) Year Budget for Category does not include CBP Residential Pilot; program was only approved in Program Year 2018.</t>
    </r>
  </si>
  <si>
    <t>FUND SHIFT LOG</t>
  </si>
  <si>
    <t>Program Category</t>
  </si>
  <si>
    <t>Fund Shift</t>
  </si>
  <si>
    <t>Programs Impacted</t>
  </si>
  <si>
    <t>Date</t>
  </si>
  <si>
    <t xml:space="preserve">Rationale for Fund Shift </t>
  </si>
  <si>
    <t>-  All Fund Shifting Rules remain in effect as adopted in D.12-04-045 as referenced in D.17-12-003 at page 131.</t>
  </si>
  <si>
    <t>EVENT SUMMARY</t>
  </si>
  <si>
    <t>Year-to-Date Event Summary</t>
  </si>
  <si>
    <t>Event No.</t>
  </si>
  <si>
    <t>Event Trigger</t>
  </si>
  <si>
    <r>
      <t xml:space="preserve">Load Reduction     MW </t>
    </r>
    <r>
      <rPr>
        <vertAlign val="superscript"/>
        <sz val="10"/>
        <color rgb="FFFF0000"/>
        <rFont val="Arial"/>
        <family val="2"/>
      </rPr>
      <t>1</t>
    </r>
  </si>
  <si>
    <t>Event Beginning to End</t>
  </si>
  <si>
    <r>
      <t>Program Total Hours (Annual)</t>
    </r>
    <r>
      <rPr>
        <b/>
        <sz val="10"/>
        <color rgb="FFFF0000"/>
        <rFont val="Arial"/>
        <family val="2"/>
      </rPr>
      <t xml:space="preserve"> </t>
    </r>
    <r>
      <rPr>
        <vertAlign val="superscript"/>
        <sz val="10"/>
        <color rgb="FFFF0000"/>
        <rFont val="Arial"/>
        <family val="2"/>
      </rPr>
      <t>2</t>
    </r>
  </si>
  <si>
    <t>AC Saver DO (Summer Saver) Commercial &amp; Residential</t>
  </si>
  <si>
    <t>Heat Rate</t>
  </si>
  <si>
    <t>6:00pm-8:00pm</t>
  </si>
  <si>
    <t>CBP Day Ahead 1-9</t>
  </si>
  <si>
    <t>Market Price</t>
  </si>
  <si>
    <t>CBP Day Ahead 11-7</t>
  </si>
  <si>
    <t>5:00pm-7:00pm</t>
  </si>
  <si>
    <t>CBP Day Of 1-9</t>
  </si>
  <si>
    <t>Real Time Price</t>
  </si>
  <si>
    <t>AC Saver DA Residential</t>
  </si>
  <si>
    <t>AC Saver DA Commercial</t>
  </si>
  <si>
    <t>7:00pm-9:00pm</t>
  </si>
  <si>
    <r>
      <rPr>
        <vertAlign val="superscript"/>
        <sz val="11"/>
        <color rgb="FFFF0000"/>
        <rFont val="Arial"/>
        <family val="2"/>
      </rPr>
      <t>1</t>
    </r>
    <r>
      <rPr>
        <sz val="11"/>
        <color rgb="FF444444"/>
        <rFont val="Arial"/>
        <family val="2"/>
      </rPr>
      <t xml:space="preserve"> If the MW Load Reduction is 0.00, there was no actual load reduction. If the MW Load Reduction is negative, there was an increase of load during the event hours. If there is nothing there, there were no events.</t>
    </r>
  </si>
  <si>
    <r>
      <rPr>
        <vertAlign val="superscript"/>
        <sz val="11"/>
        <color rgb="FFFF0000"/>
        <rFont val="Arial"/>
        <family val="2"/>
      </rPr>
      <t>2</t>
    </r>
    <r>
      <rPr>
        <b/>
        <vertAlign val="superscript"/>
        <sz val="11"/>
        <color rgb="FFFF0000"/>
        <rFont val="Arial"/>
        <family val="2"/>
      </rPr>
      <t xml:space="preserve">  </t>
    </r>
    <r>
      <rPr>
        <sz val="11"/>
        <rFont val="Arial"/>
        <family val="2"/>
      </rPr>
      <t>Program Total Hours (Annual) is cumulative</t>
    </r>
    <r>
      <rPr>
        <b/>
        <sz val="11"/>
        <rFont val="Arial"/>
        <family val="2"/>
      </rPr>
      <t>.</t>
    </r>
  </si>
  <si>
    <t>TOTAL COST AND AMDRMA ACCOUNT BALANCES ($000)</t>
  </si>
  <si>
    <t>Annual Total Cost</t>
  </si>
  <si>
    <t>Year-to-Date Cost</t>
  </si>
  <si>
    <t>Administrative (O&amp;M)</t>
  </si>
  <si>
    <t>AC Saver Day‐Ahead</t>
  </si>
  <si>
    <r>
      <t>AC Saver Day‐Of</t>
    </r>
    <r>
      <rPr>
        <vertAlign val="superscript"/>
        <sz val="9"/>
        <color rgb="FFFF0000"/>
        <rFont val="Arial"/>
        <family val="2"/>
      </rPr>
      <t xml:space="preserve"> </t>
    </r>
  </si>
  <si>
    <r>
      <t>Base Interruptible Program (BIP)</t>
    </r>
    <r>
      <rPr>
        <vertAlign val="superscript"/>
        <sz val="10"/>
        <rFont val="Arial"/>
        <family val="2"/>
      </rPr>
      <t xml:space="preserve"> </t>
    </r>
  </si>
  <si>
    <t>Back Up Generators (BUGs)</t>
  </si>
  <si>
    <t xml:space="preserve">Capacity Bidding Program (CBP) </t>
  </si>
  <si>
    <t>Demand Response Auction Mechanism (DRAM)</t>
  </si>
  <si>
    <t>Emerging Tech (ET)</t>
  </si>
  <si>
    <t>Armed Forces Pilot</t>
  </si>
  <si>
    <r>
      <t>Over Gen Pilot</t>
    </r>
    <r>
      <rPr>
        <vertAlign val="superscript"/>
        <sz val="9"/>
        <color rgb="FFFF0000"/>
        <rFont val="Arial"/>
        <family val="2"/>
      </rPr>
      <t xml:space="preserve"> </t>
    </r>
  </si>
  <si>
    <t>Constrained Local Capacity Program (CLCP)</t>
  </si>
  <si>
    <r>
      <t>Local Marketing Education &amp; Outreach (LMEO)</t>
    </r>
    <r>
      <rPr>
        <vertAlign val="superscript"/>
        <sz val="10"/>
        <color rgb="FFFF0000"/>
        <rFont val="Arial"/>
        <family val="2"/>
      </rPr>
      <t xml:space="preserve"> 2</t>
    </r>
  </si>
  <si>
    <t>General Admin</t>
  </si>
  <si>
    <r>
      <t xml:space="preserve">IT </t>
    </r>
    <r>
      <rPr>
        <vertAlign val="superscript"/>
        <sz val="9"/>
        <color rgb="FFFF0000"/>
        <rFont val="Arial"/>
        <family val="2"/>
      </rPr>
      <t>3</t>
    </r>
  </si>
  <si>
    <r>
      <t>EM&amp;V</t>
    </r>
    <r>
      <rPr>
        <vertAlign val="superscript"/>
        <sz val="9"/>
        <color rgb="FFFF0000"/>
        <rFont val="Arial"/>
        <family val="2"/>
      </rPr>
      <t xml:space="preserve"> 4</t>
    </r>
  </si>
  <si>
    <t>Local Capacity Requirements (LCR)</t>
  </si>
  <si>
    <r>
      <t>SW-COM</t>
    </r>
    <r>
      <rPr>
        <vertAlign val="superscript"/>
        <sz val="9"/>
        <color rgb="FFFF0000"/>
        <rFont val="Arial"/>
        <family val="2"/>
      </rPr>
      <t xml:space="preserve"> </t>
    </r>
    <r>
      <rPr>
        <b/>
        <vertAlign val="superscript"/>
        <sz val="9"/>
        <color rgb="FFFF0000"/>
        <rFont val="Arial"/>
        <family val="2"/>
      </rPr>
      <t>1</t>
    </r>
  </si>
  <si>
    <r>
      <t>SW-IND</t>
    </r>
    <r>
      <rPr>
        <b/>
        <vertAlign val="superscript"/>
        <sz val="9"/>
        <color rgb="FFFF0000"/>
        <rFont val="Arial"/>
        <family val="2"/>
      </rPr>
      <t xml:space="preserve"> 1</t>
    </r>
  </si>
  <si>
    <r>
      <t>SW-AG</t>
    </r>
    <r>
      <rPr>
        <vertAlign val="superscript"/>
        <sz val="9"/>
        <color rgb="FFFF0000"/>
        <rFont val="Arial"/>
        <family val="2"/>
      </rPr>
      <t xml:space="preserve"> </t>
    </r>
  </si>
  <si>
    <t xml:space="preserve">Local Marketing Res and Non-Res </t>
  </si>
  <si>
    <r>
      <t xml:space="preserve">IDSM DR COM </t>
    </r>
    <r>
      <rPr>
        <vertAlign val="superscript"/>
        <sz val="9"/>
        <color rgb="FFFF0000"/>
        <rFont val="Arial"/>
        <family val="2"/>
      </rPr>
      <t>6</t>
    </r>
  </si>
  <si>
    <r>
      <t xml:space="preserve">Behavioral </t>
    </r>
    <r>
      <rPr>
        <vertAlign val="superscript"/>
        <sz val="9"/>
        <color rgb="FFFF0000"/>
        <rFont val="Arial"/>
        <family val="2"/>
      </rPr>
      <t>5</t>
    </r>
  </si>
  <si>
    <t xml:space="preserve">  Total Administrative (O&amp;M) </t>
  </si>
  <si>
    <t>Customer Incentives</t>
  </si>
  <si>
    <r>
      <t>AC Saver Day‐Of</t>
    </r>
    <r>
      <rPr>
        <vertAlign val="superscript"/>
        <sz val="10"/>
        <color rgb="FFFF0000"/>
        <rFont val="Arial"/>
        <family val="2"/>
      </rPr>
      <t xml:space="preserve"> </t>
    </r>
  </si>
  <si>
    <t>Capacity Bidding Program (CBP)</t>
  </si>
  <si>
    <t>Technology Deployment (TD)</t>
  </si>
  <si>
    <t>Small Business Energy Management Pilot (SBEMP)</t>
  </si>
  <si>
    <t>CPPD</t>
  </si>
  <si>
    <t>Total Customer Incentives</t>
  </si>
  <si>
    <t xml:space="preserve">Total </t>
  </si>
  <si>
    <t>AMDRMA Account End of Month Balance for Monthly Activity with Interest</t>
  </si>
  <si>
    <r>
      <rPr>
        <vertAlign val="superscript"/>
        <sz val="11"/>
        <color rgb="FFFF0000"/>
        <rFont val="Arial"/>
        <family val="2"/>
      </rPr>
      <t xml:space="preserve">1 </t>
    </r>
    <r>
      <rPr>
        <sz val="11"/>
        <rFont val="Arial"/>
        <family val="2"/>
      </rPr>
      <t>Credits are related to accrual reversals which occurred in a prior reporting period (December 2019).</t>
    </r>
  </si>
  <si>
    <r>
      <rPr>
        <vertAlign val="superscript"/>
        <sz val="11"/>
        <color rgb="FFFF0000"/>
        <rFont val="Arial"/>
        <family val="2"/>
      </rPr>
      <t>3</t>
    </r>
    <r>
      <rPr>
        <sz val="11"/>
        <rFont val="Arial"/>
        <family val="2"/>
      </rPr>
      <t xml:space="preserve"> April credits are related to Journal Entries to move charges to the correct Internal Order and Accrual Reversals which occurred in a prior reporting month (March).</t>
    </r>
  </si>
  <si>
    <r>
      <rPr>
        <vertAlign val="superscript"/>
        <sz val="11"/>
        <color rgb="FFFF0000"/>
        <rFont val="Arial"/>
        <family val="2"/>
      </rPr>
      <t>4</t>
    </r>
    <r>
      <rPr>
        <sz val="11"/>
        <rFont val="Arial"/>
        <family val="2"/>
      </rPr>
      <t xml:space="preserve"> April credits are related to Accrual Reversals which occurred in a prior reporting period (March).</t>
    </r>
  </si>
  <si>
    <r>
      <rPr>
        <vertAlign val="superscript"/>
        <sz val="11"/>
        <color rgb="FFFF0000"/>
        <rFont val="Arial"/>
        <family val="2"/>
      </rPr>
      <t>5</t>
    </r>
    <r>
      <rPr>
        <sz val="11"/>
        <rFont val="Arial"/>
        <family val="2"/>
      </rPr>
      <t xml:space="preserve"> April credit is related to a Journal Entry to move charges from program into a pre-paid account to be amortized.</t>
    </r>
  </si>
  <si>
    <r>
      <rPr>
        <vertAlign val="superscript"/>
        <sz val="11"/>
        <color rgb="FFFF0000"/>
        <rFont val="Arial"/>
        <family val="2"/>
      </rPr>
      <t xml:space="preserve">6  </t>
    </r>
    <r>
      <rPr>
        <sz val="11"/>
        <rFont val="Arial"/>
        <family val="2"/>
      </rPr>
      <t>May Credit is related to an adjustment received on the prior month invoice.</t>
    </r>
  </si>
  <si>
    <t>GENERAL RATE CASE PROGRAMS ($000)</t>
  </si>
  <si>
    <t>Year-to-Date Total Cost</t>
  </si>
  <si>
    <t>Programs in General Rate Case</t>
  </si>
  <si>
    <r>
      <t>CPP-D</t>
    </r>
    <r>
      <rPr>
        <vertAlign val="superscript"/>
        <sz val="10"/>
        <color rgb="FFFF0000"/>
        <rFont val="Arial"/>
        <family val="2"/>
      </rPr>
      <t xml:space="preserve"> </t>
    </r>
  </si>
  <si>
    <t>Peak Generation (RBRP)</t>
  </si>
  <si>
    <t xml:space="preserve">  Total Administrative (O&amp;M)</t>
  </si>
  <si>
    <t>Capital</t>
  </si>
  <si>
    <r>
      <t>Peak Generation (RBRP)</t>
    </r>
    <r>
      <rPr>
        <b/>
        <vertAlign val="superscript"/>
        <sz val="10"/>
        <color rgb="FFFF0000"/>
        <rFont val="Arial"/>
        <family val="2"/>
      </rPr>
      <t xml:space="preserve"> </t>
    </r>
  </si>
  <si>
    <t xml:space="preserve">  Total Capital</t>
  </si>
  <si>
    <t>Measurement and Evaluation</t>
  </si>
  <si>
    <t xml:space="preserve">Peak Generation (RBRP) </t>
  </si>
  <si>
    <t>Total M&amp;E</t>
  </si>
  <si>
    <t xml:space="preserve">Revenue from Penalties </t>
  </si>
  <si>
    <t>Total GRC Program Costs</t>
  </si>
  <si>
    <t>DIRECT PARTICIPATION DR MEMO ACCOUNT ($000)</t>
  </si>
  <si>
    <t>Programs in Direct Participation Demand Response Memorandum Account (DPDRMA)</t>
  </si>
  <si>
    <r>
      <t xml:space="preserve">Rule 32 </t>
    </r>
    <r>
      <rPr>
        <b/>
        <vertAlign val="superscript"/>
        <sz val="10"/>
        <color rgb="FFFF0000"/>
        <rFont val="Arial"/>
        <family val="2"/>
      </rPr>
      <t>4</t>
    </r>
  </si>
  <si>
    <r>
      <t xml:space="preserve">Rule 32 Operations </t>
    </r>
    <r>
      <rPr>
        <vertAlign val="superscript"/>
        <sz val="10"/>
        <color rgb="FFFF0000"/>
        <rFont val="Arial"/>
        <family val="2"/>
      </rPr>
      <t>2</t>
    </r>
  </si>
  <si>
    <t>Rule 32 Meter</t>
  </si>
  <si>
    <r>
      <t>Rule 32 CISR Enhancement</t>
    </r>
    <r>
      <rPr>
        <b/>
        <vertAlign val="superscript"/>
        <sz val="10"/>
        <color rgb="FFFF0000"/>
        <rFont val="Arial"/>
        <family val="2"/>
      </rPr>
      <t xml:space="preserve"> </t>
    </r>
    <r>
      <rPr>
        <vertAlign val="superscript"/>
        <sz val="10"/>
        <color rgb="FFFF0000"/>
        <rFont val="Arial"/>
        <family val="2"/>
      </rPr>
      <t>3</t>
    </r>
  </si>
  <si>
    <r>
      <t xml:space="preserve">Rule 32 Click-Through </t>
    </r>
    <r>
      <rPr>
        <vertAlign val="superscript"/>
        <sz val="10"/>
        <color rgb="FFFF0000"/>
        <rFont val="Arial"/>
        <family val="2"/>
      </rPr>
      <t>1</t>
    </r>
  </si>
  <si>
    <t>Capital Related Costs</t>
  </si>
  <si>
    <t>Depreciation</t>
  </si>
  <si>
    <t>DPDRMA Tax</t>
  </si>
  <si>
    <t>DPDRMA Property Tax</t>
  </si>
  <si>
    <t>Return on Rate Base</t>
  </si>
  <si>
    <t>Total DPDRMA Program Costs</t>
  </si>
  <si>
    <t>Total DPDRMA Program Costs with Interest</t>
  </si>
  <si>
    <r>
      <rPr>
        <vertAlign val="superscript"/>
        <sz val="11"/>
        <color rgb="FFFF0000"/>
        <rFont val="Arial"/>
        <family val="2"/>
      </rPr>
      <t>1</t>
    </r>
    <r>
      <rPr>
        <vertAlign val="superscript"/>
        <sz val="11"/>
        <rFont val="Arial"/>
        <family val="2"/>
      </rPr>
      <t xml:space="preserve"> </t>
    </r>
    <r>
      <rPr>
        <sz val="11"/>
        <rFont val="Arial"/>
        <family val="2"/>
      </rPr>
      <t>Rule 32 click-through was approved in Decision 17-06-005.</t>
    </r>
  </si>
  <si>
    <r>
      <rPr>
        <vertAlign val="superscript"/>
        <sz val="11"/>
        <color rgb="FFFF0000"/>
        <rFont val="Arial"/>
        <family val="2"/>
      </rPr>
      <t>2</t>
    </r>
    <r>
      <rPr>
        <sz val="11"/>
        <rFont val="Arial"/>
        <family val="2"/>
      </rPr>
      <t xml:space="preserve"> Rule 32 Operations was approved in AL 3191-E.</t>
    </r>
  </si>
  <si>
    <r>
      <rPr>
        <vertAlign val="superscript"/>
        <sz val="11"/>
        <color rgb="FFFF0000"/>
        <rFont val="Arial"/>
        <family val="2"/>
      </rPr>
      <t>3</t>
    </r>
    <r>
      <rPr>
        <sz val="11"/>
        <rFont val="Arial"/>
        <family val="2"/>
      </rPr>
      <t xml:space="preserve"> Rule 32 CISR Enhancement was approved in AL 3136-E.</t>
    </r>
  </si>
  <si>
    <r>
      <rPr>
        <vertAlign val="superscript"/>
        <sz val="11"/>
        <color rgb="FFFF0000"/>
        <rFont val="Arial"/>
        <family val="2"/>
      </rPr>
      <t>4</t>
    </r>
    <r>
      <rPr>
        <sz val="11"/>
        <rFont val="Arial"/>
        <family val="2"/>
      </rPr>
      <t xml:space="preserve"> April Credit is related to Journal Entries performed to move charges to the correct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</si>
</sst>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0.0_);[Red]\(0.0\)"/>
    <numFmt numFmtId="174" formatCode="0.00_);[Red]\(0.00\)"/>
    <numFmt numFmtId="175" formatCode="[$-F800]dddd\,\ mmmm\ dd\,\ yyyy"/>
    <numFmt numFmtId="176" formatCode="&quot;$&quot;#,##0"/>
    <numFmt numFmtId="177" formatCode="0.0000"/>
  </numFmts>
  <fonts count="9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i/>
      <sz val="10"/>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indexed="10"/>
      <name val="Arial"/>
      <family val="2"/>
    </font>
    <font>
      <b/>
      <sz val="13"/>
      <name val="Arial"/>
      <family val="2"/>
    </font>
    <font>
      <sz val="10"/>
      <color indexed="30"/>
      <name val="Arial"/>
      <family val="2"/>
    </font>
    <font>
      <b/>
      <strike/>
      <sz val="10"/>
      <color indexed="8"/>
      <name val="Arial"/>
      <family val="2"/>
    </font>
    <font>
      <strike/>
      <sz val="10"/>
      <color indexed="8"/>
      <name val="Arial"/>
      <family val="2"/>
    </font>
    <font>
      <sz val="10"/>
      <name val="Arial"/>
      <family val="2"/>
    </font>
    <font>
      <sz val="10"/>
      <name val="Arial"/>
      <family val="2"/>
    </font>
    <font>
      <sz val="9"/>
      <name val="Calibri"/>
      <family val="2"/>
    </font>
    <font>
      <sz val="10"/>
      <color indexed="8"/>
      <name val="Arial"/>
      <family val="2"/>
    </font>
    <font>
      <b/>
      <sz val="11"/>
      <color rgb="FF1F497D"/>
      <name val="Calibri"/>
      <family val="2"/>
    </font>
    <font>
      <sz val="10"/>
      <color rgb="FF0070C0"/>
      <name val="Arial"/>
      <family val="2"/>
    </font>
    <font>
      <b/>
      <sz val="12"/>
      <name val="Arial"/>
      <family val="2"/>
    </font>
    <font>
      <sz val="10"/>
      <name val="Arial"/>
      <family val="2"/>
    </font>
    <font>
      <sz val="10"/>
      <color theme="1"/>
      <name val="Arial"/>
      <family val="2"/>
    </font>
    <font>
      <sz val="10"/>
      <name val="Arial"/>
      <family val="2"/>
    </font>
    <font>
      <sz val="10"/>
      <name val="Arial"/>
      <family val="2"/>
    </font>
    <font>
      <i/>
      <sz val="11"/>
      <color rgb="FF1F497D"/>
      <name val="Calibri"/>
      <family val="2"/>
    </font>
    <font>
      <sz val="10"/>
      <name val="Arial"/>
      <family val="2"/>
    </font>
    <font>
      <sz val="11"/>
      <name val="Arial"/>
      <family val="2"/>
    </font>
    <font>
      <vertAlign val="superscript"/>
      <sz val="11"/>
      <color rgb="FFFF0000"/>
      <name val="Arial"/>
      <family val="2"/>
    </font>
    <font>
      <sz val="11"/>
      <color rgb="FF1F497D"/>
      <name val="Calibri"/>
      <family val="2"/>
    </font>
    <font>
      <b/>
      <vertAlign val="superscript"/>
      <sz val="10"/>
      <color rgb="FFFF0000"/>
      <name val="Arial"/>
      <family val="2"/>
    </font>
    <font>
      <b/>
      <sz val="9"/>
      <name val="Arial"/>
      <family val="2"/>
    </font>
    <font>
      <sz val="9"/>
      <name val="Arial"/>
      <family val="2"/>
    </font>
    <font>
      <vertAlign val="superscript"/>
      <sz val="10"/>
      <name val="Arial"/>
      <family val="2"/>
    </font>
    <font>
      <b/>
      <sz val="11"/>
      <name val="Arial"/>
      <family val="2"/>
    </font>
    <font>
      <sz val="11"/>
      <color indexed="8"/>
      <name val="Arial"/>
      <family val="2"/>
    </font>
    <font>
      <b/>
      <sz val="11"/>
      <color indexed="8"/>
      <name val="Arial"/>
      <family val="2"/>
    </font>
    <font>
      <b/>
      <sz val="10"/>
      <color rgb="FFFF0000"/>
      <name val="Arial"/>
      <family val="2"/>
    </font>
    <font>
      <sz val="10"/>
      <name val="Arial"/>
      <family val="2"/>
    </font>
    <font>
      <sz val="10"/>
      <name val="Calibri"/>
      <family val="2"/>
    </font>
    <font>
      <vertAlign val="superscript"/>
      <sz val="11"/>
      <name val="Arial"/>
      <family val="2"/>
    </font>
    <font>
      <b/>
      <sz val="10"/>
      <name val="Calibri"/>
      <family val="2"/>
    </font>
    <font>
      <b/>
      <sz val="12"/>
      <name val="Calibri"/>
      <family val="2"/>
    </font>
    <font>
      <b/>
      <sz val="10"/>
      <color indexed="8"/>
      <name val="Calibri"/>
      <family val="2"/>
    </font>
    <font>
      <vertAlign val="superscript"/>
      <sz val="10"/>
      <color rgb="FFFF0000"/>
      <name val="Arial"/>
      <family val="2"/>
    </font>
    <font>
      <sz val="12"/>
      <color rgb="FF000000"/>
      <name val="Arial"/>
      <family val="2"/>
    </font>
    <font>
      <vertAlign val="superscript"/>
      <sz val="9"/>
      <color rgb="FFFF0000"/>
      <name val="Arial"/>
      <family val="2"/>
    </font>
    <font>
      <b/>
      <sz val="14"/>
      <color indexed="8"/>
      <name val="Arial"/>
      <family val="2"/>
    </font>
    <font>
      <b/>
      <sz val="16"/>
      <color indexed="8"/>
      <name val="Arial"/>
      <family val="2"/>
    </font>
    <font>
      <sz val="12"/>
      <color indexed="8"/>
      <name val="Arial"/>
      <family val="2"/>
    </font>
    <font>
      <b/>
      <vertAlign val="superscript"/>
      <sz val="10"/>
      <color rgb="FFFF0000"/>
      <name val="Calibri"/>
      <family val="2"/>
    </font>
    <font>
      <b/>
      <vertAlign val="superscript"/>
      <sz val="10"/>
      <name val="Arial"/>
      <family val="2"/>
    </font>
    <font>
      <b/>
      <sz val="12"/>
      <name val="Ariel"/>
    </font>
    <font>
      <b/>
      <sz val="10"/>
      <color rgb="FFFFFFFF"/>
      <name val="Arial"/>
      <family val="2"/>
    </font>
    <font>
      <b/>
      <vertAlign val="superscript"/>
      <sz val="9"/>
      <color rgb="FFFF0000"/>
      <name val="Arial"/>
      <family val="2"/>
    </font>
    <font>
      <sz val="11"/>
      <color rgb="FF000000"/>
      <name val="Arial"/>
      <family val="2"/>
    </font>
    <font>
      <b/>
      <vertAlign val="superscript"/>
      <sz val="11"/>
      <color rgb="FFFF0000"/>
      <name val="Arial"/>
      <family val="2"/>
    </font>
    <font>
      <vertAlign val="superscript"/>
      <sz val="9"/>
      <name val="Arial"/>
      <family val="2"/>
    </font>
    <font>
      <sz val="11"/>
      <color rgb="FF444444"/>
      <name val="Arial"/>
      <family val="2"/>
    </font>
  </fonts>
  <fills count="54">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indexed="55"/>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49"/>
      </patternFill>
    </fill>
    <fill>
      <patternFill patternType="solid">
        <fgColor rgb="FFFFFFFF"/>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indexed="18"/>
      </left>
      <right style="thin">
        <color indexed="18"/>
      </right>
      <top style="thin">
        <color indexed="18"/>
      </top>
      <bottom style="thin">
        <color indexed="18"/>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892">
    <xf numFmtId="175" fontId="0" fillId="0" borderId="0"/>
    <xf numFmtId="175" fontId="17" fillId="2" borderId="0" applyNumberFormat="0" applyBorder="0" applyAlignment="0" applyProtection="0"/>
    <xf numFmtId="175" fontId="17" fillId="3" borderId="0" applyNumberFormat="0" applyBorder="0" applyAlignment="0" applyProtection="0"/>
    <xf numFmtId="175" fontId="17" fillId="4" borderId="0" applyNumberFormat="0" applyBorder="0" applyAlignment="0" applyProtection="0"/>
    <xf numFmtId="175" fontId="17" fillId="5" borderId="0" applyNumberFormat="0" applyBorder="0" applyAlignment="0" applyProtection="0"/>
    <xf numFmtId="175" fontId="17" fillId="6" borderId="0" applyNumberFormat="0" applyBorder="0" applyAlignment="0" applyProtection="0"/>
    <xf numFmtId="175" fontId="17" fillId="7" borderId="0" applyNumberFormat="0" applyBorder="0" applyAlignment="0" applyProtection="0"/>
    <xf numFmtId="175" fontId="17" fillId="8" borderId="0" applyNumberFormat="0" applyBorder="0" applyAlignment="0" applyProtection="0"/>
    <xf numFmtId="175" fontId="17" fillId="3" borderId="0" applyNumberFormat="0" applyBorder="0" applyAlignment="0" applyProtection="0"/>
    <xf numFmtId="175" fontId="17" fillId="9" borderId="0" applyNumberFormat="0" applyBorder="0" applyAlignment="0" applyProtection="0"/>
    <xf numFmtId="175" fontId="17" fillId="10" borderId="0" applyNumberFormat="0" applyBorder="0" applyAlignment="0" applyProtection="0"/>
    <xf numFmtId="175" fontId="17" fillId="8" borderId="0" applyNumberFormat="0" applyBorder="0" applyAlignment="0" applyProtection="0"/>
    <xf numFmtId="175" fontId="17"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5" borderId="0" applyNumberFormat="0" applyBorder="0" applyAlignment="0" applyProtection="0"/>
    <xf numFmtId="175" fontId="19" fillId="16" borderId="0" applyNumberFormat="0" applyBorder="0" applyAlignment="0" applyProtection="0"/>
    <xf numFmtId="175" fontId="20" fillId="17" borderId="0" applyNumberFormat="0" applyBorder="0" applyAlignment="0" applyProtection="0"/>
    <xf numFmtId="175" fontId="20" fillId="18" borderId="0" applyNumberFormat="0" applyBorder="0" applyAlignment="0" applyProtection="0"/>
    <xf numFmtId="175" fontId="19" fillId="19" borderId="0" applyNumberFormat="0" applyBorder="0" applyAlignment="0" applyProtection="0"/>
    <xf numFmtId="175" fontId="19" fillId="19" borderId="0" applyNumberFormat="0" applyBorder="0" applyAlignment="0" applyProtection="0"/>
    <xf numFmtId="175" fontId="20" fillId="20" borderId="0" applyNumberFormat="0" applyBorder="0" applyAlignment="0" applyProtection="0"/>
    <xf numFmtId="175" fontId="20" fillId="21" borderId="0" applyNumberFormat="0" applyBorder="0" applyAlignment="0" applyProtection="0"/>
    <xf numFmtId="175" fontId="19" fillId="22" borderId="0" applyNumberFormat="0" applyBorder="0" applyAlignment="0" applyProtection="0"/>
    <xf numFmtId="175" fontId="19" fillId="23" borderId="0" applyNumberFormat="0" applyBorder="0" applyAlignment="0" applyProtection="0"/>
    <xf numFmtId="175" fontId="20" fillId="21" borderId="0" applyNumberFormat="0" applyBorder="0" applyAlignment="0" applyProtection="0"/>
    <xf numFmtId="175" fontId="20" fillId="22" borderId="0" applyNumberFormat="0" applyBorder="0" applyAlignment="0" applyProtection="0"/>
    <xf numFmtId="175" fontId="19" fillId="22" borderId="0" applyNumberFormat="0" applyBorder="0" applyAlignment="0" applyProtection="0"/>
    <xf numFmtId="175" fontId="19" fillId="24" borderId="0" applyNumberFormat="0" applyBorder="0" applyAlignment="0" applyProtection="0"/>
    <xf numFmtId="175" fontId="20" fillId="13" borderId="0" applyNumberFormat="0" applyBorder="0" applyAlignment="0" applyProtection="0"/>
    <xf numFmtId="175" fontId="20" fillId="14" borderId="0" applyNumberFormat="0" applyBorder="0" applyAlignment="0" applyProtection="0"/>
    <xf numFmtId="175" fontId="19" fillId="14" borderId="0" applyNumberFormat="0" applyBorder="0" applyAlignment="0" applyProtection="0"/>
    <xf numFmtId="175" fontId="19" fillId="25" borderId="0" applyNumberFormat="0" applyBorder="0" applyAlignment="0" applyProtection="0"/>
    <xf numFmtId="175" fontId="20" fillId="26" borderId="0" applyNumberFormat="0" applyBorder="0" applyAlignment="0" applyProtection="0"/>
    <xf numFmtId="175" fontId="20" fillId="18" borderId="0" applyNumberFormat="0" applyBorder="0" applyAlignment="0" applyProtection="0"/>
    <xf numFmtId="175" fontId="19" fillId="27"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43" fontId="48" fillId="0" borderId="0" applyFont="0" applyFill="0" applyBorder="0" applyAlignment="0" applyProtection="0"/>
    <xf numFmtId="43" fontId="13" fillId="0" borderId="0" applyFont="0" applyFill="0" applyBorder="0" applyAlignment="0" applyProtection="0"/>
    <xf numFmtId="44" fontId="48"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44" fontId="13" fillId="0" borderId="0" applyFont="0" applyFill="0" applyBorder="0" applyAlignment="0" applyProtection="0"/>
    <xf numFmtId="44" fontId="49" fillId="0" borderId="0" applyFont="0" applyFill="0" applyBorder="0" applyAlignment="0" applyProtection="0"/>
    <xf numFmtId="175" fontId="24" fillId="29" borderId="0" applyNumberFormat="0" applyBorder="0" applyAlignment="0" applyProtection="0"/>
    <xf numFmtId="175" fontId="24" fillId="30" borderId="0" applyNumberFormat="0" applyBorder="0" applyAlignment="0" applyProtection="0"/>
    <xf numFmtId="175" fontId="24" fillId="31" borderId="0" applyNumberFormat="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0" borderId="0"/>
    <xf numFmtId="175" fontId="15" fillId="0" borderId="0"/>
    <xf numFmtId="175" fontId="13" fillId="26" borderId="7" applyNumberFormat="0" applyFont="0" applyAlignment="0" applyProtection="0"/>
    <xf numFmtId="175" fontId="33" fillId="28" borderId="8" applyNumberFormat="0" applyAlignment="0" applyProtection="0"/>
    <xf numFmtId="9" fontId="48" fillId="0" borderId="0" applyFont="0" applyFill="0" applyBorder="0" applyAlignment="0" applyProtection="0"/>
    <xf numFmtId="9" fontId="13" fillId="0" borderId="0" applyFont="0" applyFill="0" applyBorder="0" applyAlignment="0" applyProtection="0"/>
    <xf numFmtId="4" fontId="34" fillId="33" borderId="9" applyNumberFormat="0" applyProtection="0">
      <alignment vertical="center"/>
    </xf>
    <xf numFmtId="4" fontId="35" fillId="33" borderId="9" applyNumberFormat="0" applyProtection="0">
      <alignment vertical="center"/>
    </xf>
    <xf numFmtId="4" fontId="34" fillId="33" borderId="9" applyNumberFormat="0" applyProtection="0">
      <alignment horizontal="left" vertical="center" indent="1"/>
    </xf>
    <xf numFmtId="175" fontId="34" fillId="33" borderId="9" applyNumberFormat="0" applyProtection="0">
      <alignment horizontal="left" vertical="top" indent="1"/>
    </xf>
    <xf numFmtId="4" fontId="34" fillId="2" borderId="0" applyNumberFormat="0" applyProtection="0">
      <alignment horizontal="left" vertical="center" indent="1"/>
    </xf>
    <xf numFmtId="4" fontId="17" fillId="7" borderId="9" applyNumberFormat="0" applyProtection="0">
      <alignment horizontal="right" vertical="center"/>
    </xf>
    <xf numFmtId="4" fontId="17" fillId="3" borderId="9" applyNumberFormat="0" applyProtection="0">
      <alignment horizontal="right" vertical="center"/>
    </xf>
    <xf numFmtId="4" fontId="17" fillId="34" borderId="9" applyNumberFormat="0" applyProtection="0">
      <alignment horizontal="right" vertical="center"/>
    </xf>
    <xf numFmtId="4" fontId="17" fillId="35" borderId="9" applyNumberFormat="0" applyProtection="0">
      <alignment horizontal="right" vertical="center"/>
    </xf>
    <xf numFmtId="4" fontId="17" fillId="36" borderId="9" applyNumberFormat="0" applyProtection="0">
      <alignment horizontal="right" vertical="center"/>
    </xf>
    <xf numFmtId="4" fontId="17" fillId="37" borderId="9" applyNumberFormat="0" applyProtection="0">
      <alignment horizontal="right" vertical="center"/>
    </xf>
    <xf numFmtId="4" fontId="17" fillId="9" borderId="9" applyNumberFormat="0" applyProtection="0">
      <alignment horizontal="right" vertical="center"/>
    </xf>
    <xf numFmtId="4" fontId="17" fillId="38" borderId="9" applyNumberFormat="0" applyProtection="0">
      <alignment horizontal="right" vertical="center"/>
    </xf>
    <xf numFmtId="4" fontId="17" fillId="39" borderId="9" applyNumberFormat="0" applyProtection="0">
      <alignment horizontal="right" vertical="center"/>
    </xf>
    <xf numFmtId="4" fontId="34" fillId="40" borderId="10" applyNumberFormat="0" applyProtection="0">
      <alignment horizontal="left" vertical="center" indent="1"/>
    </xf>
    <xf numFmtId="4" fontId="17" fillId="41" borderId="0" applyNumberFormat="0" applyProtection="0">
      <alignment horizontal="left" vertical="center" indent="1"/>
    </xf>
    <xf numFmtId="4" fontId="36" fillId="8" borderId="0" applyNumberFormat="0" applyProtection="0">
      <alignment horizontal="left" vertical="center" indent="1"/>
    </xf>
    <xf numFmtId="4" fontId="17" fillId="2" borderId="9" applyNumberFormat="0" applyProtection="0">
      <alignment horizontal="right" vertical="center"/>
    </xf>
    <xf numFmtId="4" fontId="15" fillId="41" borderId="0" applyNumberFormat="0" applyProtection="0">
      <alignment horizontal="left" vertical="center" indent="1"/>
    </xf>
    <xf numFmtId="4" fontId="15" fillId="2" borderId="0" applyNumberFormat="0" applyProtection="0">
      <alignment horizontal="left" vertical="center" indent="1"/>
    </xf>
    <xf numFmtId="175" fontId="13" fillId="8" borderId="9" applyNumberFormat="0" applyProtection="0">
      <alignment horizontal="left" vertical="center" indent="1"/>
    </xf>
    <xf numFmtId="175" fontId="13" fillId="8" borderId="9" applyNumberFormat="0" applyProtection="0">
      <alignment horizontal="left" vertical="top" indent="1"/>
    </xf>
    <xf numFmtId="175" fontId="13" fillId="2" borderId="9" applyNumberFormat="0" applyProtection="0">
      <alignment horizontal="left" vertical="center" indent="1"/>
    </xf>
    <xf numFmtId="175" fontId="13" fillId="2" borderId="9" applyNumberFormat="0" applyProtection="0">
      <alignment horizontal="left" vertical="top" indent="1"/>
    </xf>
    <xf numFmtId="175" fontId="13" fillId="6" borderId="9" applyNumberFormat="0" applyProtection="0">
      <alignment horizontal="left" vertical="center" indent="1"/>
    </xf>
    <xf numFmtId="175" fontId="13" fillId="6" borderId="9" applyNumberFormat="0" applyProtection="0">
      <alignment horizontal="left" vertical="top" indent="1"/>
    </xf>
    <xf numFmtId="175" fontId="13" fillId="41" borderId="9" applyNumberFormat="0" applyProtection="0">
      <alignment horizontal="left" vertical="center" indent="1"/>
    </xf>
    <xf numFmtId="175" fontId="13" fillId="41" borderId="9" applyNumberFormat="0" applyProtection="0">
      <alignment horizontal="left" vertical="top" indent="1"/>
    </xf>
    <xf numFmtId="175" fontId="13" fillId="5" borderId="11" applyNumberFormat="0">
      <protection locked="0"/>
    </xf>
    <xf numFmtId="4" fontId="17" fillId="4" borderId="9" applyNumberFormat="0" applyProtection="0">
      <alignment vertical="center"/>
    </xf>
    <xf numFmtId="4" fontId="37" fillId="4" borderId="9" applyNumberFormat="0" applyProtection="0">
      <alignment vertical="center"/>
    </xf>
    <xf numFmtId="4" fontId="17" fillId="4" borderId="9" applyNumberFormat="0" applyProtection="0">
      <alignment horizontal="left" vertical="center" indent="1"/>
    </xf>
    <xf numFmtId="175" fontId="17" fillId="4" borderId="9" applyNumberFormat="0" applyProtection="0">
      <alignment horizontal="left" vertical="top" indent="1"/>
    </xf>
    <xf numFmtId="4" fontId="17" fillId="41" borderId="9" applyNumberFormat="0" applyProtection="0">
      <alignment horizontal="right" vertical="center"/>
    </xf>
    <xf numFmtId="4" fontId="37" fillId="41" borderId="9" applyNumberFormat="0" applyProtection="0">
      <alignment horizontal="right" vertical="center"/>
    </xf>
    <xf numFmtId="4" fontId="17" fillId="2" borderId="9" applyNumberFormat="0" applyProtection="0">
      <alignment horizontal="left" vertical="center" indent="1"/>
    </xf>
    <xf numFmtId="175" fontId="17" fillId="2" borderId="9" applyNumberFormat="0" applyProtection="0">
      <alignment horizontal="left" vertical="top" indent="1"/>
    </xf>
    <xf numFmtId="4" fontId="38" fillId="42" borderId="0" applyNumberFormat="0" applyProtection="0">
      <alignment horizontal="left" vertical="center" indent="1"/>
    </xf>
    <xf numFmtId="4" fontId="39" fillId="41" borderId="9" applyNumberFormat="0" applyProtection="0">
      <alignment horizontal="right" vertical="center"/>
    </xf>
    <xf numFmtId="175" fontId="40" fillId="0" borderId="0" applyNumberFormat="0" applyFill="0" applyBorder="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44" fontId="13" fillId="0" borderId="0" applyFont="0" applyFill="0" applyBorder="0" applyAlignment="0" applyProtection="0"/>
    <xf numFmtId="4" fontId="15" fillId="7" borderId="9" applyNumberFormat="0" applyProtection="0">
      <alignment horizontal="right" vertical="center"/>
    </xf>
    <xf numFmtId="4" fontId="15" fillId="3" borderId="9" applyNumberFormat="0" applyProtection="0">
      <alignment horizontal="right" vertical="center"/>
    </xf>
    <xf numFmtId="4" fontId="15" fillId="34" borderId="9" applyNumberFormat="0" applyProtection="0">
      <alignment horizontal="right" vertical="center"/>
    </xf>
    <xf numFmtId="4" fontId="15" fillId="35" borderId="9" applyNumberFormat="0" applyProtection="0">
      <alignment horizontal="right" vertical="center"/>
    </xf>
    <xf numFmtId="4" fontId="15" fillId="36" borderId="9" applyNumberFormat="0" applyProtection="0">
      <alignment horizontal="right" vertical="center"/>
    </xf>
    <xf numFmtId="4" fontId="15" fillId="37" borderId="9" applyNumberFormat="0" applyProtection="0">
      <alignment horizontal="right" vertical="center"/>
    </xf>
    <xf numFmtId="4" fontId="15" fillId="9" borderId="9" applyNumberFormat="0" applyProtection="0">
      <alignment horizontal="right" vertical="center"/>
    </xf>
    <xf numFmtId="4" fontId="15" fillId="38" borderId="9" applyNumberFormat="0" applyProtection="0">
      <alignment horizontal="right" vertical="center"/>
    </xf>
    <xf numFmtId="4" fontId="15" fillId="39" borderId="9" applyNumberFormat="0" applyProtection="0">
      <alignment horizontal="right" vertical="center"/>
    </xf>
    <xf numFmtId="4" fontId="15" fillId="41" borderId="0" applyNumberFormat="0" applyProtection="0">
      <alignment horizontal="left" vertical="center" indent="1"/>
    </xf>
    <xf numFmtId="4" fontId="15" fillId="2" borderId="9" applyNumberFormat="0" applyProtection="0">
      <alignment horizontal="right" vertical="center"/>
    </xf>
    <xf numFmtId="4" fontId="15" fillId="4" borderId="9" applyNumberFormat="0" applyProtection="0">
      <alignment vertical="center"/>
    </xf>
    <xf numFmtId="4" fontId="15" fillId="4" borderId="9" applyNumberFormat="0" applyProtection="0">
      <alignment horizontal="left" vertical="center" indent="1"/>
    </xf>
    <xf numFmtId="175" fontId="15" fillId="4" borderId="9" applyNumberFormat="0" applyProtection="0">
      <alignment horizontal="left" vertical="top" indent="1"/>
    </xf>
    <xf numFmtId="4" fontId="15" fillId="41" borderId="9" applyNumberFormat="0" applyProtection="0">
      <alignment horizontal="right" vertical="center"/>
    </xf>
    <xf numFmtId="4" fontId="15" fillId="2" borderId="9" applyNumberFormat="0" applyProtection="0">
      <alignment horizontal="left" vertical="center" indent="1"/>
    </xf>
    <xf numFmtId="175" fontId="15" fillId="2" borderId="9" applyNumberFormat="0" applyProtection="0">
      <alignment horizontal="left" vertical="top" indent="1"/>
    </xf>
    <xf numFmtId="9" fontId="55" fillId="0" borderId="0" applyFont="0" applyFill="0" applyBorder="0" applyAlignment="0" applyProtection="0"/>
    <xf numFmtId="175" fontId="57" fillId="0" borderId="0"/>
    <xf numFmtId="175" fontId="12"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3" fillId="0" borderId="0"/>
    <xf numFmtId="175" fontId="11" fillId="0" borderId="0"/>
    <xf numFmtId="175" fontId="58"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1" fillId="0" borderId="0"/>
    <xf numFmtId="175" fontId="10"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10" fillId="0" borderId="0"/>
    <xf numFmtId="175" fontId="10" fillId="0" borderId="0"/>
    <xf numFmtId="175" fontId="13" fillId="0" borderId="0"/>
    <xf numFmtId="175" fontId="10" fillId="0" borderId="0"/>
    <xf numFmtId="175" fontId="9"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9" fillId="0" borderId="0"/>
    <xf numFmtId="175" fontId="9" fillId="0" borderId="0"/>
    <xf numFmtId="175" fontId="9" fillId="0" borderId="0"/>
    <xf numFmtId="175" fontId="9" fillId="0" borderId="0"/>
    <xf numFmtId="175" fontId="9" fillId="0" borderId="0"/>
    <xf numFmtId="175" fontId="9" fillId="0" borderId="0"/>
    <xf numFmtId="175" fontId="9" fillId="0" borderId="0"/>
    <xf numFmtId="175" fontId="8" fillId="0" borderId="0"/>
    <xf numFmtId="175" fontId="7" fillId="0" borderId="0"/>
    <xf numFmtId="175" fontId="60"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7" fillId="0" borderId="0"/>
    <xf numFmtId="175" fontId="13" fillId="0" borderId="0"/>
    <xf numFmtId="175" fontId="6" fillId="0" borderId="0"/>
    <xf numFmtId="0" fontId="5"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13"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4" fillId="0" borderId="0"/>
    <xf numFmtId="175" fontId="13"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175" fontId="4" fillId="0" borderId="0"/>
    <xf numFmtId="0" fontId="13"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3" fillId="0" borderId="0"/>
    <xf numFmtId="175" fontId="72" fillId="0" borderId="0"/>
    <xf numFmtId="175" fontId="15" fillId="2" borderId="0" applyNumberFormat="0" applyBorder="0" applyAlignment="0" applyProtection="0"/>
    <xf numFmtId="175" fontId="15" fillId="3" borderId="0" applyNumberFormat="0" applyBorder="0" applyAlignment="0" applyProtection="0"/>
    <xf numFmtId="175" fontId="15" fillId="4" borderId="0" applyNumberFormat="0" applyBorder="0" applyAlignment="0" applyProtection="0"/>
    <xf numFmtId="175" fontId="15" fillId="5" borderId="0" applyNumberFormat="0" applyBorder="0" applyAlignment="0" applyProtection="0"/>
    <xf numFmtId="175" fontId="15" fillId="6" borderId="0" applyNumberFormat="0" applyBorder="0" applyAlignment="0" applyProtection="0"/>
    <xf numFmtId="175" fontId="15" fillId="7" borderId="0" applyNumberFormat="0" applyBorder="0" applyAlignment="0" applyProtection="0"/>
    <xf numFmtId="175" fontId="15" fillId="8" borderId="0" applyNumberFormat="0" applyBorder="0" applyAlignment="0" applyProtection="0"/>
    <xf numFmtId="175" fontId="15" fillId="3" borderId="0" applyNumberFormat="0" applyBorder="0" applyAlignment="0" applyProtection="0"/>
    <xf numFmtId="175" fontId="15" fillId="9" borderId="0" applyNumberFormat="0" applyBorder="0" applyAlignment="0" applyProtection="0"/>
    <xf numFmtId="175" fontId="15" fillId="10" borderId="0" applyNumberFormat="0" applyBorder="0" applyAlignment="0" applyProtection="0"/>
    <xf numFmtId="175" fontId="15" fillId="8" borderId="0" applyNumberFormat="0" applyBorder="0" applyAlignment="0" applyProtection="0"/>
    <xf numFmtId="175" fontId="15" fillId="11" borderId="0" applyNumberFormat="0" applyBorder="0" applyAlignment="0" applyProtection="0"/>
    <xf numFmtId="175" fontId="18" fillId="8" borderId="0" applyNumberFormat="0" applyBorder="0" applyAlignment="0" applyProtection="0"/>
    <xf numFmtId="175" fontId="18" fillId="3" borderId="0" applyNumberFormat="0" applyBorder="0" applyAlignment="0" applyProtection="0"/>
    <xf numFmtId="175" fontId="18" fillId="9" borderId="0" applyNumberFormat="0" applyBorder="0" applyAlignment="0" applyProtection="0"/>
    <xf numFmtId="175" fontId="18" fillId="10" borderId="0" applyNumberFormat="0" applyBorder="0" applyAlignment="0" applyProtection="0"/>
    <xf numFmtId="175" fontId="18" fillId="8" borderId="0" applyNumberFormat="0" applyBorder="0" applyAlignment="0" applyProtection="0"/>
    <xf numFmtId="175" fontId="18" fillId="11" borderId="0" applyNumberFormat="0" applyBorder="0" applyAlignment="0" applyProtection="0"/>
    <xf numFmtId="175" fontId="19" fillId="12" borderId="0" applyNumberFormat="0" applyBorder="0" applyAlignment="0" applyProtection="0"/>
    <xf numFmtId="175" fontId="19" fillId="16" borderId="0" applyNumberFormat="0" applyBorder="0" applyAlignment="0" applyProtection="0"/>
    <xf numFmtId="175" fontId="19" fillId="19" borderId="0" applyNumberFormat="0" applyBorder="0" applyAlignment="0" applyProtection="0"/>
    <xf numFmtId="175" fontId="19" fillId="23" borderId="0" applyNumberFormat="0" applyBorder="0" applyAlignment="0" applyProtection="0"/>
    <xf numFmtId="175" fontId="19" fillId="24" borderId="0" applyNumberFormat="0" applyBorder="0" applyAlignment="0" applyProtection="0"/>
    <xf numFmtId="175" fontId="19" fillId="25" borderId="0" applyNumberFormat="0" applyBorder="0" applyAlignment="0" applyProtection="0"/>
    <xf numFmtId="175" fontId="21" fillId="18" borderId="0" applyNumberFormat="0" applyBorder="0" applyAlignment="0" applyProtection="0"/>
    <xf numFmtId="175" fontId="22" fillId="28" borderId="1" applyNumberFormat="0" applyAlignment="0" applyProtection="0"/>
    <xf numFmtId="175" fontId="23" fillId="19" borderId="2" applyNumberFormat="0" applyAlignment="0" applyProtection="0"/>
    <xf numFmtId="43" fontId="13" fillId="0" borderId="0" applyFont="0" applyFill="0" applyBorder="0" applyAlignment="0" applyProtection="0"/>
    <xf numFmtId="175" fontId="25" fillId="0" borderId="0" applyNumberFormat="0" applyFill="0" applyBorder="0" applyAlignment="0" applyProtection="0"/>
    <xf numFmtId="175" fontId="26" fillId="32" borderId="0" applyNumberFormat="0" applyBorder="0" applyAlignment="0" applyProtection="0"/>
    <xf numFmtId="175" fontId="27" fillId="0" borderId="3" applyNumberFormat="0" applyFill="0" applyAlignment="0" applyProtection="0"/>
    <xf numFmtId="175" fontId="28" fillId="0" borderId="4" applyNumberFormat="0" applyFill="0" applyAlignment="0" applyProtection="0"/>
    <xf numFmtId="175" fontId="29" fillId="0" borderId="5" applyNumberFormat="0" applyFill="0" applyAlignment="0" applyProtection="0"/>
    <xf numFmtId="175" fontId="29" fillId="0" borderId="0" applyNumberFormat="0" applyFill="0" applyBorder="0" applyAlignment="0" applyProtection="0"/>
    <xf numFmtId="175" fontId="30" fillId="27" borderId="1" applyNumberFormat="0" applyAlignment="0" applyProtection="0"/>
    <xf numFmtId="175" fontId="31" fillId="0" borderId="6" applyNumberFormat="0" applyFill="0" applyAlignment="0" applyProtection="0"/>
    <xf numFmtId="175" fontId="32" fillId="27" borderId="0" applyNumberFormat="0" applyBorder="0" applyAlignment="0" applyProtection="0"/>
    <xf numFmtId="175" fontId="13" fillId="26" borderId="7" applyNumberFormat="0" applyFont="0" applyAlignment="0" applyProtection="0"/>
    <xf numFmtId="175" fontId="33" fillId="28" borderId="8" applyNumberFormat="0" applyAlignment="0" applyProtection="0"/>
    <xf numFmtId="175" fontId="40" fillId="0" borderId="0" applyNumberFormat="0" applyFill="0" applyBorder="0" applyAlignment="0" applyProtection="0"/>
    <xf numFmtId="175" fontId="24" fillId="0" borderId="12" applyNumberFormat="0" applyFill="0" applyAlignment="0" applyProtection="0"/>
    <xf numFmtId="175" fontId="41" fillId="0" borderId="0" applyNumberFormat="0" applyFill="0" applyBorder="0" applyAlignment="0" applyProtection="0"/>
    <xf numFmtId="9" fontId="13" fillId="0" borderId="0" applyFont="0" applyFill="0" applyBorder="0" applyAlignment="0" applyProtection="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3" fillId="0" borderId="0"/>
    <xf numFmtId="0" fontId="7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2" fillId="0" borderId="0"/>
    <xf numFmtId="175" fontId="13"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0" fontId="13" fillId="0" borderId="0"/>
    <xf numFmtId="0" fontId="1" fillId="0" borderId="0"/>
    <xf numFmtId="4" fontId="42" fillId="0" borderId="76" applyNumberFormat="0" applyProtection="0">
      <alignment horizontal="right" vertical="center"/>
    </xf>
    <xf numFmtId="4" fontId="42" fillId="52" borderId="76" applyNumberFormat="0" applyProtection="0">
      <alignment horizontal="left" vertical="center" indent="1"/>
    </xf>
    <xf numFmtId="43" fontId="1" fillId="0" borderId="0" applyFont="0" applyFill="0" applyBorder="0" applyAlignment="0" applyProtection="0"/>
  </cellStyleXfs>
  <cellXfs count="693">
    <xf numFmtId="175" fontId="0" fillId="0" borderId="0" xfId="0"/>
    <xf numFmtId="3" fontId="13" fillId="0" borderId="24" xfId="0" applyNumberFormat="1" applyFont="1" applyBorder="1" applyAlignment="1">
      <alignment horizontal="center"/>
    </xf>
    <xf numFmtId="3" fontId="13" fillId="0" borderId="31" xfId="0" applyNumberFormat="1" applyFont="1" applyBorder="1" applyAlignment="1">
      <alignment horizontal="center"/>
    </xf>
    <xf numFmtId="3" fontId="13" fillId="0" borderId="33" xfId="0" applyNumberFormat="1" applyFont="1" applyBorder="1" applyAlignment="1">
      <alignment horizontal="center"/>
    </xf>
    <xf numFmtId="3" fontId="13" fillId="0" borderId="41" xfId="0" applyNumberFormat="1" applyFont="1" applyBorder="1" applyAlignment="1" applyProtection="1">
      <alignment wrapText="1"/>
      <protection locked="0"/>
    </xf>
    <xf numFmtId="165" fontId="13" fillId="0" borderId="25" xfId="0" applyNumberFormat="1" applyFont="1" applyBorder="1" applyAlignment="1" applyProtection="1">
      <alignment horizontal="center"/>
      <protection locked="0"/>
    </xf>
    <xf numFmtId="165" fontId="13" fillId="0" borderId="0" xfId="0" applyNumberFormat="1" applyFont="1" applyProtection="1">
      <protection locked="0"/>
    </xf>
    <xf numFmtId="3" fontId="13" fillId="0" borderId="50" xfId="0" applyNumberFormat="1" applyFont="1" applyBorder="1" applyAlignment="1" applyProtection="1">
      <alignment wrapText="1"/>
      <protection locked="0"/>
    </xf>
    <xf numFmtId="165" fontId="13" fillId="0" borderId="32"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75" fontId="13" fillId="0" borderId="0" xfId="0" applyFont="1" applyProtection="1">
      <protection locked="0"/>
    </xf>
    <xf numFmtId="175" fontId="14" fillId="0" borderId="0" xfId="0" applyFont="1" applyAlignment="1" applyProtection="1">
      <alignment horizontal="center" wrapText="1"/>
      <protection locked="0"/>
    </xf>
    <xf numFmtId="3" fontId="13" fillId="0" borderId="0" xfId="0" applyNumberFormat="1" applyFont="1" applyProtection="1">
      <protection locked="0"/>
    </xf>
    <xf numFmtId="175" fontId="14" fillId="0" borderId="0" xfId="0" applyFont="1" applyAlignment="1" applyProtection="1">
      <alignment wrapText="1"/>
      <protection locked="0"/>
    </xf>
    <xf numFmtId="3" fontId="45" fillId="0" borderId="17" xfId="0" applyNumberFormat="1" applyFont="1" applyBorder="1" applyAlignment="1">
      <alignment horizontal="center"/>
    </xf>
    <xf numFmtId="6" fontId="13" fillId="0" borderId="0" xfId="66" applyNumberFormat="1"/>
    <xf numFmtId="6" fontId="13" fillId="0" borderId="13" xfId="66" applyNumberFormat="1" applyBorder="1"/>
    <xf numFmtId="6" fontId="13" fillId="0" borderId="13" xfId="66" applyNumberFormat="1" applyBorder="1" applyAlignment="1">
      <alignment horizontal="right"/>
    </xf>
    <xf numFmtId="6" fontId="13" fillId="0" borderId="18" xfId="66" applyNumberFormat="1" applyBorder="1"/>
    <xf numFmtId="6" fontId="13" fillId="0" borderId="11" xfId="66" applyNumberFormat="1" applyBorder="1"/>
    <xf numFmtId="175" fontId="13" fillId="0" borderId="0" xfId="66"/>
    <xf numFmtId="175" fontId="15" fillId="0" borderId="0" xfId="67"/>
    <xf numFmtId="175" fontId="34" fillId="0" borderId="11" xfId="67" applyFont="1" applyBorder="1" applyAlignment="1">
      <alignment horizontal="center"/>
    </xf>
    <xf numFmtId="175" fontId="34" fillId="0" borderId="0" xfId="67" applyFont="1" applyAlignment="1">
      <alignment horizontal="center"/>
    </xf>
    <xf numFmtId="175" fontId="14" fillId="0" borderId="43" xfId="66" applyFont="1" applyBorder="1"/>
    <xf numFmtId="175" fontId="14" fillId="0" borderId="47" xfId="66" applyFont="1" applyBorder="1" applyAlignment="1">
      <alignment wrapText="1"/>
    </xf>
    <xf numFmtId="175" fontId="43" fillId="0" borderId="0" xfId="66" applyFont="1"/>
    <xf numFmtId="175" fontId="14" fillId="44" borderId="35" xfId="66" applyFont="1" applyFill="1" applyBorder="1" applyAlignment="1">
      <alignment horizontal="center"/>
    </xf>
    <xf numFmtId="175" fontId="14" fillId="0" borderId="36" xfId="66" applyFont="1" applyBorder="1" applyAlignment="1">
      <alignment horizontal="center"/>
    </xf>
    <xf numFmtId="175" fontId="44" fillId="0" borderId="45" xfId="66" applyFont="1" applyBorder="1" applyAlignment="1">
      <alignment horizontal="center"/>
    </xf>
    <xf numFmtId="175" fontId="14" fillId="0" borderId="45" xfId="66" applyFont="1" applyBorder="1" applyAlignment="1">
      <alignment horizontal="center"/>
    </xf>
    <xf numFmtId="175" fontId="13" fillId="0" borderId="45" xfId="66" applyBorder="1"/>
    <xf numFmtId="164" fontId="13" fillId="0" borderId="0" xfId="66" applyNumberFormat="1"/>
    <xf numFmtId="175" fontId="14" fillId="0" borderId="45" xfId="66" applyFont="1" applyBorder="1"/>
    <xf numFmtId="164" fontId="13" fillId="0" borderId="0" xfId="66" applyNumberFormat="1" applyAlignment="1">
      <alignment horizontal="right"/>
    </xf>
    <xf numFmtId="175" fontId="14" fillId="0" borderId="45" xfId="66" applyFont="1" applyBorder="1" applyAlignment="1">
      <alignment horizontal="left" indent="1"/>
    </xf>
    <xf numFmtId="175" fontId="14" fillId="0" borderId="45" xfId="66" applyFont="1" applyBorder="1" applyAlignment="1">
      <alignment horizontal="center" wrapText="1"/>
    </xf>
    <xf numFmtId="175" fontId="14" fillId="0" borderId="43" xfId="66" applyFont="1" applyBorder="1" applyAlignment="1">
      <alignment horizontal="left" indent="1"/>
    </xf>
    <xf numFmtId="175" fontId="14" fillId="0" borderId="49" xfId="66" applyFont="1" applyBorder="1" applyAlignment="1">
      <alignment horizontal="left" indent="1"/>
    </xf>
    <xf numFmtId="164" fontId="13" fillId="44" borderId="0" xfId="66" applyNumberFormat="1" applyFill="1"/>
    <xf numFmtId="175" fontId="14" fillId="0" borderId="37" xfId="66" applyFont="1" applyBorder="1" applyAlignment="1">
      <alignment wrapText="1"/>
    </xf>
    <xf numFmtId="164" fontId="14" fillId="0" borderId="37" xfId="66" applyNumberFormat="1" applyFont="1" applyBorder="1"/>
    <xf numFmtId="175" fontId="14" fillId="0" borderId="0" xfId="0" applyFont="1"/>
    <xf numFmtId="175" fontId="0" fillId="0" borderId="15" xfId="0" applyBorder="1"/>
    <xf numFmtId="175" fontId="14" fillId="0" borderId="34" xfId="0" applyFont="1" applyBorder="1"/>
    <xf numFmtId="175" fontId="13" fillId="0" borderId="0" xfId="0" applyFont="1"/>
    <xf numFmtId="175" fontId="13" fillId="0" borderId="13" xfId="0" applyFont="1" applyBorder="1"/>
    <xf numFmtId="175" fontId="34" fillId="0" borderId="0" xfId="0" applyFont="1" applyProtection="1">
      <protection locked="0"/>
    </xf>
    <xf numFmtId="175" fontId="15" fillId="0" borderId="0" xfId="0" applyFont="1" applyProtection="1">
      <protection locked="0"/>
    </xf>
    <xf numFmtId="165" fontId="15" fillId="0" borderId="0" xfId="0" applyNumberFormat="1" applyFont="1" applyProtection="1">
      <protection locked="0"/>
    </xf>
    <xf numFmtId="175" fontId="46" fillId="0" borderId="0" xfId="0" applyFont="1" applyProtection="1">
      <protection locked="0"/>
    </xf>
    <xf numFmtId="172" fontId="34" fillId="0" borderId="0" xfId="0" applyNumberFormat="1" applyFont="1" applyAlignment="1" applyProtection="1">
      <alignment horizontal="right"/>
      <protection locked="0"/>
    </xf>
    <xf numFmtId="172" fontId="34" fillId="0" borderId="0" xfId="0" applyNumberFormat="1" applyFont="1" applyAlignment="1" applyProtection="1">
      <alignment horizontal="center"/>
      <protection locked="0"/>
    </xf>
    <xf numFmtId="38" fontId="47" fillId="0" borderId="0" xfId="0" applyNumberFormat="1" applyFont="1" applyProtection="1">
      <protection locked="0"/>
    </xf>
    <xf numFmtId="165" fontId="47" fillId="0" borderId="0" xfId="0" applyNumberFormat="1" applyFont="1" applyProtection="1">
      <protection locked="0"/>
    </xf>
    <xf numFmtId="175" fontId="47" fillId="0" borderId="0" xfId="0" applyFont="1" applyProtection="1">
      <protection locked="0"/>
    </xf>
    <xf numFmtId="175" fontId="15" fillId="0" borderId="0" xfId="0" applyFont="1" applyAlignment="1" applyProtection="1">
      <alignment horizontal="left" indent="1"/>
      <protection locked="0"/>
    </xf>
    <xf numFmtId="175" fontId="15" fillId="0" borderId="0" xfId="0" applyFont="1"/>
    <xf numFmtId="175" fontId="34" fillId="0" borderId="11" xfId="0" applyFont="1" applyBorder="1" applyAlignment="1">
      <alignment horizontal="center" wrapText="1"/>
    </xf>
    <xf numFmtId="175" fontId="15" fillId="0" borderId="11" xfId="0" applyFont="1" applyBorder="1"/>
    <xf numFmtId="172" fontId="15" fillId="0" borderId="11" xfId="0" applyNumberFormat="1" applyFont="1" applyBorder="1"/>
    <xf numFmtId="172" fontId="15" fillId="0" borderId="11" xfId="46" applyNumberFormat="1" applyFont="1" applyBorder="1" applyAlignment="1">
      <alignment horizontal="right"/>
    </xf>
    <xf numFmtId="166" fontId="15" fillId="0" borderId="11" xfId="46" applyNumberFormat="1" applyFont="1" applyBorder="1" applyAlignment="1">
      <alignment horizontal="right"/>
    </xf>
    <xf numFmtId="172" fontId="34" fillId="0" borderId="11" xfId="46" applyNumberFormat="1" applyFont="1" applyBorder="1" applyAlignment="1">
      <alignment horizontal="right" wrapText="1"/>
    </xf>
    <xf numFmtId="166" fontId="34" fillId="0" borderId="11" xfId="0" applyNumberFormat="1" applyFont="1" applyBorder="1"/>
    <xf numFmtId="166" fontId="15" fillId="0" borderId="11" xfId="46" applyNumberFormat="1" applyFont="1" applyBorder="1" applyAlignment="1">
      <alignment horizontal="right" wrapText="1"/>
    </xf>
    <xf numFmtId="166" fontId="15" fillId="0" borderId="11" xfId="0" applyNumberFormat="1" applyFont="1" applyBorder="1"/>
    <xf numFmtId="175" fontId="34" fillId="0" borderId="20" xfId="0" applyFont="1" applyBorder="1"/>
    <xf numFmtId="166" fontId="34" fillId="0" borderId="20" xfId="0" applyNumberFormat="1" applyFont="1" applyBorder="1"/>
    <xf numFmtId="175" fontId="34" fillId="0" borderId="20" xfId="0" applyFont="1" applyBorder="1" applyAlignment="1">
      <alignment horizontal="center"/>
    </xf>
    <xf numFmtId="166" fontId="34" fillId="0" borderId="11" xfId="0" applyNumberFormat="1" applyFont="1" applyBorder="1" applyAlignment="1">
      <alignment horizontal="center" wrapText="1"/>
    </xf>
    <xf numFmtId="166" fontId="34" fillId="0" borderId="11" xfId="0" applyNumberFormat="1" applyFont="1" applyBorder="1" applyAlignment="1">
      <alignment horizontal="center"/>
    </xf>
    <xf numFmtId="166" fontId="34" fillId="0" borderId="20" xfId="0" applyNumberFormat="1" applyFont="1" applyBorder="1" applyAlignment="1">
      <alignment horizontal="center"/>
    </xf>
    <xf numFmtId="166" fontId="15" fillId="0" borderId="27" xfId="0" applyNumberFormat="1" applyFont="1" applyBorder="1"/>
    <xf numFmtId="166" fontId="34" fillId="0" borderId="27" xfId="0" applyNumberFormat="1" applyFont="1" applyBorder="1"/>
    <xf numFmtId="166" fontId="15" fillId="0" borderId="18" xfId="46" applyNumberFormat="1" applyFont="1" applyBorder="1" applyAlignment="1">
      <alignment horizontal="right"/>
    </xf>
    <xf numFmtId="166" fontId="15" fillId="0" borderId="18" xfId="0" applyNumberFormat="1" applyFont="1" applyBorder="1"/>
    <xf numFmtId="166" fontId="15" fillId="0" borderId="19" xfId="0" applyNumberFormat="1" applyFont="1" applyBorder="1"/>
    <xf numFmtId="172" fontId="34" fillId="0" borderId="11" xfId="0" applyNumberFormat="1" applyFont="1" applyBorder="1"/>
    <xf numFmtId="166" fontId="34" fillId="0" borderId="11" xfId="46" applyNumberFormat="1" applyFont="1" applyBorder="1" applyAlignment="1">
      <alignment horizontal="right"/>
    </xf>
    <xf numFmtId="172" fontId="34" fillId="0" borderId="20" xfId="0" applyNumberFormat="1" applyFont="1" applyBorder="1" applyAlignment="1">
      <alignment horizontal="right"/>
    </xf>
    <xf numFmtId="172" fontId="34" fillId="0" borderId="20" xfId="0" applyNumberFormat="1" applyFont="1" applyBorder="1" applyAlignment="1">
      <alignment horizontal="center"/>
    </xf>
    <xf numFmtId="166" fontId="15" fillId="0" borderId="11" xfId="0" quotePrefix="1" applyNumberFormat="1" applyFont="1" applyBorder="1" applyAlignment="1">
      <alignment horizontal="center"/>
    </xf>
    <xf numFmtId="166" fontId="15" fillId="0" borderId="11" xfId="46" applyNumberFormat="1" applyFont="1" applyBorder="1" applyAlignment="1">
      <alignment horizontal="center"/>
    </xf>
    <xf numFmtId="166" fontId="34" fillId="0" borderId="20" xfId="0" applyNumberFormat="1" applyFont="1" applyBorder="1" applyAlignment="1">
      <alignment horizontal="right"/>
    </xf>
    <xf numFmtId="175" fontId="34" fillId="0" borderId="27" xfId="0" applyFont="1" applyBorder="1"/>
    <xf numFmtId="175" fontId="34" fillId="0" borderId="0" xfId="0" applyFont="1"/>
    <xf numFmtId="38" fontId="15" fillId="0" borderId="0" xfId="0" applyNumberFormat="1" applyFont="1"/>
    <xf numFmtId="165" fontId="15" fillId="0" borderId="0" xfId="0" applyNumberFormat="1" applyFont="1"/>
    <xf numFmtId="175" fontId="13" fillId="0" borderId="13" xfId="0" applyFont="1" applyBorder="1" applyProtection="1">
      <protection locked="0"/>
    </xf>
    <xf numFmtId="9" fontId="13" fillId="0" borderId="0" xfId="145" applyFont="1" applyProtection="1">
      <protection locked="0"/>
    </xf>
    <xf numFmtId="175" fontId="14" fillId="0" borderId="14" xfId="0" applyFont="1" applyBorder="1" applyAlignment="1" applyProtection="1">
      <alignment horizontal="center"/>
      <protection locked="0"/>
    </xf>
    <xf numFmtId="175" fontId="13" fillId="0" borderId="16" xfId="0" applyFont="1" applyBorder="1" applyProtection="1">
      <protection locked="0"/>
    </xf>
    <xf numFmtId="175" fontId="14" fillId="0" borderId="11" xfId="0" applyFont="1" applyBorder="1" applyAlignment="1" applyProtection="1">
      <alignment horizontal="center"/>
      <protection locked="0"/>
    </xf>
    <xf numFmtId="166" fontId="13" fillId="0" borderId="0" xfId="0" applyNumberFormat="1" applyFont="1" applyAlignment="1">
      <alignment horizontal="center"/>
    </xf>
    <xf numFmtId="173" fontId="13" fillId="0" borderId="0" xfId="0" applyNumberFormat="1" applyFont="1" applyAlignment="1">
      <alignment horizontal="center"/>
    </xf>
    <xf numFmtId="3" fontId="13" fillId="0" borderId="0" xfId="0" applyNumberFormat="1" applyFont="1" applyAlignment="1">
      <alignment horizontal="center"/>
    </xf>
    <xf numFmtId="165" fontId="13" fillId="0" borderId="0" xfId="0" applyNumberFormat="1" applyFont="1" applyAlignment="1">
      <alignment horizontal="center"/>
    </xf>
    <xf numFmtId="175" fontId="34" fillId="0" borderId="16" xfId="0" applyFont="1" applyBorder="1" applyAlignment="1" applyProtection="1">
      <alignment horizontal="center"/>
      <protection locked="0"/>
    </xf>
    <xf numFmtId="175" fontId="15" fillId="0" borderId="11" xfId="0" applyFont="1" applyBorder="1" applyProtection="1">
      <protection locked="0"/>
    </xf>
    <xf numFmtId="175" fontId="34" fillId="0" borderId="20" xfId="0" applyFont="1" applyBorder="1" applyProtection="1">
      <protection locked="0"/>
    </xf>
    <xf numFmtId="175" fontId="34" fillId="0" borderId="20" xfId="0" applyFont="1" applyBorder="1" applyAlignment="1" applyProtection="1">
      <alignment horizontal="center"/>
      <protection locked="0"/>
    </xf>
    <xf numFmtId="175" fontId="34" fillId="0" borderId="22" xfId="0" applyFont="1" applyBorder="1" applyProtection="1">
      <protection locked="0"/>
    </xf>
    <xf numFmtId="175" fontId="15" fillId="0" borderId="11" xfId="0" applyFont="1" applyBorder="1" applyAlignment="1" applyProtection="1">
      <alignment wrapText="1" shrinkToFit="1"/>
      <protection locked="0"/>
    </xf>
    <xf numFmtId="175" fontId="34" fillId="0" borderId="11" xfId="0" applyFont="1" applyBorder="1" applyProtection="1">
      <protection locked="0"/>
    </xf>
    <xf numFmtId="175" fontId="15" fillId="0" borderId="16" xfId="0" applyFont="1" applyBorder="1" applyProtection="1">
      <protection locked="0"/>
    </xf>
    <xf numFmtId="38" fontId="53" fillId="0" borderId="17" xfId="0" applyNumberFormat="1" applyFont="1" applyBorder="1" applyAlignment="1">
      <alignment horizontal="center"/>
    </xf>
    <xf numFmtId="172" fontId="15" fillId="0" borderId="11" xfId="0" quotePrefix="1" applyNumberFormat="1" applyFont="1" applyBorder="1" applyAlignment="1">
      <alignment horizontal="center"/>
    </xf>
    <xf numFmtId="172" fontId="15" fillId="0" borderId="11" xfId="0" quotePrefix="1" applyNumberFormat="1" applyFont="1" applyBorder="1" applyAlignment="1">
      <alignment horizontal="right"/>
    </xf>
    <xf numFmtId="172" fontId="34" fillId="0" borderId="20" xfId="0" quotePrefix="1" applyNumberFormat="1" applyFont="1" applyBorder="1" applyAlignment="1">
      <alignment horizontal="center"/>
    </xf>
    <xf numFmtId="172" fontId="34" fillId="0" borderId="20" xfId="0" applyNumberFormat="1" applyFont="1" applyBorder="1"/>
    <xf numFmtId="38" fontId="15" fillId="0" borderId="11" xfId="0" applyNumberFormat="1" applyFont="1" applyBorder="1"/>
    <xf numFmtId="165" fontId="34" fillId="0" borderId="11" xfId="0" applyNumberFormat="1" applyFont="1" applyBorder="1"/>
    <xf numFmtId="172" fontId="34" fillId="0" borderId="11" xfId="46" applyNumberFormat="1" applyFont="1" applyBorder="1" applyAlignment="1">
      <alignment horizontal="right"/>
    </xf>
    <xf numFmtId="38" fontId="15" fillId="0" borderId="27" xfId="0" applyNumberFormat="1" applyFont="1" applyBorder="1"/>
    <xf numFmtId="165" fontId="34" fillId="0" borderId="27" xfId="0" applyNumberFormat="1" applyFont="1" applyBorder="1"/>
    <xf numFmtId="175" fontId="15" fillId="0" borderId="20" xfId="0" applyFont="1" applyBorder="1"/>
    <xf numFmtId="170" fontId="15" fillId="0" borderId="18" xfId="46" applyNumberFormat="1" applyFont="1" applyBorder="1" applyAlignment="1">
      <alignment horizontal="right"/>
    </xf>
    <xf numFmtId="169" fontId="34" fillId="0" borderId="18" xfId="46" applyNumberFormat="1" applyFont="1" applyBorder="1" applyAlignment="1">
      <alignment horizontal="right"/>
    </xf>
    <xf numFmtId="170" fontId="15" fillId="0" borderId="11" xfId="46" applyNumberFormat="1" applyFont="1" applyBorder="1" applyAlignment="1">
      <alignment horizontal="right"/>
    </xf>
    <xf numFmtId="169" fontId="34" fillId="0" borderId="11" xfId="46" applyNumberFormat="1" applyFont="1" applyBorder="1" applyAlignment="1">
      <alignment horizontal="right"/>
    </xf>
    <xf numFmtId="166" fontId="34" fillId="0" borderId="11" xfId="46" applyNumberFormat="1" applyFont="1" applyBorder="1" applyAlignment="1">
      <alignment horizontal="right" wrapText="1"/>
    </xf>
    <xf numFmtId="166" fontId="15" fillId="0" borderId="11" xfId="0" quotePrefix="1" applyNumberFormat="1" applyFont="1" applyBorder="1" applyAlignment="1">
      <alignment horizontal="right"/>
    </xf>
    <xf numFmtId="166" fontId="34" fillId="0" borderId="20" xfId="0" quotePrefix="1" applyNumberFormat="1" applyFont="1" applyBorder="1" applyAlignment="1">
      <alignment horizontal="center"/>
    </xf>
    <xf numFmtId="166" fontId="15" fillId="0" borderId="20" xfId="0" applyNumberFormat="1" applyFont="1" applyBorder="1"/>
    <xf numFmtId="166" fontId="34" fillId="0" borderId="18" xfId="46" applyNumberFormat="1" applyFont="1" applyBorder="1" applyAlignment="1">
      <alignment horizontal="right"/>
    </xf>
    <xf numFmtId="175" fontId="15" fillId="0" borderId="18" xfId="0" applyFont="1" applyBorder="1"/>
    <xf numFmtId="175" fontId="59" fillId="0" borderId="0" xfId="0" applyFont="1"/>
    <xf numFmtId="3" fontId="45" fillId="0" borderId="17" xfId="0" applyNumberFormat="1" applyFont="1" applyBorder="1" applyAlignment="1" applyProtection="1">
      <alignment horizontal="center"/>
      <protection locked="0"/>
    </xf>
    <xf numFmtId="3" fontId="13" fillId="0" borderId="24" xfId="0" applyNumberFormat="1" applyFont="1" applyBorder="1" applyAlignment="1" applyProtection="1">
      <alignment horizontal="center"/>
      <protection locked="0"/>
    </xf>
    <xf numFmtId="3" fontId="45" fillId="0" borderId="20" xfId="0" applyNumberFormat="1" applyFont="1" applyBorder="1" applyAlignment="1" applyProtection="1">
      <alignment horizontal="center"/>
      <protection locked="0"/>
    </xf>
    <xf numFmtId="38" fontId="53" fillId="0" borderId="11" xfId="146" applyNumberFormat="1" applyFont="1" applyBorder="1" applyAlignment="1" applyProtection="1">
      <alignment horizontal="center"/>
      <protection locked="0"/>
    </xf>
    <xf numFmtId="175" fontId="34" fillId="0" borderId="11" xfId="0" applyFont="1" applyBorder="1" applyAlignment="1" applyProtection="1">
      <alignment horizontal="center" wrapText="1"/>
      <protection locked="0"/>
    </xf>
    <xf numFmtId="175" fontId="14" fillId="0" borderId="0" xfId="66" applyFont="1" applyProtection="1">
      <protection locked="0"/>
    </xf>
    <xf numFmtId="175" fontId="13" fillId="0" borderId="0" xfId="66" applyProtection="1">
      <protection locked="0"/>
    </xf>
    <xf numFmtId="175" fontId="13" fillId="0" borderId="36" xfId="66" applyBorder="1" applyProtection="1">
      <protection locked="0"/>
    </xf>
    <xf numFmtId="175" fontId="13" fillId="0" borderId="37" xfId="66" applyBorder="1" applyProtection="1">
      <protection locked="0"/>
    </xf>
    <xf numFmtId="175" fontId="13" fillId="0" borderId="38" xfId="66" applyBorder="1" applyProtection="1">
      <protection locked="0"/>
    </xf>
    <xf numFmtId="175" fontId="13" fillId="0" borderId="14" xfId="66" applyBorder="1" applyProtection="1">
      <protection locked="0"/>
    </xf>
    <xf numFmtId="175" fontId="13" fillId="0" borderId="18" xfId="66" applyBorder="1" applyProtection="1">
      <protection locked="0"/>
    </xf>
    <xf numFmtId="175" fontId="13" fillId="0" borderId="19" xfId="66" applyBorder="1" applyProtection="1">
      <protection locked="0"/>
    </xf>
    <xf numFmtId="175" fontId="14" fillId="0" borderId="11" xfId="66" applyFont="1" applyBorder="1" applyAlignment="1" applyProtection="1">
      <alignment horizontal="center" wrapText="1"/>
      <protection locked="0"/>
    </xf>
    <xf numFmtId="6" fontId="13" fillId="0" borderId="0" xfId="66" applyNumberFormat="1" applyProtection="1">
      <protection locked="0"/>
    </xf>
    <xf numFmtId="175" fontId="14" fillId="0" borderId="13" xfId="66" applyFont="1" applyBorder="1" applyAlignment="1" applyProtection="1">
      <alignment horizontal="center" wrapText="1"/>
      <protection locked="0"/>
    </xf>
    <xf numFmtId="175" fontId="13" fillId="0" borderId="13" xfId="66" applyBorder="1" applyProtection="1">
      <protection locked="0"/>
    </xf>
    <xf numFmtId="164" fontId="13" fillId="0" borderId="42" xfId="66" applyNumberFormat="1" applyBorder="1" applyProtection="1">
      <protection locked="0"/>
    </xf>
    <xf numFmtId="175" fontId="13" fillId="0" borderId="42" xfId="66" applyBorder="1" applyProtection="1">
      <protection locked="0"/>
    </xf>
    <xf numFmtId="6" fontId="13" fillId="0" borderId="0" xfId="66" applyNumberFormat="1" applyAlignment="1" applyProtection="1">
      <alignment horizontal="right"/>
      <protection locked="0"/>
    </xf>
    <xf numFmtId="175" fontId="15" fillId="0" borderId="0" xfId="67" applyProtection="1">
      <protection locked="0"/>
    </xf>
    <xf numFmtId="175" fontId="15" fillId="0" borderId="11" xfId="67" applyBorder="1" applyProtection="1">
      <protection locked="0"/>
    </xf>
    <xf numFmtId="175" fontId="34" fillId="0" borderId="11" xfId="67" applyFont="1" applyBorder="1" applyProtection="1">
      <protection locked="0"/>
    </xf>
    <xf numFmtId="175" fontId="52" fillId="0" borderId="0" xfId="0" applyFont="1" applyProtection="1">
      <protection locked="0"/>
    </xf>
    <xf numFmtId="175" fontId="14" fillId="0" borderId="0" xfId="0" applyFont="1" applyProtection="1">
      <protection locked="0"/>
    </xf>
    <xf numFmtId="175" fontId="63" fillId="0" borderId="0" xfId="0" applyFont="1" applyAlignment="1">
      <alignment horizontal="left" vertical="center" indent="4"/>
    </xf>
    <xf numFmtId="175" fontId="14" fillId="0" borderId="0" xfId="0" applyFont="1" applyAlignment="1" applyProtection="1">
      <alignment horizontal="center"/>
      <protection locked="0"/>
    </xf>
    <xf numFmtId="17" fontId="14" fillId="0" borderId="0" xfId="0" quotePrefix="1" applyNumberFormat="1" applyFont="1" applyAlignment="1" applyProtection="1">
      <alignment horizontal="center"/>
      <protection locked="0"/>
    </xf>
    <xf numFmtId="175" fontId="0" fillId="47" borderId="0" xfId="0" applyFill="1"/>
    <xf numFmtId="17" fontId="14" fillId="47" borderId="0" xfId="0" quotePrefix="1" applyNumberFormat="1" applyFont="1" applyFill="1" applyAlignment="1" applyProtection="1">
      <alignment horizontal="center"/>
      <protection locked="0"/>
    </xf>
    <xf numFmtId="175" fontId="13" fillId="47" borderId="0" xfId="0" applyFont="1" applyFill="1" applyProtection="1">
      <protection locked="0"/>
    </xf>
    <xf numFmtId="175" fontId="51" fillId="0" borderId="0" xfId="0" applyFont="1" applyAlignment="1">
      <alignment horizontal="center"/>
    </xf>
    <xf numFmtId="38" fontId="13" fillId="0" borderId="24" xfId="0" applyNumberFormat="1" applyFont="1" applyBorder="1" applyAlignment="1">
      <alignment horizontal="center"/>
    </xf>
    <xf numFmtId="38" fontId="13" fillId="0" borderId="24" xfId="0" applyNumberFormat="1" applyFont="1" applyBorder="1" applyAlignment="1" applyProtection="1">
      <alignment horizontal="center"/>
      <protection locked="0"/>
    </xf>
    <xf numFmtId="175" fontId="13" fillId="0" borderId="17" xfId="0" applyFont="1" applyBorder="1" applyProtection="1">
      <protection locked="0"/>
    </xf>
    <xf numFmtId="3" fontId="13" fillId="0" borderId="29" xfId="0" applyNumberFormat="1" applyFont="1" applyBorder="1" applyAlignment="1">
      <alignment horizontal="center"/>
    </xf>
    <xf numFmtId="3" fontId="53" fillId="0" borderId="22" xfId="0" applyNumberFormat="1" applyFont="1" applyBorder="1" applyAlignment="1">
      <alignment horizontal="center"/>
    </xf>
    <xf numFmtId="3" fontId="53" fillId="0" borderId="17" xfId="0" applyNumberFormat="1" applyFont="1" applyBorder="1" applyAlignment="1">
      <alignment horizontal="center"/>
    </xf>
    <xf numFmtId="175" fontId="13" fillId="47" borderId="0" xfId="66" applyFill="1"/>
    <xf numFmtId="175" fontId="14" fillId="47" borderId="0" xfId="0" applyFont="1" applyFill="1" applyAlignment="1" applyProtection="1">
      <alignment horizontal="center"/>
      <protection locked="0"/>
    </xf>
    <xf numFmtId="175" fontId="14" fillId="0" borderId="11" xfId="0" applyFont="1" applyBorder="1" applyAlignment="1" applyProtection="1">
      <alignment horizontal="left"/>
      <protection locked="0"/>
    </xf>
    <xf numFmtId="175" fontId="13" fillId="0" borderId="17" xfId="0" applyFont="1" applyBorder="1"/>
    <xf numFmtId="17" fontId="15" fillId="0" borderId="0" xfId="0" applyNumberFormat="1" applyFont="1" applyAlignment="1" applyProtection="1">
      <alignment horizontal="center"/>
      <protection locked="0"/>
    </xf>
    <xf numFmtId="175" fontId="34" fillId="48" borderId="20" xfId="0" applyFont="1" applyFill="1" applyBorder="1" applyAlignment="1" applyProtection="1">
      <alignment horizontal="center" vertical="center"/>
      <protection locked="0"/>
    </xf>
    <xf numFmtId="175" fontId="34" fillId="48" borderId="11" xfId="0" applyFont="1" applyFill="1" applyBorder="1" applyAlignment="1" applyProtection="1">
      <alignment horizontal="center" vertical="center"/>
      <protection locked="0"/>
    </xf>
    <xf numFmtId="175" fontId="34" fillId="0" borderId="20" xfId="0" applyFont="1" applyBorder="1" applyAlignment="1" applyProtection="1">
      <alignment horizontal="right"/>
      <protection locked="0"/>
    </xf>
    <xf numFmtId="175" fontId="15" fillId="0" borderId="11" xfId="0" applyFont="1" applyBorder="1" applyAlignment="1" applyProtection="1">
      <alignment horizontal="left"/>
      <protection locked="0"/>
    </xf>
    <xf numFmtId="175" fontId="14" fillId="0" borderId="19" xfId="0" applyFont="1" applyBorder="1" applyAlignment="1" applyProtection="1">
      <alignment horizontal="center" wrapText="1"/>
      <protection locked="0"/>
    </xf>
    <xf numFmtId="3" fontId="14" fillId="0" borderId="26" xfId="0" applyNumberFormat="1" applyFont="1" applyBorder="1" applyAlignment="1">
      <alignment horizontal="center" wrapText="1"/>
    </xf>
    <xf numFmtId="174" fontId="13" fillId="0" borderId="24" xfId="0" applyNumberFormat="1" applyFont="1" applyBorder="1"/>
    <xf numFmtId="3" fontId="14" fillId="0" borderId="27" xfId="0" applyNumberFormat="1" applyFont="1" applyBorder="1" applyAlignment="1">
      <alignment horizontal="center" wrapText="1"/>
    </xf>
    <xf numFmtId="175" fontId="14" fillId="0" borderId="52" xfId="0" applyFont="1" applyBorder="1" applyAlignment="1">
      <alignment horizontal="center"/>
    </xf>
    <xf numFmtId="4" fontId="13" fillId="0" borderId="32" xfId="0" applyNumberFormat="1" applyFont="1" applyBorder="1" applyAlignment="1">
      <alignment horizontal="right"/>
    </xf>
    <xf numFmtId="4" fontId="13" fillId="0" borderId="29" xfId="0" applyNumberFormat="1" applyFont="1" applyBorder="1" applyAlignment="1">
      <alignment horizontal="right"/>
    </xf>
    <xf numFmtId="175" fontId="14" fillId="0" borderId="17" xfId="0" applyFont="1" applyBorder="1" applyProtection="1">
      <protection locked="0"/>
    </xf>
    <xf numFmtId="175" fontId="14" fillId="0" borderId="11" xfId="0" applyFont="1" applyBorder="1" applyProtection="1">
      <protection locked="0"/>
    </xf>
    <xf numFmtId="175" fontId="14" fillId="0" borderId="18" xfId="0" applyFont="1" applyBorder="1" applyAlignment="1" applyProtection="1">
      <alignment horizontal="center" wrapText="1"/>
      <protection locked="0"/>
    </xf>
    <xf numFmtId="175" fontId="14" fillId="0" borderId="11" xfId="0" applyFont="1" applyBorder="1" applyAlignment="1" applyProtection="1">
      <alignment horizontal="center" wrapText="1"/>
      <protection locked="0"/>
    </xf>
    <xf numFmtId="175" fontId="14" fillId="0" borderId="20" xfId="0" applyFont="1" applyBorder="1" applyAlignment="1" applyProtection="1">
      <alignment horizontal="center" wrapText="1"/>
      <protection locked="0"/>
    </xf>
    <xf numFmtId="175" fontId="14" fillId="0" borderId="21" xfId="0" applyFont="1" applyBorder="1" applyAlignment="1" applyProtection="1">
      <alignment horizontal="center" wrapText="1"/>
      <protection locked="0"/>
    </xf>
    <xf numFmtId="175" fontId="14" fillId="0" borderId="18" xfId="0" applyFont="1" applyBorder="1" applyAlignment="1">
      <alignment horizontal="center" wrapText="1"/>
    </xf>
    <xf numFmtId="175" fontId="14" fillId="0" borderId="18" xfId="0" applyFont="1" applyBorder="1" applyAlignment="1">
      <alignment horizontal="center"/>
    </xf>
    <xf numFmtId="175" fontId="14" fillId="0" borderId="20" xfId="0" applyFont="1" applyBorder="1" applyAlignment="1">
      <alignment horizontal="center" wrapText="1"/>
    </xf>
    <xf numFmtId="175" fontId="14" fillId="0" borderId="19" xfId="0" applyFont="1" applyBorder="1" applyAlignment="1">
      <alignment horizontal="center"/>
    </xf>
    <xf numFmtId="175" fontId="14" fillId="0" borderId="19" xfId="0" applyFont="1" applyBorder="1" applyAlignment="1" applyProtection="1">
      <alignment horizontal="center"/>
      <protection locked="0"/>
    </xf>
    <xf numFmtId="175" fontId="14" fillId="0" borderId="23" xfId="0" applyFont="1" applyBorder="1" applyProtection="1">
      <protection locked="0"/>
    </xf>
    <xf numFmtId="3" fontId="14" fillId="0" borderId="20" xfId="0" applyNumberFormat="1" applyFont="1" applyBorder="1" applyAlignment="1">
      <alignment horizontal="center" wrapText="1"/>
    </xf>
    <xf numFmtId="2" fontId="14" fillId="0" borderId="18" xfId="0" applyNumberFormat="1" applyFont="1" applyBorder="1" applyAlignment="1">
      <alignment horizontal="center" wrapText="1"/>
    </xf>
    <xf numFmtId="175" fontId="14" fillId="0" borderId="26" xfId="0" applyFont="1" applyBorder="1" applyAlignment="1">
      <alignment horizontal="center"/>
    </xf>
    <xf numFmtId="3" fontId="14" fillId="0" borderId="18" xfId="0" applyNumberFormat="1" applyFont="1" applyBorder="1" applyAlignment="1">
      <alignment horizontal="center" wrapText="1"/>
    </xf>
    <xf numFmtId="3" fontId="14" fillId="0" borderId="20" xfId="0" applyNumberFormat="1" applyFont="1" applyBorder="1" applyAlignment="1" applyProtection="1">
      <alignment horizontal="center" wrapText="1"/>
      <protection locked="0"/>
    </xf>
    <xf numFmtId="175" fontId="14" fillId="0" borderId="51" xfId="0" applyFont="1" applyBorder="1" applyAlignment="1">
      <alignment horizontal="center"/>
    </xf>
    <xf numFmtId="175" fontId="14" fillId="0" borderId="28" xfId="0" applyFont="1" applyBorder="1" applyProtection="1">
      <protection locked="0"/>
    </xf>
    <xf numFmtId="175" fontId="39" fillId="0" borderId="0" xfId="0" applyFont="1" applyProtection="1">
      <protection locked="0"/>
    </xf>
    <xf numFmtId="3" fontId="39" fillId="0" borderId="0" xfId="0" applyNumberFormat="1" applyFont="1" applyProtection="1">
      <protection locked="0"/>
    </xf>
    <xf numFmtId="1" fontId="39" fillId="0" borderId="0" xfId="0" applyNumberFormat="1" applyFont="1" applyProtection="1">
      <protection locked="0"/>
    </xf>
    <xf numFmtId="175" fontId="14" fillId="47" borderId="18" xfId="0" applyFont="1" applyFill="1" applyBorder="1" applyAlignment="1" applyProtection="1">
      <alignment horizontal="center" wrapText="1"/>
      <protection locked="0"/>
    </xf>
    <xf numFmtId="175" fontId="15" fillId="47" borderId="0" xfId="67" applyFill="1" applyProtection="1">
      <protection locked="0"/>
    </xf>
    <xf numFmtId="175" fontId="13" fillId="47" borderId="0" xfId="66" applyFill="1" applyProtection="1">
      <protection locked="0"/>
    </xf>
    <xf numFmtId="17" fontId="14" fillId="47" borderId="0" xfId="0" applyNumberFormat="1" applyFont="1" applyFill="1" applyAlignment="1" applyProtection="1">
      <alignment horizontal="center"/>
      <protection locked="0"/>
    </xf>
    <xf numFmtId="175" fontId="15" fillId="47" borderId="0" xfId="0" applyFont="1" applyFill="1" applyProtection="1">
      <protection locked="0"/>
    </xf>
    <xf numFmtId="164" fontId="13" fillId="0" borderId="53" xfId="66" applyNumberFormat="1" applyBorder="1" applyProtection="1">
      <protection locked="0"/>
    </xf>
    <xf numFmtId="175" fontId="51" fillId="47" borderId="0" xfId="0" applyFont="1" applyFill="1" applyAlignment="1">
      <alignment horizontal="center"/>
    </xf>
    <xf numFmtId="175" fontId="14" fillId="0" borderId="53" xfId="66" applyFont="1" applyBorder="1" applyProtection="1">
      <protection locked="0"/>
    </xf>
    <xf numFmtId="175" fontId="14" fillId="47" borderId="0" xfId="0" applyFont="1" applyFill="1" applyProtection="1">
      <protection locked="0"/>
    </xf>
    <xf numFmtId="6" fontId="13" fillId="0" borderId="19" xfId="66" applyNumberFormat="1" applyBorder="1"/>
    <xf numFmtId="175" fontId="0" fillId="0" borderId="0" xfId="0" quotePrefix="1"/>
    <xf numFmtId="175" fontId="13" fillId="47" borderId="17" xfId="0" applyFont="1" applyFill="1" applyBorder="1"/>
    <xf numFmtId="3" fontId="53" fillId="47" borderId="17" xfId="0" applyNumberFormat="1" applyFont="1" applyFill="1" applyBorder="1" applyAlignment="1">
      <alignment horizontal="center"/>
    </xf>
    <xf numFmtId="175" fontId="14" fillId="0" borderId="43" xfId="66" quotePrefix="1" applyFont="1" applyBorder="1" applyAlignment="1">
      <alignment horizontal="left" wrapText="1" indent="1"/>
    </xf>
    <xf numFmtId="175" fontId="15" fillId="0" borderId="0" xfId="0" quotePrefix="1" applyFont="1" applyProtection="1">
      <protection locked="0"/>
    </xf>
    <xf numFmtId="175" fontId="65" fillId="0" borderId="0" xfId="0" applyFont="1" applyAlignment="1" applyProtection="1">
      <alignment horizontal="center"/>
      <protection locked="0"/>
    </xf>
    <xf numFmtId="168" fontId="50" fillId="0" borderId="0" xfId="52" applyNumberFormat="1" applyFont="1"/>
    <xf numFmtId="175" fontId="66" fillId="43" borderId="0" xfId="66" applyFont="1" applyFill="1"/>
    <xf numFmtId="44" fontId="66" fillId="43" borderId="0" xfId="50" applyFont="1" applyFill="1"/>
    <xf numFmtId="175" fontId="66" fillId="47" borderId="0" xfId="66" applyFont="1" applyFill="1"/>
    <xf numFmtId="17" fontId="65" fillId="47" borderId="0" xfId="0" applyNumberFormat="1" applyFont="1" applyFill="1" applyAlignment="1" applyProtection="1">
      <alignment horizontal="center"/>
      <protection locked="0"/>
    </xf>
    <xf numFmtId="175" fontId="65" fillId="44" borderId="35" xfId="66" applyFont="1" applyFill="1" applyBorder="1"/>
    <xf numFmtId="175" fontId="66" fillId="43" borderId="37" xfId="66" applyFont="1" applyFill="1" applyBorder="1"/>
    <xf numFmtId="44" fontId="66" fillId="43" borderId="37" xfId="50" applyFont="1" applyFill="1" applyBorder="1"/>
    <xf numFmtId="175" fontId="65" fillId="44" borderId="43" xfId="66" applyFont="1" applyFill="1" applyBorder="1" applyAlignment="1">
      <alignment horizontal="center"/>
    </xf>
    <xf numFmtId="175" fontId="65" fillId="44" borderId="45" xfId="66" applyFont="1" applyFill="1" applyBorder="1" applyAlignment="1">
      <alignment horizontal="center"/>
    </xf>
    <xf numFmtId="175" fontId="65" fillId="43" borderId="0" xfId="66" applyFont="1" applyFill="1" applyAlignment="1">
      <alignment horizontal="center"/>
    </xf>
    <xf numFmtId="44" fontId="65" fillId="43" borderId="0" xfId="50" applyFont="1" applyFill="1" applyAlignment="1">
      <alignment horizontal="center"/>
    </xf>
    <xf numFmtId="175" fontId="65" fillId="0" borderId="45" xfId="66" applyFont="1" applyBorder="1" applyAlignment="1">
      <alignment horizontal="center"/>
    </xf>
    <xf numFmtId="164" fontId="66" fillId="0" borderId="0" xfId="66" applyNumberFormat="1" applyFont="1"/>
    <xf numFmtId="175" fontId="66" fillId="0" borderId="0" xfId="66" applyFont="1"/>
    <xf numFmtId="175" fontId="65" fillId="0" borderId="43" xfId="66" applyFont="1" applyBorder="1" applyAlignment="1">
      <alignment wrapText="1"/>
    </xf>
    <xf numFmtId="175" fontId="65" fillId="0" borderId="20" xfId="66" applyFont="1" applyBorder="1"/>
    <xf numFmtId="175" fontId="65" fillId="0" borderId="54" xfId="66" applyFont="1" applyBorder="1" applyAlignment="1">
      <alignment wrapText="1"/>
    </xf>
    <xf numFmtId="164" fontId="65" fillId="43" borderId="53" xfId="66" applyNumberFormat="1" applyFont="1" applyFill="1" applyBorder="1"/>
    <xf numFmtId="164" fontId="65" fillId="43" borderId="42" xfId="66" applyNumberFormat="1" applyFont="1" applyFill="1" applyBorder="1"/>
    <xf numFmtId="43" fontId="13" fillId="0" borderId="24" xfId="0" applyNumberFormat="1" applyFont="1" applyBorder="1" applyAlignment="1">
      <alignment horizontal="right"/>
    </xf>
    <xf numFmtId="175" fontId="13" fillId="47" borderId="13" xfId="0" applyFont="1" applyFill="1" applyBorder="1"/>
    <xf numFmtId="6" fontId="34" fillId="0" borderId="11" xfId="67" applyNumberFormat="1" applyFont="1" applyBorder="1" applyAlignment="1" applyProtection="1">
      <alignment horizontal="center"/>
      <protection locked="0"/>
    </xf>
    <xf numFmtId="4" fontId="13" fillId="0" borderId="24" xfId="0" applyNumberFormat="1" applyFont="1" applyBorder="1" applyAlignment="1">
      <alignment horizontal="right"/>
    </xf>
    <xf numFmtId="4" fontId="13" fillId="0" borderId="25" xfId="0" applyNumberFormat="1" applyFont="1" applyBorder="1" applyAlignment="1">
      <alignment horizontal="right"/>
    </xf>
    <xf numFmtId="2" fontId="13" fillId="0" borderId="24" xfId="0" applyNumberFormat="1" applyFont="1" applyBorder="1" applyAlignment="1">
      <alignment horizontal="right"/>
    </xf>
    <xf numFmtId="2" fontId="13" fillId="0" borderId="29" xfId="0" applyNumberFormat="1" applyFont="1" applyBorder="1" applyAlignment="1">
      <alignment horizontal="right"/>
    </xf>
    <xf numFmtId="165" fontId="13" fillId="0" borderId="32" xfId="0" applyNumberFormat="1" applyFont="1" applyBorder="1" applyAlignment="1">
      <alignment horizontal="right"/>
    </xf>
    <xf numFmtId="165" fontId="13" fillId="0" borderId="25" xfId="0" applyNumberFormat="1" applyFont="1" applyBorder="1" applyAlignment="1">
      <alignment horizontal="right"/>
    </xf>
    <xf numFmtId="175" fontId="68" fillId="0" borderId="0" xfId="0" applyFont="1" applyAlignment="1">
      <alignment vertical="center"/>
    </xf>
    <xf numFmtId="164" fontId="13" fillId="0" borderId="0" xfId="66" applyNumberFormat="1" applyAlignment="1">
      <alignment horizontal="center"/>
    </xf>
    <xf numFmtId="164" fontId="13" fillId="0" borderId="18" xfId="66" applyNumberFormat="1" applyBorder="1" applyAlignment="1">
      <alignment horizontal="center"/>
    </xf>
    <xf numFmtId="164" fontId="13" fillId="0" borderId="27" xfId="66" applyNumberFormat="1" applyBorder="1" applyAlignment="1">
      <alignment horizontal="center"/>
    </xf>
    <xf numFmtId="164" fontId="13" fillId="44" borderId="18" xfId="66" applyNumberFormat="1" applyFill="1" applyBorder="1" applyAlignment="1">
      <alignment horizontal="center"/>
    </xf>
    <xf numFmtId="164" fontId="14" fillId="0" borderId="48" xfId="66" applyNumberFormat="1" applyFont="1" applyBorder="1" applyAlignment="1">
      <alignment horizontal="center"/>
    </xf>
    <xf numFmtId="164" fontId="14" fillId="0" borderId="37" xfId="66" applyNumberFormat="1" applyFont="1" applyBorder="1" applyAlignment="1">
      <alignment horizontal="center"/>
    </xf>
    <xf numFmtId="164" fontId="13" fillId="0" borderId="0" xfId="66" applyNumberFormat="1" applyAlignment="1" applyProtection="1">
      <alignment horizontal="center"/>
      <protection locked="0"/>
    </xf>
    <xf numFmtId="175" fontId="13" fillId="0" borderId="0" xfId="66" applyAlignment="1">
      <alignment horizontal="center"/>
    </xf>
    <xf numFmtId="164" fontId="13" fillId="0" borderId="14" xfId="66" applyNumberFormat="1" applyBorder="1" applyAlignment="1" applyProtection="1">
      <alignment horizontal="center"/>
      <protection locked="0"/>
    </xf>
    <xf numFmtId="2" fontId="13" fillId="0" borderId="24" xfId="0" applyNumberFormat="1" applyFont="1" applyBorder="1"/>
    <xf numFmtId="2" fontId="13" fillId="0" borderId="25" xfId="0" applyNumberFormat="1" applyFont="1" applyBorder="1" applyAlignment="1">
      <alignment horizontal="right"/>
    </xf>
    <xf numFmtId="2" fontId="13" fillId="0" borderId="32" xfId="0" applyNumberFormat="1" applyFont="1" applyBorder="1" applyAlignment="1">
      <alignment horizontal="right"/>
    </xf>
    <xf numFmtId="2" fontId="13" fillId="0" borderId="29" xfId="0" applyNumberFormat="1" applyFont="1" applyBorder="1"/>
    <xf numFmtId="175" fontId="14" fillId="47" borderId="0" xfId="66" applyFont="1" applyFill="1" applyAlignment="1" applyProtection="1">
      <alignment horizontal="center"/>
      <protection locked="0"/>
    </xf>
    <xf numFmtId="171" fontId="14" fillId="47" borderId="0" xfId="0" applyNumberFormat="1" applyFont="1" applyFill="1" applyAlignment="1" applyProtection="1">
      <alignment horizontal="center"/>
      <protection locked="0"/>
    </xf>
    <xf numFmtId="175" fontId="68" fillId="0" borderId="0" xfId="0" applyFont="1" applyProtection="1">
      <protection locked="0"/>
    </xf>
    <xf numFmtId="175" fontId="68" fillId="0" borderId="0" xfId="0" applyFont="1"/>
    <xf numFmtId="175" fontId="68" fillId="0" borderId="0" xfId="0" applyFont="1" applyAlignment="1">
      <alignment vertical="top"/>
    </xf>
    <xf numFmtId="175" fontId="70" fillId="0" borderId="0" xfId="0" applyFont="1" applyAlignment="1" applyProtection="1">
      <alignment horizontal="left"/>
      <protection locked="0"/>
    </xf>
    <xf numFmtId="175" fontId="70" fillId="0" borderId="0" xfId="0" applyFont="1" applyAlignment="1">
      <alignment horizontal="left" vertical="top"/>
    </xf>
    <xf numFmtId="4" fontId="13" fillId="0" borderId="0" xfId="66" applyNumberFormat="1" applyProtection="1">
      <protection locked="0"/>
    </xf>
    <xf numFmtId="175" fontId="65" fillId="0" borderId="0" xfId="66" applyFont="1" applyAlignment="1">
      <alignment wrapText="1"/>
    </xf>
    <xf numFmtId="164" fontId="65" fillId="43" borderId="0" xfId="66" applyNumberFormat="1" applyFont="1" applyFill="1"/>
    <xf numFmtId="164" fontId="65" fillId="0" borderId="0" xfId="66" applyNumberFormat="1" applyFont="1" applyAlignment="1">
      <alignment horizontal="right"/>
    </xf>
    <xf numFmtId="165" fontId="13" fillId="0" borderId="24" xfId="0" applyNumberFormat="1" applyFont="1" applyBorder="1" applyAlignment="1">
      <alignment horizontal="right"/>
    </xf>
    <xf numFmtId="165" fontId="13" fillId="0" borderId="30" xfId="0" applyNumberFormat="1" applyFont="1" applyBorder="1" applyAlignment="1">
      <alignment horizontal="right"/>
    </xf>
    <xf numFmtId="39" fontId="14" fillId="0" borderId="11" xfId="0" applyNumberFormat="1" applyFont="1" applyBorder="1" applyAlignment="1">
      <alignment horizontal="center"/>
    </xf>
    <xf numFmtId="6" fontId="13" fillId="0" borderId="0" xfId="66" applyNumberFormat="1" applyAlignment="1" applyProtection="1">
      <alignment horizontal="center"/>
      <protection locked="0"/>
    </xf>
    <xf numFmtId="40" fontId="13" fillId="0" borderId="24" xfId="0" applyNumberFormat="1" applyFont="1" applyBorder="1" applyAlignment="1">
      <alignment horizontal="right"/>
    </xf>
    <xf numFmtId="40" fontId="13" fillId="0" borderId="25" xfId="0" applyNumberFormat="1" applyFont="1" applyBorder="1" applyAlignment="1">
      <alignment horizontal="right"/>
    </xf>
    <xf numFmtId="165" fontId="13" fillId="0" borderId="24" xfId="0" applyNumberFormat="1" applyFont="1" applyBorder="1"/>
    <xf numFmtId="165" fontId="13" fillId="0" borderId="25" xfId="0" applyNumberFormat="1" applyFont="1" applyBorder="1"/>
    <xf numFmtId="165" fontId="13" fillId="0" borderId="30" xfId="0" applyNumberFormat="1" applyFont="1" applyBorder="1"/>
    <xf numFmtId="165" fontId="13" fillId="0" borderId="32" xfId="0" applyNumberFormat="1" applyFont="1" applyBorder="1"/>
    <xf numFmtId="40" fontId="13" fillId="0" borderId="24" xfId="0" applyNumberFormat="1" applyFont="1" applyBorder="1"/>
    <xf numFmtId="40" fontId="13" fillId="0" borderId="25" xfId="0" applyNumberFormat="1" applyFont="1" applyBorder="1"/>
    <xf numFmtId="175" fontId="14" fillId="0" borderId="14" xfId="66" applyFont="1" applyBorder="1" applyAlignment="1" applyProtection="1">
      <alignment horizontal="right"/>
      <protection locked="0"/>
    </xf>
    <xf numFmtId="175" fontId="14" fillId="0" borderId="14" xfId="66" quotePrefix="1" applyFont="1" applyBorder="1" applyAlignment="1" applyProtection="1">
      <alignment horizontal="right"/>
      <protection locked="0"/>
    </xf>
    <xf numFmtId="6" fontId="13" fillId="0" borderId="17" xfId="66" applyNumberFormat="1" applyBorder="1" applyAlignment="1" applyProtection="1">
      <alignment horizontal="center"/>
      <protection locked="0"/>
    </xf>
    <xf numFmtId="6" fontId="13" fillId="0" borderId="0" xfId="66" applyNumberFormat="1" applyAlignment="1">
      <alignment horizontal="right"/>
    </xf>
    <xf numFmtId="6" fontId="13" fillId="0" borderId="18" xfId="66" applyNumberFormat="1" applyBorder="1" applyAlignment="1">
      <alignment horizontal="right"/>
    </xf>
    <xf numFmtId="6" fontId="50" fillId="0" borderId="0" xfId="520" applyNumberFormat="1" applyFont="1"/>
    <xf numFmtId="175" fontId="68" fillId="47" borderId="0" xfId="66" applyFont="1" applyFill="1" applyProtection="1">
      <protection locked="0"/>
    </xf>
    <xf numFmtId="0" fontId="50" fillId="0" borderId="0" xfId="520" applyFont="1"/>
    <xf numFmtId="0" fontId="13" fillId="0" borderId="0" xfId="522"/>
    <xf numFmtId="0" fontId="50" fillId="47" borderId="0" xfId="520" applyFont="1" applyFill="1"/>
    <xf numFmtId="168" fontId="50" fillId="0" borderId="0" xfId="520" applyNumberFormat="1" applyFont="1"/>
    <xf numFmtId="4" fontId="13" fillId="0" borderId="30" xfId="0" applyNumberFormat="1" applyFont="1" applyBorder="1" applyAlignment="1">
      <alignment horizontal="right"/>
    </xf>
    <xf numFmtId="175" fontId="34" fillId="0" borderId="0" xfId="67" applyFont="1"/>
    <xf numFmtId="3" fontId="53" fillId="47" borderId="21" xfId="0" applyNumberFormat="1" applyFont="1" applyFill="1" applyBorder="1" applyAlignment="1">
      <alignment horizontal="center"/>
    </xf>
    <xf numFmtId="175" fontId="13" fillId="47" borderId="17" xfId="0" applyFont="1" applyFill="1" applyBorder="1" applyProtection="1">
      <protection locked="0"/>
    </xf>
    <xf numFmtId="175" fontId="13" fillId="47" borderId="13" xfId="0" applyFont="1" applyFill="1" applyBorder="1" applyProtection="1">
      <protection locked="0"/>
    </xf>
    <xf numFmtId="175" fontId="14" fillId="0" borderId="34" xfId="0" applyFont="1" applyBorder="1" applyAlignment="1">
      <alignment horizontal="center"/>
    </xf>
    <xf numFmtId="3" fontId="13" fillId="0" borderId="11" xfId="0" applyNumberFormat="1" applyFont="1" applyBorder="1" applyAlignment="1">
      <alignment horizontal="left" vertical="center" wrapText="1"/>
    </xf>
    <xf numFmtId="175" fontId="34" fillId="0" borderId="11" xfId="0" applyFont="1" applyBorder="1" applyAlignment="1" applyProtection="1">
      <alignment horizontal="left"/>
      <protection locked="0"/>
    </xf>
    <xf numFmtId="175" fontId="34" fillId="47" borderId="11" xfId="0" applyFont="1" applyFill="1" applyBorder="1" applyAlignment="1" applyProtection="1">
      <alignment horizontal="left"/>
      <protection locked="0"/>
    </xf>
    <xf numFmtId="44" fontId="66" fillId="0" borderId="0" xfId="50" applyFont="1"/>
    <xf numFmtId="0" fontId="73" fillId="0" borderId="0" xfId="520" applyFont="1"/>
    <xf numFmtId="0" fontId="73" fillId="0" borderId="27" xfId="520" applyFont="1" applyBorder="1" applyAlignment="1">
      <alignment horizontal="center" vertical="center"/>
    </xf>
    <xf numFmtId="0" fontId="75" fillId="0" borderId="14" xfId="520" applyFont="1" applyBorder="1" applyAlignment="1">
      <alignment horizontal="center" vertical="center" wrapText="1"/>
    </xf>
    <xf numFmtId="6" fontId="73" fillId="0" borderId="0" xfId="520" applyNumberFormat="1" applyFont="1"/>
    <xf numFmtId="6" fontId="73" fillId="0" borderId="14" xfId="520" applyNumberFormat="1" applyFont="1" applyBorder="1"/>
    <xf numFmtId="0" fontId="73" fillId="46" borderId="0" xfId="520" applyFont="1" applyFill="1"/>
    <xf numFmtId="0" fontId="73" fillId="0" borderId="27" xfId="520" applyFont="1" applyBorder="1"/>
    <xf numFmtId="0" fontId="73" fillId="45" borderId="0" xfId="520" applyFont="1" applyFill="1"/>
    <xf numFmtId="0" fontId="77" fillId="0" borderId="0" xfId="520" applyFont="1"/>
    <xf numFmtId="6" fontId="75" fillId="0" borderId="0" xfId="520" applyNumberFormat="1" applyFont="1"/>
    <xf numFmtId="6" fontId="13" fillId="0" borderId="23" xfId="66" applyNumberFormat="1" applyBorder="1" applyAlignment="1">
      <alignment horizontal="right"/>
    </xf>
    <xf numFmtId="165" fontId="15" fillId="47" borderId="0" xfId="0" applyNumberFormat="1" applyFont="1" applyFill="1" applyProtection="1">
      <protection locked="0"/>
    </xf>
    <xf numFmtId="6" fontId="73" fillId="0" borderId="41" xfId="520" applyNumberFormat="1" applyFont="1" applyBorder="1"/>
    <xf numFmtId="6" fontId="73" fillId="0" borderId="16" xfId="520" applyNumberFormat="1" applyFont="1" applyBorder="1"/>
    <xf numFmtId="0" fontId="73" fillId="0" borderId="41" xfId="520" applyFont="1" applyBorder="1"/>
    <xf numFmtId="0" fontId="73" fillId="0" borderId="50" xfId="520" applyFont="1" applyBorder="1"/>
    <xf numFmtId="0" fontId="73" fillId="0" borderId="17" xfId="520" applyFont="1" applyBorder="1"/>
    <xf numFmtId="0" fontId="75" fillId="0" borderId="22" xfId="520" applyFont="1" applyBorder="1"/>
    <xf numFmtId="175" fontId="13" fillId="0" borderId="57" xfId="66" applyBorder="1" applyProtection="1">
      <protection locked="0"/>
    </xf>
    <xf numFmtId="175" fontId="13" fillId="0" borderId="58" xfId="66" applyBorder="1" applyProtection="1">
      <protection locked="0"/>
    </xf>
    <xf numFmtId="175" fontId="14" fillId="0" borderId="44" xfId="66" applyFont="1" applyBorder="1" applyAlignment="1" applyProtection="1">
      <alignment horizontal="center" wrapText="1"/>
      <protection locked="0"/>
    </xf>
    <xf numFmtId="175" fontId="13" fillId="0" borderId="46" xfId="66" applyBorder="1" applyProtection="1">
      <protection locked="0"/>
    </xf>
    <xf numFmtId="167" fontId="13" fillId="0" borderId="46" xfId="66" applyNumberFormat="1" applyBorder="1" applyAlignment="1">
      <alignment horizontal="right"/>
    </xf>
    <xf numFmtId="167" fontId="13" fillId="0" borderId="44" xfId="66" applyNumberFormat="1" applyBorder="1" applyAlignment="1">
      <alignment horizontal="right"/>
    </xf>
    <xf numFmtId="167" fontId="13" fillId="0" borderId="44" xfId="66" applyNumberFormat="1" applyBorder="1"/>
    <xf numFmtId="167" fontId="13" fillId="0" borderId="46" xfId="66" applyNumberFormat="1" applyBorder="1"/>
    <xf numFmtId="167" fontId="13" fillId="0" borderId="59" xfId="66" applyNumberFormat="1" applyBorder="1"/>
    <xf numFmtId="6" fontId="13" fillId="0" borderId="60" xfId="66" applyNumberFormat="1" applyBorder="1" applyProtection="1">
      <protection locked="0"/>
    </xf>
    <xf numFmtId="175" fontId="13" fillId="0" borderId="61" xfId="66" applyBorder="1" applyProtection="1">
      <protection locked="0"/>
    </xf>
    <xf numFmtId="175" fontId="15" fillId="0" borderId="20" xfId="0" applyFont="1" applyBorder="1" applyAlignment="1" applyProtection="1">
      <alignment horizontal="left"/>
      <protection locked="0"/>
    </xf>
    <xf numFmtId="175" fontId="34" fillId="0" borderId="15" xfId="0" applyFont="1" applyBorder="1" applyAlignment="1" applyProtection="1">
      <alignment horizontal="center" wrapText="1"/>
      <protection locked="0"/>
    </xf>
    <xf numFmtId="166" fontId="15" fillId="0" borderId="11" xfId="46" applyNumberFormat="1" applyFont="1" applyBorder="1" applyAlignment="1" applyProtection="1">
      <alignment horizontal="right"/>
      <protection locked="0"/>
    </xf>
    <xf numFmtId="175" fontId="14" fillId="0" borderId="62" xfId="66" applyFont="1" applyBorder="1" applyProtection="1">
      <protection locked="0"/>
    </xf>
    <xf numFmtId="175" fontId="14" fillId="0" borderId="34" xfId="66" applyFont="1" applyBorder="1" applyProtection="1">
      <protection locked="0"/>
    </xf>
    <xf numFmtId="175" fontId="16" fillId="0" borderId="17" xfId="66" applyFont="1" applyBorder="1" applyAlignment="1">
      <alignment wrapText="1"/>
    </xf>
    <xf numFmtId="175" fontId="13" fillId="0" borderId="17" xfId="66" applyBorder="1" applyAlignment="1">
      <alignment horizontal="left" indent="1"/>
    </xf>
    <xf numFmtId="175" fontId="13" fillId="47" borderId="17" xfId="66" applyFill="1" applyBorder="1" applyAlignment="1">
      <alignment horizontal="left" indent="1"/>
    </xf>
    <xf numFmtId="175" fontId="14" fillId="0" borderId="20" xfId="66" applyFont="1" applyBorder="1"/>
    <xf numFmtId="175" fontId="14" fillId="0" borderId="17" xfId="66" applyFont="1" applyBorder="1"/>
    <xf numFmtId="175" fontId="13" fillId="0" borderId="17" xfId="66" quotePrefix="1" applyBorder="1" applyAlignment="1">
      <alignment horizontal="left" indent="1"/>
    </xf>
    <xf numFmtId="175" fontId="14" fillId="0" borderId="20" xfId="66" applyFont="1" applyBorder="1" applyAlignment="1">
      <alignment wrapText="1"/>
    </xf>
    <xf numFmtId="175" fontId="14" fillId="0" borderId="22" xfId="66" applyFont="1" applyBorder="1" applyAlignment="1" applyProtection="1">
      <alignment wrapText="1"/>
      <protection locked="0"/>
    </xf>
    <xf numFmtId="6" fontId="73" fillId="49" borderId="18" xfId="520" applyNumberFormat="1" applyFont="1" applyFill="1" applyBorder="1"/>
    <xf numFmtId="0" fontId="73" fillId="49" borderId="18" xfId="520" applyFont="1" applyFill="1" applyBorder="1"/>
    <xf numFmtId="0" fontId="73" fillId="49" borderId="19" xfId="520" applyFont="1" applyFill="1" applyBorder="1"/>
    <xf numFmtId="0" fontId="76" fillId="49" borderId="18" xfId="520" applyFont="1" applyFill="1" applyBorder="1"/>
    <xf numFmtId="0" fontId="76" fillId="49" borderId="19" xfId="520" applyFont="1" applyFill="1" applyBorder="1"/>
    <xf numFmtId="164" fontId="66" fillId="0" borderId="17" xfId="66" applyNumberFormat="1" applyFont="1" applyBorder="1"/>
    <xf numFmtId="175" fontId="65" fillId="47" borderId="40" xfId="66" applyFont="1" applyFill="1" applyBorder="1" applyAlignment="1">
      <alignment horizontal="center"/>
    </xf>
    <xf numFmtId="175" fontId="66" fillId="0" borderId="40" xfId="66" applyFont="1" applyBorder="1"/>
    <xf numFmtId="175" fontId="66" fillId="47" borderId="40" xfId="66" applyFont="1" applyFill="1" applyBorder="1"/>
    <xf numFmtId="164" fontId="65" fillId="43" borderId="14" xfId="66" applyNumberFormat="1" applyFont="1" applyFill="1" applyBorder="1"/>
    <xf numFmtId="175" fontId="13" fillId="47" borderId="13" xfId="66" applyFill="1" applyBorder="1" applyProtection="1">
      <protection locked="0"/>
    </xf>
    <xf numFmtId="6" fontId="13" fillId="47" borderId="13" xfId="66" applyNumberFormat="1" applyFill="1" applyBorder="1" applyAlignment="1">
      <alignment horizontal="right"/>
    </xf>
    <xf numFmtId="6" fontId="13" fillId="47" borderId="11" xfId="66" applyNumberFormat="1" applyFill="1" applyBorder="1"/>
    <xf numFmtId="6" fontId="13" fillId="47" borderId="13" xfId="66" applyNumberFormat="1" applyFill="1" applyBorder="1"/>
    <xf numFmtId="6" fontId="13" fillId="47" borderId="33" xfId="66" applyNumberFormat="1" applyFill="1" applyBorder="1" applyAlignment="1">
      <alignment horizontal="right"/>
    </xf>
    <xf numFmtId="6" fontId="73" fillId="0" borderId="17" xfId="520" applyNumberFormat="1" applyFont="1" applyBorder="1"/>
    <xf numFmtId="0" fontId="73" fillId="0" borderId="22" xfId="520" applyFont="1" applyBorder="1"/>
    <xf numFmtId="6" fontId="73" fillId="0" borderId="13" xfId="520" applyNumberFormat="1" applyFont="1" applyBorder="1"/>
    <xf numFmtId="6" fontId="73" fillId="0" borderId="34" xfId="520" applyNumberFormat="1" applyFont="1" applyBorder="1"/>
    <xf numFmtId="175" fontId="61" fillId="0" borderId="0" xfId="66" applyFont="1" applyProtection="1">
      <protection locked="0"/>
    </xf>
    <xf numFmtId="175" fontId="13" fillId="0" borderId="17" xfId="66" applyBorder="1"/>
    <xf numFmtId="175" fontId="13" fillId="47" borderId="17" xfId="0" applyFont="1" applyFill="1" applyBorder="1" applyAlignment="1">
      <alignment horizontal="left"/>
    </xf>
    <xf numFmtId="175" fontId="65" fillId="0" borderId="54" xfId="66" applyFont="1" applyBorder="1"/>
    <xf numFmtId="175" fontId="14" fillId="0" borderId="56" xfId="66" applyFont="1" applyBorder="1" applyAlignment="1">
      <alignment horizontal="center"/>
    </xf>
    <xf numFmtId="175" fontId="14" fillId="0" borderId="56" xfId="66" applyFont="1" applyBorder="1" applyAlignment="1">
      <alignment horizontal="left"/>
    </xf>
    <xf numFmtId="175" fontId="14" fillId="0" borderId="39" xfId="66" applyFont="1" applyBorder="1"/>
    <xf numFmtId="175" fontId="13" fillId="0" borderId="56" xfId="66" applyBorder="1"/>
    <xf numFmtId="175" fontId="14" fillId="0" borderId="56" xfId="66" applyFont="1" applyBorder="1"/>
    <xf numFmtId="175" fontId="14" fillId="0" borderId="39" xfId="66" applyFont="1" applyBorder="1" applyAlignment="1">
      <alignment horizontal="left" wrapText="1" indent="1"/>
    </xf>
    <xf numFmtId="175" fontId="14" fillId="0" borderId="56" xfId="66" applyFont="1" applyBorder="1" applyAlignment="1">
      <alignment horizontal="left" indent="1"/>
    </xf>
    <xf numFmtId="175" fontId="14" fillId="0" borderId="56" xfId="66" applyFont="1" applyBorder="1" applyAlignment="1">
      <alignment horizontal="center" wrapText="1"/>
    </xf>
    <xf numFmtId="175" fontId="14" fillId="0" borderId="39" xfId="66" applyFont="1" applyBorder="1" applyAlignment="1">
      <alignment horizontal="left" indent="1"/>
    </xf>
    <xf numFmtId="175" fontId="14" fillId="0" borderId="63" xfId="66" applyFont="1" applyBorder="1" applyAlignment="1">
      <alignment horizontal="left" indent="1"/>
    </xf>
    <xf numFmtId="175" fontId="14" fillId="0" borderId="66" xfId="66" applyFont="1" applyBorder="1" applyAlignment="1">
      <alignment wrapText="1"/>
    </xf>
    <xf numFmtId="175" fontId="14" fillId="0" borderId="67" xfId="66" applyFont="1" applyBorder="1" applyAlignment="1">
      <alignment horizontal="center"/>
    </xf>
    <xf numFmtId="175" fontId="62" fillId="0" borderId="0" xfId="66" applyFont="1" applyProtection="1">
      <protection locked="0"/>
    </xf>
    <xf numFmtId="43" fontId="13" fillId="50" borderId="27" xfId="46" quotePrefix="1" applyFill="1" applyBorder="1" applyAlignment="1">
      <alignment horizontal="left"/>
    </xf>
    <xf numFmtId="43" fontId="13" fillId="50" borderId="50" xfId="46" quotePrefix="1" applyFill="1" applyBorder="1" applyAlignment="1">
      <alignment horizontal="left"/>
    </xf>
    <xf numFmtId="43" fontId="13" fillId="50" borderId="0" xfId="46" quotePrefix="1" applyFill="1" applyAlignment="1">
      <alignment horizontal="left"/>
    </xf>
    <xf numFmtId="43" fontId="13" fillId="50" borderId="41" xfId="46" quotePrefix="1" applyFill="1" applyBorder="1" applyAlignment="1">
      <alignment horizontal="left"/>
    </xf>
    <xf numFmtId="43" fontId="13" fillId="50" borderId="14" xfId="46" quotePrefix="1" applyFill="1" applyBorder="1" applyAlignment="1">
      <alignment horizontal="left"/>
    </xf>
    <xf numFmtId="43" fontId="13" fillId="50" borderId="16" xfId="46" quotePrefix="1" applyFill="1" applyBorder="1" applyAlignment="1">
      <alignment horizontal="left"/>
    </xf>
    <xf numFmtId="43" fontId="13" fillId="50" borderId="0" xfId="46" quotePrefix="1" applyFill="1" applyAlignment="1">
      <alignment horizontal="center"/>
    </xf>
    <xf numFmtId="43" fontId="13" fillId="50" borderId="0" xfId="46" quotePrefix="1" applyFill="1" applyAlignment="1">
      <alignment horizontal="right"/>
    </xf>
    <xf numFmtId="43" fontId="13" fillId="50" borderId="0" xfId="46" quotePrefix="1" applyFill="1"/>
    <xf numFmtId="43" fontId="13" fillId="50" borderId="41" xfId="46" quotePrefix="1" applyFill="1" applyBorder="1"/>
    <xf numFmtId="3" fontId="14" fillId="47" borderId="18" xfId="0" applyNumberFormat="1" applyFont="1" applyFill="1" applyBorder="1" applyAlignment="1">
      <alignment horizontal="center" wrapText="1"/>
    </xf>
    <xf numFmtId="175" fontId="14" fillId="47" borderId="26" xfId="0" applyFont="1" applyFill="1" applyBorder="1" applyAlignment="1">
      <alignment horizontal="center"/>
    </xf>
    <xf numFmtId="175" fontId="81" fillId="0" borderId="0" xfId="0" applyFont="1" applyAlignment="1" applyProtection="1">
      <alignment vertical="center"/>
      <protection locked="0"/>
    </xf>
    <xf numFmtId="175" fontId="82" fillId="0" borderId="0" xfId="0" applyFont="1" applyAlignment="1" applyProtection="1">
      <alignment vertical="center"/>
      <protection locked="0"/>
    </xf>
    <xf numFmtId="175" fontId="34" fillId="47" borderId="0" xfId="0" applyFont="1" applyFill="1" applyProtection="1">
      <protection locked="0"/>
    </xf>
    <xf numFmtId="164" fontId="65" fillId="47" borderId="42" xfId="66" applyNumberFormat="1" applyFont="1" applyFill="1" applyBorder="1"/>
    <xf numFmtId="43" fontId="13" fillId="0" borderId="0" xfId="46" applyProtection="1">
      <protection locked="0"/>
    </xf>
    <xf numFmtId="2" fontId="15" fillId="0" borderId="0" xfId="0" applyNumberFormat="1" applyFont="1" applyProtection="1">
      <protection locked="0"/>
    </xf>
    <xf numFmtId="175" fontId="14" fillId="47" borderId="0" xfId="782" applyFont="1" applyFill="1" applyAlignment="1">
      <alignment vertical="center"/>
    </xf>
    <xf numFmtId="0" fontId="15" fillId="0" borderId="11" xfId="67" applyNumberFormat="1" applyBorder="1" applyAlignment="1">
      <alignment horizontal="center" vertical="center" wrapText="1"/>
    </xf>
    <xf numFmtId="6" fontId="15" fillId="0" borderId="11" xfId="67" applyNumberFormat="1" applyBorder="1" applyAlignment="1">
      <alignment horizontal="center" vertical="center" wrapText="1"/>
    </xf>
    <xf numFmtId="175" fontId="15" fillId="0" borderId="11" xfId="67" applyBorder="1" applyAlignment="1">
      <alignment horizontal="left" vertical="center" wrapText="1"/>
    </xf>
    <xf numFmtId="14" fontId="15" fillId="0" borderId="11" xfId="67" applyNumberFormat="1" applyBorder="1" applyAlignment="1">
      <alignment horizontal="center" vertical="center" wrapText="1"/>
    </xf>
    <xf numFmtId="175" fontId="34" fillId="0" borderId="0" xfId="67" applyFont="1" applyAlignment="1">
      <alignment horizontal="center" vertical="center"/>
    </xf>
    <xf numFmtId="0" fontId="15" fillId="0" borderId="11" xfId="67" applyNumberFormat="1" applyBorder="1" applyAlignment="1" applyProtection="1">
      <alignment horizontal="center" vertical="center"/>
      <protection locked="0"/>
    </xf>
    <xf numFmtId="6" fontId="15" fillId="0" borderId="11" xfId="67" applyNumberFormat="1" applyBorder="1" applyAlignment="1" applyProtection="1">
      <alignment horizontal="center" vertical="center"/>
      <protection locked="0"/>
    </xf>
    <xf numFmtId="175" fontId="15" fillId="0" borderId="0" xfId="67" applyAlignment="1" applyProtection="1">
      <alignment vertical="center"/>
      <protection locked="0"/>
    </xf>
    <xf numFmtId="175" fontId="15" fillId="0" borderId="11" xfId="67" applyBorder="1" applyAlignment="1">
      <alignment horizontal="center" vertical="center" wrapText="1"/>
    </xf>
    <xf numFmtId="175" fontId="15" fillId="0" borderId="11" xfId="67" applyBorder="1" applyAlignment="1" applyProtection="1">
      <alignment horizontal="center" vertical="center" wrapText="1"/>
      <protection locked="0"/>
    </xf>
    <xf numFmtId="175" fontId="13" fillId="0" borderId="11" xfId="66" applyBorder="1" applyAlignment="1" applyProtection="1">
      <alignment vertical="center" wrapText="1"/>
      <protection locked="0"/>
    </xf>
    <xf numFmtId="175" fontId="15" fillId="0" borderId="0" xfId="0" applyFont="1" applyAlignment="1">
      <alignment horizontal="center"/>
    </xf>
    <xf numFmtId="172" fontId="13" fillId="0" borderId="0" xfId="0" applyNumberFormat="1" applyFont="1"/>
    <xf numFmtId="175" fontId="39" fillId="0" borderId="0" xfId="0" applyFont="1"/>
    <xf numFmtId="3" fontId="39" fillId="0" borderId="0" xfId="0" applyNumberFormat="1" applyFont="1"/>
    <xf numFmtId="175" fontId="15" fillId="47" borderId="0" xfId="0" applyFont="1" applyFill="1" applyAlignment="1">
      <alignment horizontal="center"/>
    </xf>
    <xf numFmtId="0" fontId="13" fillId="0" borderId="0" xfId="66" applyNumberFormat="1"/>
    <xf numFmtId="175" fontId="13" fillId="47" borderId="0" xfId="66" applyFont="1" applyFill="1" applyAlignment="1" applyProtection="1">
      <alignment horizontal="center"/>
      <protection locked="0"/>
    </xf>
    <xf numFmtId="175" fontId="13" fillId="47" borderId="0" xfId="66" applyFont="1" applyFill="1" applyProtection="1">
      <protection locked="0"/>
    </xf>
    <xf numFmtId="171" fontId="13" fillId="47" borderId="0" xfId="66" applyNumberFormat="1" applyFont="1" applyFill="1" applyAlignment="1" applyProtection="1">
      <alignment horizontal="center"/>
      <protection locked="0"/>
    </xf>
    <xf numFmtId="175" fontId="13" fillId="0" borderId="0" xfId="66" applyBorder="1"/>
    <xf numFmtId="175" fontId="14" fillId="44" borderId="55" xfId="66" applyFont="1" applyFill="1" applyBorder="1" applyAlignment="1">
      <alignment horizontal="center"/>
    </xf>
    <xf numFmtId="175" fontId="14" fillId="0" borderId="55" xfId="0" applyFont="1" applyBorder="1" applyAlignment="1">
      <alignment wrapText="1"/>
    </xf>
    <xf numFmtId="175" fontId="14" fillId="0" borderId="64" xfId="66" applyFont="1" applyBorder="1" applyAlignment="1">
      <alignment horizontal="left"/>
    </xf>
    <xf numFmtId="175" fontId="14" fillId="0" borderId="20" xfId="66" applyFont="1" applyBorder="1" applyAlignment="1" applyProtection="1">
      <alignment horizontal="center"/>
      <protection locked="0"/>
    </xf>
    <xf numFmtId="6" fontId="13" fillId="0" borderId="0" xfId="66" applyNumberFormat="1" applyBorder="1" applyAlignment="1">
      <alignment horizontal="right"/>
    </xf>
    <xf numFmtId="6" fontId="73" fillId="0" borderId="0" xfId="520" applyNumberFormat="1" applyFont="1" applyBorder="1"/>
    <xf numFmtId="0" fontId="73" fillId="0" borderId="0" xfId="520" applyFont="1" applyBorder="1"/>
    <xf numFmtId="164" fontId="66" fillId="0" borderId="0" xfId="66" applyNumberFormat="1" applyFont="1" applyBorder="1"/>
    <xf numFmtId="0" fontId="75" fillId="0" borderId="21" xfId="520" applyFont="1" applyBorder="1"/>
    <xf numFmtId="164" fontId="66" fillId="0" borderId="22" xfId="66" applyNumberFormat="1" applyFont="1" applyBorder="1"/>
    <xf numFmtId="164" fontId="66" fillId="0" borderId="27" xfId="66" applyNumberFormat="1" applyFont="1" applyBorder="1"/>
    <xf numFmtId="164" fontId="66" fillId="0" borderId="21" xfId="66" applyNumberFormat="1" applyFont="1" applyBorder="1"/>
    <xf numFmtId="164" fontId="66" fillId="0" borderId="14" xfId="66" applyNumberFormat="1" applyFont="1" applyBorder="1"/>
    <xf numFmtId="175" fontId="79" fillId="0" borderId="0" xfId="0" quotePrefix="1" applyFont="1" applyAlignment="1">
      <alignment vertical="center"/>
    </xf>
    <xf numFmtId="175" fontId="79" fillId="0" borderId="0" xfId="0" quotePrefix="1" applyFont="1" applyProtection="1">
      <protection locked="0"/>
    </xf>
    <xf numFmtId="175" fontId="83" fillId="47" borderId="0" xfId="0" quotePrefix="1" applyFont="1" applyFill="1" applyProtection="1">
      <protection locked="0"/>
    </xf>
    <xf numFmtId="175" fontId="14" fillId="0" borderId="20" xfId="66" applyFont="1" applyBorder="1" applyAlignment="1" applyProtection="1">
      <alignment horizontal="right"/>
      <protection locked="0"/>
    </xf>
    <xf numFmtId="6" fontId="13" fillId="0" borderId="22" xfId="66" applyNumberFormat="1" applyBorder="1" applyAlignment="1">
      <alignment horizontal="right"/>
    </xf>
    <xf numFmtId="6" fontId="13" fillId="0" borderId="17" xfId="66" applyNumberFormat="1" applyBorder="1" applyAlignment="1">
      <alignment horizontal="right"/>
    </xf>
    <xf numFmtId="6" fontId="13" fillId="0" borderId="20" xfId="66" applyNumberFormat="1" applyBorder="1" applyAlignment="1">
      <alignment horizontal="right"/>
    </xf>
    <xf numFmtId="6" fontId="13" fillId="0" borderId="17" xfId="66" applyNumberFormat="1" applyBorder="1"/>
    <xf numFmtId="6" fontId="13" fillId="47" borderId="15" xfId="66" applyNumberFormat="1" applyFill="1" applyBorder="1"/>
    <xf numFmtId="6" fontId="13" fillId="47" borderId="13" xfId="66" applyNumberFormat="1" applyFill="1" applyBorder="1" applyProtection="1">
      <protection locked="0"/>
    </xf>
    <xf numFmtId="6" fontId="13" fillId="0" borderId="13" xfId="66" applyNumberFormat="1" applyBorder="1" applyProtection="1">
      <protection locked="0"/>
    </xf>
    <xf numFmtId="6" fontId="13" fillId="0" borderId="34" xfId="66" applyNumberFormat="1" applyBorder="1" applyProtection="1">
      <protection locked="0"/>
    </xf>
    <xf numFmtId="0" fontId="14" fillId="0" borderId="0" xfId="522" applyFont="1" applyAlignment="1" applyProtection="1">
      <alignment horizontal="center"/>
      <protection locked="0"/>
    </xf>
    <xf numFmtId="17" fontId="14" fillId="47" borderId="0" xfId="522" quotePrefix="1" applyNumberFormat="1" applyFont="1" applyFill="1" applyAlignment="1" applyProtection="1">
      <alignment horizontal="center"/>
      <protection locked="0"/>
    </xf>
    <xf numFmtId="0" fontId="54" fillId="49" borderId="18" xfId="520" applyFont="1" applyFill="1" applyBorder="1"/>
    <xf numFmtId="6" fontId="13" fillId="0" borderId="27" xfId="520" applyNumberFormat="1" applyFont="1" applyBorder="1"/>
    <xf numFmtId="0" fontId="14" fillId="0" borderId="18" xfId="520" applyFont="1" applyBorder="1" applyAlignment="1">
      <alignment horizontal="center"/>
    </xf>
    <xf numFmtId="0" fontId="14" fillId="0" borderId="14" xfId="520" applyFont="1" applyBorder="1" applyAlignment="1">
      <alignment horizontal="center"/>
    </xf>
    <xf numFmtId="0" fontId="14" fillId="0" borderId="16" xfId="520" applyFont="1" applyBorder="1" applyAlignment="1">
      <alignment horizontal="center"/>
    </xf>
    <xf numFmtId="6" fontId="13" fillId="0" borderId="22" xfId="520" applyNumberFormat="1" applyFont="1" applyBorder="1"/>
    <xf numFmtId="6" fontId="13" fillId="0" borderId="17" xfId="520" applyNumberFormat="1" applyFont="1" applyBorder="1"/>
    <xf numFmtId="6" fontId="13" fillId="0" borderId="50" xfId="520" applyNumberFormat="1" applyFont="1" applyBorder="1"/>
    <xf numFmtId="6" fontId="13" fillId="0" borderId="0" xfId="520" applyNumberFormat="1" applyFont="1" applyBorder="1"/>
    <xf numFmtId="6" fontId="13" fillId="0" borderId="41" xfId="520" applyNumberFormat="1" applyFont="1" applyBorder="1"/>
    <xf numFmtId="6" fontId="13" fillId="0" borderId="21" xfId="520" applyNumberFormat="1" applyFont="1" applyBorder="1"/>
    <xf numFmtId="6" fontId="13" fillId="0" borderId="14" xfId="520" applyNumberFormat="1" applyFont="1" applyBorder="1"/>
    <xf numFmtId="6" fontId="13" fillId="0" borderId="16" xfId="520" applyNumberFormat="1" applyFont="1" applyBorder="1"/>
    <xf numFmtId="6" fontId="13" fillId="49" borderId="18" xfId="520" applyNumberFormat="1" applyFont="1" applyFill="1" applyBorder="1"/>
    <xf numFmtId="6" fontId="13" fillId="49" borderId="21" xfId="520" applyNumberFormat="1" applyFont="1" applyFill="1" applyBorder="1"/>
    <xf numFmtId="6" fontId="13" fillId="49" borderId="14" xfId="520" applyNumberFormat="1" applyFont="1" applyFill="1" applyBorder="1"/>
    <xf numFmtId="6" fontId="13" fillId="0" borderId="0" xfId="520" applyNumberFormat="1" applyFont="1"/>
    <xf numFmtId="6" fontId="13" fillId="0" borderId="15" xfId="520" applyNumberFormat="1" applyFont="1" applyBorder="1"/>
    <xf numFmtId="6" fontId="13" fillId="0" borderId="13" xfId="520" applyNumberFormat="1" applyFont="1" applyBorder="1"/>
    <xf numFmtId="6" fontId="13" fillId="0" borderId="34" xfId="520" applyNumberFormat="1" applyFont="1" applyBorder="1"/>
    <xf numFmtId="6" fontId="13" fillId="51" borderId="0" xfId="520" applyNumberFormat="1" applyFont="1" applyFill="1"/>
    <xf numFmtId="6" fontId="13" fillId="47" borderId="41" xfId="520" applyNumberFormat="1" applyFont="1" applyFill="1" applyBorder="1"/>
    <xf numFmtId="0" fontId="14" fillId="0" borderId="21" xfId="520" applyFont="1" applyBorder="1" applyAlignment="1">
      <alignment wrapText="1"/>
    </xf>
    <xf numFmtId="0" fontId="13" fillId="0" borderId="17" xfId="520" applyFont="1" applyBorder="1" applyAlignment="1">
      <alignment horizontal="left" indent="2"/>
    </xf>
    <xf numFmtId="0" fontId="13" fillId="0" borderId="17" xfId="520" applyFont="1" applyBorder="1" applyAlignment="1">
      <alignment horizontal="left" wrapText="1" indent="2"/>
    </xf>
    <xf numFmtId="0" fontId="13" fillId="47" borderId="17" xfId="520" applyFont="1" applyFill="1" applyBorder="1" applyAlignment="1">
      <alignment horizontal="left" wrapText="1" indent="2"/>
    </xf>
    <xf numFmtId="0" fontId="86" fillId="0" borderId="17" xfId="520" applyFont="1" applyBorder="1"/>
    <xf numFmtId="0" fontId="54" fillId="49" borderId="20" xfId="520" applyFont="1" applyFill="1" applyBorder="1"/>
    <xf numFmtId="0" fontId="54" fillId="0" borderId="21" xfId="520" applyFont="1" applyBorder="1"/>
    <xf numFmtId="176" fontId="13" fillId="0" borderId="11" xfId="66" applyNumberFormat="1" applyBorder="1"/>
    <xf numFmtId="3" fontId="45" fillId="0" borderId="17" xfId="0" applyNumberFormat="1" applyFont="1" applyFill="1" applyBorder="1" applyAlignment="1" applyProtection="1">
      <alignment horizontal="center"/>
      <protection locked="0"/>
    </xf>
    <xf numFmtId="175" fontId="14" fillId="47" borderId="0" xfId="0" applyFont="1" applyFill="1" applyAlignment="1" applyProtection="1">
      <alignment wrapText="1"/>
      <protection locked="0"/>
    </xf>
    <xf numFmtId="175" fontId="14" fillId="47" borderId="11" xfId="66" applyFont="1" applyFill="1" applyBorder="1" applyAlignment="1" applyProtection="1">
      <alignment horizontal="center"/>
    </xf>
    <xf numFmtId="171" fontId="14" fillId="47" borderId="11" xfId="66" applyNumberFormat="1" applyFont="1" applyFill="1" applyBorder="1" applyAlignment="1" applyProtection="1">
      <alignment horizontal="center"/>
    </xf>
    <xf numFmtId="175" fontId="14" fillId="47" borderId="11" xfId="66" applyFont="1" applyFill="1" applyBorder="1" applyAlignment="1" applyProtection="1">
      <alignment horizontal="center" wrapText="1"/>
    </xf>
    <xf numFmtId="1" fontId="13" fillId="47" borderId="11" xfId="66" quotePrefix="1" applyNumberFormat="1" applyFont="1" applyFill="1" applyBorder="1" applyAlignment="1" applyProtection="1">
      <alignment horizontal="center"/>
      <protection locked="0"/>
    </xf>
    <xf numFmtId="175" fontId="13" fillId="47" borderId="11" xfId="66" applyFont="1" applyFill="1" applyBorder="1" applyAlignment="1" applyProtection="1">
      <alignment horizontal="center"/>
      <protection locked="0"/>
    </xf>
    <xf numFmtId="1" fontId="13" fillId="47" borderId="11" xfId="66" applyNumberFormat="1" applyFont="1" applyFill="1" applyBorder="1" applyAlignment="1" applyProtection="1">
      <alignment horizontal="center"/>
      <protection locked="0"/>
    </xf>
    <xf numFmtId="175" fontId="13" fillId="47" borderId="0" xfId="66" applyFont="1" applyFill="1" applyBorder="1" applyAlignment="1" applyProtection="1">
      <alignment horizontal="left"/>
      <protection locked="0"/>
    </xf>
    <xf numFmtId="175" fontId="14" fillId="47" borderId="0" xfId="66" applyFont="1" applyFill="1" applyBorder="1" applyAlignment="1" applyProtection="1">
      <alignment horizontal="left"/>
      <protection locked="0"/>
    </xf>
    <xf numFmtId="175" fontId="14" fillId="0" borderId="11" xfId="0" applyFont="1" applyBorder="1" applyAlignment="1">
      <alignment horizontal="center"/>
    </xf>
    <xf numFmtId="175" fontId="0" fillId="0" borderId="50" xfId="0" applyBorder="1"/>
    <xf numFmtId="2" fontId="39" fillId="0" borderId="0" xfId="0" applyNumberFormat="1" applyFont="1" applyProtection="1">
      <protection locked="0"/>
    </xf>
    <xf numFmtId="0" fontId="13" fillId="0" borderId="0" xfId="520" applyFont="1" applyFill="1" applyBorder="1" applyAlignment="1" applyProtection="1">
      <alignment horizontal="left"/>
      <protection locked="0"/>
    </xf>
    <xf numFmtId="175" fontId="13" fillId="0" borderId="0" xfId="0" applyFont="1" applyFill="1" applyBorder="1"/>
    <xf numFmtId="175" fontId="13" fillId="0" borderId="0" xfId="0" applyFont="1" applyFill="1" applyBorder="1" applyProtection="1">
      <protection locked="0"/>
    </xf>
    <xf numFmtId="2" fontId="13" fillId="0" borderId="0" xfId="0" applyNumberFormat="1" applyFont="1" applyFill="1" applyBorder="1" applyProtection="1">
      <protection locked="0"/>
    </xf>
    <xf numFmtId="1" fontId="13" fillId="0" borderId="0" xfId="0" applyNumberFormat="1" applyFont="1" applyFill="1" applyBorder="1" applyProtection="1">
      <protection locked="0"/>
    </xf>
    <xf numFmtId="1" fontId="13" fillId="0" borderId="74" xfId="0" applyNumberFormat="1" applyFont="1" applyFill="1" applyBorder="1" applyProtection="1">
      <protection locked="0"/>
    </xf>
    <xf numFmtId="175" fontId="13" fillId="0" borderId="0" xfId="0" applyFont="1" applyAlignment="1" applyProtection="1">
      <alignment vertical="top"/>
      <protection locked="0"/>
    </xf>
    <xf numFmtId="175" fontId="13" fillId="0" borderId="0" xfId="0" applyFont="1" applyFill="1" applyAlignment="1" applyProtection="1">
      <alignment vertical="top"/>
      <protection locked="0"/>
    </xf>
    <xf numFmtId="175" fontId="87" fillId="0" borderId="0" xfId="0" applyFont="1" applyFill="1" applyBorder="1" applyAlignment="1">
      <alignment horizontal="center" vertical="top"/>
    </xf>
    <xf numFmtId="175" fontId="87" fillId="0" borderId="73" xfId="0" applyFont="1" applyFill="1" applyBorder="1" applyAlignment="1">
      <alignment horizontal="center" vertical="top"/>
    </xf>
    <xf numFmtId="43" fontId="87" fillId="0" borderId="18" xfId="0" applyNumberFormat="1" applyFont="1" applyFill="1" applyBorder="1" applyAlignment="1" applyProtection="1">
      <alignment horizontal="center" vertical="top" wrapText="1"/>
      <protection locked="0"/>
    </xf>
    <xf numFmtId="43" fontId="87" fillId="0" borderId="11" xfId="0" applyNumberFormat="1" applyFont="1" applyFill="1" applyBorder="1" applyAlignment="1" applyProtection="1">
      <alignment horizontal="center" vertical="top" wrapText="1"/>
      <protection locked="0"/>
    </xf>
    <xf numFmtId="1" fontId="56" fillId="0" borderId="74" xfId="0" applyNumberFormat="1" applyFont="1" applyFill="1" applyBorder="1"/>
    <xf numFmtId="175" fontId="56" fillId="0" borderId="75" xfId="0" applyFont="1" applyFill="1" applyBorder="1"/>
    <xf numFmtId="175" fontId="56" fillId="0" borderId="75" xfId="0" applyFont="1" applyFill="1" applyBorder="1" applyProtection="1">
      <protection locked="0"/>
    </xf>
    <xf numFmtId="177" fontId="13" fillId="0" borderId="0" xfId="0" applyNumberFormat="1" applyFont="1" applyFill="1" applyBorder="1" applyProtection="1">
      <protection locked="0"/>
    </xf>
    <xf numFmtId="0" fontId="13" fillId="0" borderId="0" xfId="0" applyNumberFormat="1" applyFont="1" applyFill="1" applyAlignment="1" applyProtection="1">
      <alignment vertical="top"/>
      <protection locked="0"/>
    </xf>
    <xf numFmtId="0" fontId="1" fillId="0" borderId="0" xfId="888"/>
    <xf numFmtId="171" fontId="14" fillId="47" borderId="0" xfId="0" quotePrefix="1" applyNumberFormat="1" applyFont="1" applyFill="1" applyAlignment="1" applyProtection="1">
      <alignment horizontal="center"/>
      <protection locked="0"/>
    </xf>
    <xf numFmtId="6" fontId="73" fillId="47" borderId="0" xfId="520" applyNumberFormat="1" applyFont="1" applyFill="1"/>
    <xf numFmtId="175" fontId="74" fillId="47" borderId="0" xfId="66" applyFont="1" applyFill="1" applyAlignment="1" applyProtection="1">
      <alignment vertical="center"/>
      <protection locked="0"/>
    </xf>
    <xf numFmtId="0" fontId="14" fillId="0" borderId="14" xfId="520" quotePrefix="1" applyNumberFormat="1" applyFont="1" applyBorder="1" applyAlignment="1">
      <alignment horizontal="center"/>
    </xf>
    <xf numFmtId="0" fontId="61" fillId="0" borderId="0" xfId="66" applyNumberFormat="1" applyFont="1" applyAlignment="1">
      <alignment horizontal="left"/>
    </xf>
    <xf numFmtId="164" fontId="68" fillId="0" borderId="0" xfId="66" applyNumberFormat="1" applyFont="1"/>
    <xf numFmtId="175" fontId="61" fillId="47" borderId="0" xfId="66" applyFont="1" applyFill="1" applyAlignment="1">
      <alignment wrapText="1"/>
    </xf>
    <xf numFmtId="4" fontId="34" fillId="0" borderId="11" xfId="0" applyNumberFormat="1" applyFont="1" applyBorder="1"/>
    <xf numFmtId="43" fontId="13" fillId="50" borderId="0" xfId="46" quotePrefix="1" applyFill="1" applyAlignment="1"/>
    <xf numFmtId="40" fontId="13" fillId="0" borderId="24" xfId="0" applyNumberFormat="1" applyFont="1" applyBorder="1" applyAlignment="1"/>
    <xf numFmtId="3" fontId="14" fillId="0" borderId="18" xfId="0" applyNumberFormat="1" applyFont="1" applyBorder="1" applyAlignment="1">
      <alignment wrapText="1"/>
    </xf>
    <xf numFmtId="165" fontId="13" fillId="0" borderId="24" xfId="0" applyNumberFormat="1" applyFont="1" applyBorder="1" applyAlignment="1"/>
    <xf numFmtId="165" fontId="13" fillId="0" borderId="30" xfId="0" applyNumberFormat="1" applyFont="1" applyBorder="1" applyAlignment="1"/>
    <xf numFmtId="6" fontId="13" fillId="47" borderId="0" xfId="66" applyNumberFormat="1" applyFill="1"/>
    <xf numFmtId="167" fontId="13" fillId="47" borderId="46" xfId="66" applyNumberFormat="1" applyFill="1" applyBorder="1" applyAlignment="1">
      <alignment horizontal="right"/>
    </xf>
    <xf numFmtId="1" fontId="13" fillId="0" borderId="0" xfId="0" applyNumberFormat="1" applyFont="1" applyProtection="1">
      <protection locked="0"/>
    </xf>
    <xf numFmtId="175" fontId="66" fillId="47" borderId="40" xfId="0" applyFont="1" applyFill="1" applyBorder="1"/>
    <xf numFmtId="6" fontId="13" fillId="47" borderId="50" xfId="520" applyNumberFormat="1" applyFont="1" applyFill="1" applyBorder="1"/>
    <xf numFmtId="6" fontId="13" fillId="49" borderId="19" xfId="520" applyNumberFormat="1" applyFont="1" applyFill="1" applyBorder="1"/>
    <xf numFmtId="6" fontId="13" fillId="0" borderId="41" xfId="66" applyNumberFormat="1" applyBorder="1" applyAlignment="1">
      <alignment horizontal="right"/>
    </xf>
    <xf numFmtId="6" fontId="13" fillId="0" borderId="16" xfId="66" applyNumberFormat="1" applyBorder="1"/>
    <xf numFmtId="6" fontId="13" fillId="0" borderId="21" xfId="66" applyNumberFormat="1" applyBorder="1"/>
    <xf numFmtId="6" fontId="13" fillId="0" borderId="14" xfId="66" applyNumberFormat="1" applyBorder="1"/>
    <xf numFmtId="6" fontId="13" fillId="0" borderId="14" xfId="66" applyNumberFormat="1" applyBorder="1" applyAlignment="1">
      <alignment horizontal="right"/>
    </xf>
    <xf numFmtId="6" fontId="13" fillId="0" borderId="50" xfId="66" applyNumberFormat="1" applyBorder="1" applyProtection="1">
      <protection locked="0"/>
    </xf>
    <xf numFmtId="6" fontId="13" fillId="0" borderId="16" xfId="66" applyNumberFormat="1" applyBorder="1" applyAlignment="1">
      <alignment horizontal="right"/>
    </xf>
    <xf numFmtId="6" fontId="13" fillId="0" borderId="41" xfId="66" applyNumberFormat="1" applyBorder="1"/>
    <xf numFmtId="6" fontId="13" fillId="0" borderId="21" xfId="66" applyNumberFormat="1" applyBorder="1" applyAlignment="1">
      <alignment horizontal="right"/>
    </xf>
    <xf numFmtId="6" fontId="13" fillId="0" borderId="14" xfId="66" applyNumberFormat="1" applyBorder="1" applyProtection="1">
      <protection locked="0"/>
    </xf>
    <xf numFmtId="6" fontId="13" fillId="0" borderId="27" xfId="66" applyNumberFormat="1" applyBorder="1" applyAlignment="1">
      <alignment horizontal="right"/>
    </xf>
    <xf numFmtId="6" fontId="13" fillId="0" borderId="50" xfId="66" applyNumberFormat="1" applyBorder="1" applyAlignment="1">
      <alignment horizontal="right"/>
    </xf>
    <xf numFmtId="6" fontId="13" fillId="0" borderId="20" xfId="66" applyNumberFormat="1" applyFill="1" applyBorder="1" applyAlignment="1">
      <alignment horizontal="right"/>
    </xf>
    <xf numFmtId="6" fontId="13" fillId="0" borderId="18" xfId="66" applyNumberFormat="1" applyFill="1" applyBorder="1" applyAlignment="1">
      <alignment horizontal="right"/>
    </xf>
    <xf numFmtId="6" fontId="13" fillId="0" borderId="19" xfId="66" applyNumberFormat="1" applyFill="1" applyBorder="1" applyAlignment="1">
      <alignment horizontal="right"/>
    </xf>
    <xf numFmtId="175" fontId="66" fillId="0" borderId="0" xfId="0" applyFont="1" applyFill="1" applyBorder="1" applyAlignment="1">
      <alignment horizontal="left"/>
    </xf>
    <xf numFmtId="164" fontId="65" fillId="43" borderId="21" xfId="66" applyNumberFormat="1" applyFont="1" applyFill="1" applyBorder="1" applyAlignment="1">
      <alignment horizontal="right"/>
    </xf>
    <xf numFmtId="164" fontId="65" fillId="43" borderId="14" xfId="66" applyNumberFormat="1" applyFont="1" applyFill="1" applyBorder="1" applyAlignment="1">
      <alignment horizontal="right"/>
    </xf>
    <xf numFmtId="175" fontId="65" fillId="0" borderId="77" xfId="66" applyFont="1" applyBorder="1" applyAlignment="1">
      <alignment horizontal="left" wrapText="1" indent="1"/>
    </xf>
    <xf numFmtId="175" fontId="14" fillId="0" borderId="77" xfId="66" applyFont="1" applyBorder="1"/>
    <xf numFmtId="8" fontId="66" fillId="0" borderId="17" xfId="66" applyNumberFormat="1" applyFont="1" applyBorder="1"/>
    <xf numFmtId="175" fontId="43" fillId="0" borderId="0" xfId="66" applyFont="1" applyFill="1"/>
    <xf numFmtId="3" fontId="13" fillId="47" borderId="41" xfId="0" applyNumberFormat="1" applyFont="1" applyFill="1" applyBorder="1" applyAlignment="1" applyProtection="1">
      <alignment wrapText="1"/>
      <protection locked="0"/>
    </xf>
    <xf numFmtId="165" fontId="13" fillId="47" borderId="0" xfId="0" applyNumberFormat="1" applyFont="1" applyFill="1" applyProtection="1">
      <protection locked="0"/>
    </xf>
    <xf numFmtId="172" fontId="15" fillId="47" borderId="11" xfId="46" applyNumberFormat="1" applyFont="1" applyFill="1" applyBorder="1" applyAlignment="1">
      <alignment horizontal="right"/>
    </xf>
    <xf numFmtId="164" fontId="13" fillId="0" borderId="0" xfId="66" applyNumberFormat="1" applyBorder="1" applyAlignment="1">
      <alignment horizontal="center"/>
    </xf>
    <xf numFmtId="3" fontId="13" fillId="0" borderId="78" xfId="0" applyNumberFormat="1" applyFont="1" applyBorder="1" applyAlignment="1">
      <alignment horizontal="left" vertical="center" wrapText="1"/>
    </xf>
    <xf numFmtId="3" fontId="13" fillId="0" borderId="15" xfId="0" applyNumberFormat="1" applyFont="1" applyBorder="1" applyAlignment="1">
      <alignment horizontal="left" vertical="center" wrapText="1"/>
    </xf>
    <xf numFmtId="175" fontId="0" fillId="0" borderId="0" xfId="0" applyBorder="1"/>
    <xf numFmtId="175" fontId="68" fillId="0" borderId="0" xfId="66" applyFont="1" applyAlignment="1">
      <alignment wrapText="1"/>
    </xf>
    <xf numFmtId="164" fontId="14" fillId="0" borderId="0" xfId="66" applyNumberFormat="1" applyFont="1" applyBorder="1"/>
    <xf numFmtId="175" fontId="68" fillId="0" borderId="0" xfId="66" applyFont="1" applyBorder="1" applyAlignment="1">
      <alignment wrapText="1"/>
    </xf>
    <xf numFmtId="3" fontId="13" fillId="0" borderId="0" xfId="0" applyNumberFormat="1" applyFont="1" applyBorder="1" applyAlignment="1">
      <alignment horizontal="left" vertical="center" wrapText="1"/>
    </xf>
    <xf numFmtId="175" fontId="34" fillId="0" borderId="13" xfId="0" applyFont="1" applyBorder="1" applyAlignment="1">
      <alignment horizontal="center" wrapText="1"/>
    </xf>
    <xf numFmtId="175" fontId="34" fillId="0" borderId="15" xfId="0" applyFont="1" applyBorder="1" applyAlignment="1">
      <alignment horizontal="center" wrapText="1"/>
    </xf>
    <xf numFmtId="175" fontId="14" fillId="0" borderId="11" xfId="0" quotePrefix="1" applyFont="1" applyBorder="1" applyAlignment="1">
      <alignment horizontal="center"/>
    </xf>
    <xf numFmtId="175" fontId="0" fillId="47" borderId="0" xfId="0" applyFill="1" applyAlignment="1">
      <alignment vertical="top" wrapText="1"/>
    </xf>
    <xf numFmtId="175" fontId="61" fillId="0" borderId="0" xfId="0" quotePrefix="1" applyFont="1" applyBorder="1"/>
    <xf numFmtId="175" fontId="61" fillId="53" borderId="0" xfId="0" quotePrefix="1" applyFont="1" applyFill="1" applyBorder="1"/>
    <xf numFmtId="175" fontId="13" fillId="0" borderId="11" xfId="0" applyFont="1" applyBorder="1" applyAlignment="1">
      <alignment vertical="center"/>
    </xf>
    <xf numFmtId="2" fontId="13" fillId="0" borderId="19" xfId="0" applyNumberFormat="1" applyFont="1" applyBorder="1" applyAlignment="1">
      <alignment vertical="center"/>
    </xf>
    <xf numFmtId="3" fontId="13" fillId="53" borderId="19" xfId="0" applyNumberFormat="1" applyFont="1" applyFill="1" applyBorder="1" applyAlignment="1">
      <alignment horizontal="center" vertical="center"/>
    </xf>
    <xf numFmtId="175" fontId="13" fillId="0" borderId="34" xfId="0" applyFont="1" applyBorder="1" applyAlignment="1">
      <alignment vertical="center"/>
    </xf>
    <xf numFmtId="2" fontId="13" fillId="0" borderId="16" xfId="0" applyNumberFormat="1" applyFont="1" applyBorder="1" applyAlignment="1">
      <alignment vertical="center"/>
    </xf>
    <xf numFmtId="3" fontId="13" fillId="53" borderId="16" xfId="0" applyNumberFormat="1" applyFont="1" applyFill="1" applyBorder="1" applyAlignment="1">
      <alignment horizontal="center" vertical="center"/>
    </xf>
    <xf numFmtId="3" fontId="13" fillId="0" borderId="16" xfId="0" applyNumberFormat="1" applyFont="1" applyBorder="1" applyAlignment="1">
      <alignment horizontal="center" vertical="center"/>
    </xf>
    <xf numFmtId="2" fontId="13" fillId="53" borderId="16" xfId="0" applyNumberFormat="1" applyFont="1" applyFill="1" applyBorder="1" applyAlignment="1">
      <alignment vertical="center"/>
    </xf>
    <xf numFmtId="175" fontId="13" fillId="53" borderId="0" xfId="0" applyFont="1" applyFill="1" applyBorder="1"/>
    <xf numFmtId="3" fontId="13" fillId="0" borderId="19" xfId="0" applyNumberFormat="1" applyFont="1" applyBorder="1" applyAlignment="1">
      <alignment horizontal="center" vertical="center"/>
    </xf>
    <xf numFmtId="2" fontId="13" fillId="0" borderId="41" xfId="0" applyNumberFormat="1" applyFont="1" applyBorder="1" applyAlignment="1">
      <alignment vertical="center"/>
    </xf>
    <xf numFmtId="3" fontId="13" fillId="0" borderId="14" xfId="0" applyNumberFormat="1" applyFont="1" applyBorder="1" applyAlignment="1">
      <alignment horizontal="center" vertical="center"/>
    </xf>
    <xf numFmtId="175" fontId="13" fillId="0" borderId="0" xfId="0" applyFont="1" applyBorder="1" applyAlignment="1"/>
    <xf numFmtId="175" fontId="15" fillId="47" borderId="11" xfId="0" applyFont="1" applyFill="1" applyBorder="1" applyAlignment="1" applyProtection="1">
      <alignment horizontal="left"/>
      <protection locked="0"/>
    </xf>
    <xf numFmtId="175" fontId="65" fillId="43" borderId="0" xfId="66" applyFont="1" applyFill="1" applyBorder="1" applyAlignment="1">
      <alignment horizontal="center"/>
    </xf>
    <xf numFmtId="175" fontId="69" fillId="47" borderId="0" xfId="0" quotePrefix="1" applyFont="1" applyFill="1" applyProtection="1">
      <protection locked="0"/>
    </xf>
    <xf numFmtId="175" fontId="89" fillId="0" borderId="0" xfId="0" quotePrefix="1" applyFont="1" applyAlignment="1">
      <alignment vertical="center"/>
    </xf>
    <xf numFmtId="175" fontId="69" fillId="0" borderId="0" xfId="67" applyFont="1" applyProtection="1">
      <protection locked="0"/>
    </xf>
    <xf numFmtId="175" fontId="69" fillId="0" borderId="0" xfId="67" quotePrefix="1" applyFont="1" applyProtection="1">
      <protection locked="0"/>
    </xf>
    <xf numFmtId="175" fontId="70" fillId="0" borderId="0" xfId="0" applyFont="1" applyAlignment="1">
      <alignment vertical="center"/>
    </xf>
    <xf numFmtId="175" fontId="68" fillId="47" borderId="0" xfId="66" quotePrefix="1" applyFont="1" applyFill="1" applyBorder="1" applyAlignment="1" applyProtection="1">
      <alignment horizontal="left"/>
      <protection locked="0"/>
    </xf>
    <xf numFmtId="175" fontId="68" fillId="47" borderId="0" xfId="782" applyFont="1" applyFill="1" applyAlignment="1">
      <alignment vertical="center"/>
    </xf>
    <xf numFmtId="175" fontId="61" fillId="0" borderId="0" xfId="66" applyFont="1"/>
    <xf numFmtId="175" fontId="61" fillId="0" borderId="0" xfId="0" applyFont="1" applyAlignment="1">
      <alignment vertical="center"/>
    </xf>
    <xf numFmtId="0" fontId="70" fillId="0" borderId="0" xfId="520" applyFont="1"/>
    <xf numFmtId="175" fontId="13" fillId="0" borderId="0" xfId="66" applyBorder="1" applyAlignment="1">
      <alignment horizontal="center"/>
    </xf>
    <xf numFmtId="164" fontId="13" fillId="0" borderId="0" xfId="66" applyNumberFormat="1" applyBorder="1" applyAlignment="1">
      <alignment horizontal="right"/>
    </xf>
    <xf numFmtId="164" fontId="13" fillId="0" borderId="20" xfId="66" applyNumberFormat="1" applyBorder="1" applyAlignment="1">
      <alignment horizontal="right"/>
    </xf>
    <xf numFmtId="164" fontId="13" fillId="0" borderId="18" xfId="66" applyNumberFormat="1" applyBorder="1" applyAlignment="1">
      <alignment horizontal="right"/>
    </xf>
    <xf numFmtId="164" fontId="13" fillId="0" borderId="40" xfId="66" applyNumberFormat="1" applyBorder="1" applyAlignment="1">
      <alignment horizontal="right"/>
    </xf>
    <xf numFmtId="164" fontId="13" fillId="0" borderId="68" xfId="66" applyNumberFormat="1" applyBorder="1" applyAlignment="1">
      <alignment horizontal="right"/>
    </xf>
    <xf numFmtId="164" fontId="13" fillId="0" borderId="65" xfId="66" applyNumberFormat="1" applyBorder="1" applyAlignment="1">
      <alignment horizontal="right"/>
    </xf>
    <xf numFmtId="164" fontId="13" fillId="0" borderId="27" xfId="66" applyNumberFormat="1" applyBorder="1" applyAlignment="1">
      <alignment horizontal="right"/>
    </xf>
    <xf numFmtId="164" fontId="13" fillId="44" borderId="68" xfId="66" applyNumberFormat="1" applyFill="1" applyBorder="1" applyAlignment="1">
      <alignment horizontal="right"/>
    </xf>
    <xf numFmtId="164" fontId="13" fillId="44" borderId="18" xfId="66" applyNumberFormat="1" applyFill="1" applyBorder="1" applyAlignment="1">
      <alignment horizontal="right"/>
    </xf>
    <xf numFmtId="164" fontId="14" fillId="0" borderId="69" xfId="66" applyNumberFormat="1" applyFont="1" applyBorder="1" applyAlignment="1">
      <alignment horizontal="right"/>
    </xf>
    <xf numFmtId="164" fontId="14" fillId="0" borderId="48" xfId="66" applyNumberFormat="1" applyFont="1" applyBorder="1" applyAlignment="1">
      <alignment horizontal="right"/>
    </xf>
    <xf numFmtId="175" fontId="65" fillId="43" borderId="0" xfId="66" applyFont="1" applyFill="1" applyAlignment="1"/>
    <xf numFmtId="164" fontId="66" fillId="0" borderId="27" xfId="66" applyNumberFormat="1" applyFont="1" applyBorder="1" applyAlignment="1"/>
    <xf numFmtId="164" fontId="66" fillId="0" borderId="0" xfId="66" applyNumberFormat="1" applyFont="1" applyBorder="1" applyAlignment="1"/>
    <xf numFmtId="164" fontId="66" fillId="0" borderId="14" xfId="66" applyNumberFormat="1" applyFont="1" applyBorder="1" applyAlignment="1"/>
    <xf numFmtId="164" fontId="65" fillId="43" borderId="14" xfId="66" applyNumberFormat="1" applyFont="1" applyFill="1" applyBorder="1" applyAlignment="1"/>
    <xf numFmtId="164" fontId="66" fillId="0" borderId="0" xfId="66" applyNumberFormat="1" applyFont="1" applyAlignment="1"/>
    <xf numFmtId="164" fontId="65" fillId="43" borderId="42" xfId="66" applyNumberFormat="1" applyFont="1" applyFill="1" applyBorder="1" applyAlignment="1"/>
    <xf numFmtId="175" fontId="65" fillId="43" borderId="18" xfId="66" applyFont="1" applyFill="1" applyBorder="1" applyAlignment="1">
      <alignment horizontal="right"/>
    </xf>
    <xf numFmtId="44" fontId="65" fillId="43" borderId="18" xfId="50" applyFont="1" applyFill="1" applyBorder="1" applyAlignment="1">
      <alignment horizontal="right"/>
    </xf>
    <xf numFmtId="175" fontId="13" fillId="0" borderId="0" xfId="0" applyFont="1" applyBorder="1" applyAlignment="1">
      <alignment vertical="center"/>
    </xf>
    <xf numFmtId="2" fontId="13" fillId="0" borderId="0" xfId="0" applyNumberFormat="1" applyFont="1" applyBorder="1" applyAlignment="1">
      <alignment vertical="center"/>
    </xf>
    <xf numFmtId="3" fontId="13" fillId="0" borderId="0" xfId="0" applyNumberFormat="1" applyFont="1" applyBorder="1" applyAlignment="1">
      <alignment horizontal="center" vertical="center"/>
    </xf>
    <xf numFmtId="3" fontId="13" fillId="53" borderId="0" xfId="0" applyNumberFormat="1" applyFont="1" applyFill="1" applyBorder="1" applyAlignment="1">
      <alignment horizontal="center" vertical="center"/>
    </xf>
    <xf numFmtId="175" fontId="61" fillId="43" borderId="0" xfId="66" applyFont="1" applyFill="1"/>
    <xf numFmtId="44" fontId="61" fillId="43" borderId="0" xfId="50" applyFont="1" applyFill="1"/>
    <xf numFmtId="175" fontId="61" fillId="47" borderId="0" xfId="66" applyFont="1" applyFill="1" applyAlignment="1"/>
    <xf numFmtId="175" fontId="92" fillId="0" borderId="0" xfId="0" quotePrefix="1" applyFont="1" applyAlignment="1">
      <alignment vertical="center"/>
    </xf>
    <xf numFmtId="175" fontId="61" fillId="47" borderId="0" xfId="66" applyFont="1" applyFill="1" applyProtection="1">
      <protection locked="0"/>
    </xf>
    <xf numFmtId="44" fontId="66" fillId="47" borderId="0" xfId="50" applyFont="1" applyFill="1"/>
    <xf numFmtId="175" fontId="13" fillId="0" borderId="0" xfId="66" applyFont="1" applyProtection="1">
      <protection locked="0"/>
    </xf>
    <xf numFmtId="8" fontId="66" fillId="0" borderId="27" xfId="66" applyNumberFormat="1" applyFont="1" applyBorder="1"/>
    <xf numFmtId="175" fontId="13" fillId="0" borderId="11" xfId="0" applyFont="1" applyBorder="1"/>
    <xf numFmtId="14" fontId="13" fillId="0" borderId="11" xfId="0" applyNumberFormat="1" applyFont="1" applyBorder="1"/>
    <xf numFmtId="2" fontId="13" fillId="47" borderId="11" xfId="66" applyNumberFormat="1" applyFont="1" applyFill="1" applyBorder="1" applyAlignment="1" applyProtection="1">
      <protection locked="0"/>
    </xf>
    <xf numFmtId="16" fontId="13" fillId="0" borderId="11" xfId="0" applyNumberFormat="1" applyFont="1" applyBorder="1" applyAlignment="1">
      <alignment horizontal="right"/>
    </xf>
    <xf numFmtId="175" fontId="56" fillId="0" borderId="11" xfId="0" applyFont="1" applyBorder="1" applyAlignment="1">
      <alignment horizontal="right"/>
    </xf>
    <xf numFmtId="2" fontId="13" fillId="0" borderId="11" xfId="782" applyNumberFormat="1" applyFont="1" applyBorder="1" applyAlignment="1"/>
    <xf numFmtId="175" fontId="13" fillId="0" borderId="11" xfId="0" applyFont="1" applyFill="1" applyBorder="1"/>
    <xf numFmtId="14" fontId="56" fillId="0" borderId="11" xfId="0" applyNumberFormat="1" applyFont="1" applyBorder="1" applyAlignment="1">
      <alignment horizontal="right"/>
    </xf>
    <xf numFmtId="175" fontId="61" fillId="0" borderId="0" xfId="0" quotePrefix="1" applyFont="1" applyBorder="1" applyAlignment="1"/>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61" fillId="0" borderId="0" xfId="66" applyFont="1" applyAlignment="1">
      <alignment wrapText="1"/>
    </xf>
    <xf numFmtId="164" fontId="13" fillId="0" borderId="0" xfId="66" applyNumberFormat="1" applyBorder="1" applyAlignment="1" applyProtection="1">
      <alignment horizontal="center"/>
      <protection locked="0"/>
    </xf>
    <xf numFmtId="175" fontId="14" fillId="0" borderId="79" xfId="66" applyFont="1" applyBorder="1" applyAlignment="1">
      <alignment horizontal="center" wrapText="1"/>
    </xf>
    <xf numFmtId="175" fontId="13" fillId="0" borderId="63" xfId="66" applyBorder="1"/>
    <xf numFmtId="164" fontId="13" fillId="0" borderId="56" xfId="66" applyNumberFormat="1" applyBorder="1"/>
    <xf numFmtId="164" fontId="13" fillId="0" borderId="39" xfId="66" applyNumberFormat="1" applyBorder="1"/>
    <xf numFmtId="164" fontId="13" fillId="0" borderId="63" xfId="66" applyNumberFormat="1" applyBorder="1"/>
    <xf numFmtId="164" fontId="13" fillId="44" borderId="39" xfId="66" applyNumberFormat="1" applyFill="1" applyBorder="1" applyAlignment="1">
      <alignment horizontal="right"/>
    </xf>
    <xf numFmtId="164" fontId="14" fillId="0" borderId="66" xfId="66" applyNumberFormat="1" applyFont="1" applyBorder="1"/>
    <xf numFmtId="175" fontId="66" fillId="43" borderId="55" xfId="66" applyFont="1" applyFill="1" applyBorder="1"/>
    <xf numFmtId="175" fontId="65" fillId="43" borderId="39" xfId="66" applyFont="1" applyFill="1" applyBorder="1" applyAlignment="1">
      <alignment horizontal="center" wrapText="1"/>
    </xf>
    <xf numFmtId="175" fontId="65" fillId="43" borderId="56" xfId="66" applyFont="1" applyFill="1" applyBorder="1" applyAlignment="1">
      <alignment horizontal="center" wrapText="1"/>
    </xf>
    <xf numFmtId="175" fontId="65" fillId="0" borderId="56" xfId="66" applyFont="1" applyBorder="1" applyAlignment="1">
      <alignment horizontal="center" wrapText="1"/>
    </xf>
    <xf numFmtId="164" fontId="66" fillId="0" borderId="56" xfId="66" applyNumberFormat="1" applyFont="1" applyBorder="1"/>
    <xf numFmtId="164" fontId="66" fillId="47" borderId="56" xfId="66" applyNumberFormat="1" applyFont="1" applyFill="1" applyBorder="1"/>
    <xf numFmtId="164" fontId="65" fillId="0" borderId="39" xfId="66" applyNumberFormat="1" applyFont="1" applyBorder="1" applyAlignment="1">
      <alignment horizontal="right"/>
    </xf>
    <xf numFmtId="164" fontId="66" fillId="0" borderId="64" xfId="66" applyNumberFormat="1" applyFont="1" applyBorder="1"/>
    <xf numFmtId="164" fontId="65" fillId="43" borderId="64" xfId="66" applyNumberFormat="1" applyFont="1" applyFill="1" applyBorder="1"/>
    <xf numFmtId="164" fontId="65" fillId="0" borderId="80" xfId="66" applyNumberFormat="1" applyFont="1" applyBorder="1" applyAlignment="1">
      <alignment horizontal="right"/>
    </xf>
    <xf numFmtId="44" fontId="65" fillId="43" borderId="14" xfId="50" applyFont="1" applyFill="1" applyBorder="1"/>
    <xf numFmtId="164" fontId="65" fillId="0" borderId="20" xfId="66" applyNumberFormat="1" applyFont="1" applyBorder="1"/>
    <xf numFmtId="164" fontId="65" fillId="0" borderId="18" xfId="66" applyNumberFormat="1" applyFont="1" applyBorder="1"/>
    <xf numFmtId="164" fontId="65" fillId="0" borderId="18" xfId="66" applyNumberFormat="1" applyFont="1" applyBorder="1" applyAlignment="1"/>
    <xf numFmtId="164" fontId="65" fillId="0" borderId="39" xfId="66" applyNumberFormat="1" applyFont="1" applyBorder="1"/>
    <xf numFmtId="164" fontId="65" fillId="43" borderId="81" xfId="66" applyNumberFormat="1" applyFont="1" applyFill="1" applyBorder="1"/>
    <xf numFmtId="164" fontId="65" fillId="43" borderId="48" xfId="66" applyNumberFormat="1" applyFont="1" applyFill="1" applyBorder="1"/>
    <xf numFmtId="164" fontId="65" fillId="43" borderId="48" xfId="66" applyNumberFormat="1" applyFont="1" applyFill="1" applyBorder="1" applyAlignment="1"/>
    <xf numFmtId="164" fontId="65" fillId="43" borderId="66" xfId="66" applyNumberFormat="1" applyFont="1" applyFill="1" applyBorder="1"/>
    <xf numFmtId="175" fontId="61" fillId="47" borderId="0" xfId="0" quotePrefix="1" applyFont="1" applyFill="1" applyAlignment="1">
      <alignment horizontal="left" vertical="top" wrapText="1"/>
    </xf>
    <xf numFmtId="175" fontId="14" fillId="0" borderId="70" xfId="0" applyFont="1" applyBorder="1" applyAlignment="1">
      <alignment horizontal="center"/>
    </xf>
    <xf numFmtId="175" fontId="14" fillId="0" borderId="71" xfId="0" applyFont="1" applyBorder="1" applyAlignment="1">
      <alignment horizontal="center"/>
    </xf>
    <xf numFmtId="175" fontId="14" fillId="0" borderId="72" xfId="0" applyFont="1" applyBorder="1" applyAlignment="1">
      <alignment horizontal="center"/>
    </xf>
    <xf numFmtId="175" fontId="61" fillId="0" borderId="0" xfId="0" quotePrefix="1" applyFont="1" applyBorder="1" applyAlignment="1"/>
    <xf numFmtId="175" fontId="61" fillId="0" borderId="0" xfId="0" applyFont="1" applyBorder="1" applyAlignment="1"/>
    <xf numFmtId="175" fontId="61" fillId="53" borderId="0" xfId="0" quotePrefix="1" applyFont="1" applyFill="1" applyBorder="1" applyAlignment="1"/>
    <xf numFmtId="175" fontId="61" fillId="53" borderId="0" xfId="0" applyFont="1" applyFill="1" applyBorder="1" applyAlignment="1"/>
    <xf numFmtId="175" fontId="14" fillId="0" borderId="17" xfId="0" applyFont="1" applyBorder="1" applyAlignment="1">
      <alignment horizontal="center"/>
    </xf>
    <xf numFmtId="175" fontId="14" fillId="0" borderId="0" xfId="0" applyFont="1" applyBorder="1" applyAlignment="1">
      <alignment horizontal="center"/>
    </xf>
    <xf numFmtId="175" fontId="14" fillId="0" borderId="41" xfId="0" applyFont="1" applyBorder="1" applyAlignment="1">
      <alignment horizontal="center"/>
    </xf>
    <xf numFmtId="175" fontId="68" fillId="0" borderId="0" xfId="0" applyFont="1" applyAlignment="1">
      <alignment vertical="top" wrapText="1"/>
    </xf>
    <xf numFmtId="175" fontId="34" fillId="0" borderId="11" xfId="0" applyFont="1" applyBorder="1" applyAlignment="1" applyProtection="1">
      <alignment horizontal="center"/>
      <protection locked="0"/>
    </xf>
    <xf numFmtId="175" fontId="34" fillId="0" borderId="11" xfId="0" applyFont="1" applyBorder="1" applyAlignment="1">
      <alignment horizontal="center"/>
    </xf>
    <xf numFmtId="175" fontId="81" fillId="0" borderId="0" xfId="0" applyFont="1" applyAlignment="1" applyProtection="1">
      <alignment horizontal="center"/>
      <protection locked="0"/>
    </xf>
    <xf numFmtId="17" fontId="81" fillId="47" borderId="0" xfId="0" quotePrefix="1" applyNumberFormat="1" applyFont="1" applyFill="1" applyAlignment="1" applyProtection="1">
      <alignment horizontal="left"/>
      <protection locked="0"/>
    </xf>
    <xf numFmtId="0" fontId="75" fillId="0" borderId="22" xfId="520" applyFont="1" applyBorder="1" applyAlignment="1">
      <alignment horizontal="center" vertical="center" wrapText="1"/>
    </xf>
    <xf numFmtId="0" fontId="75" fillId="0" borderId="21" xfId="520" applyFont="1" applyBorder="1" applyAlignment="1">
      <alignment horizontal="center" vertical="center" wrapText="1"/>
    </xf>
    <xf numFmtId="0" fontId="75" fillId="0" borderId="15" xfId="520" applyFont="1" applyBorder="1" applyAlignment="1">
      <alignment horizontal="center" vertical="center" wrapText="1"/>
    </xf>
    <xf numFmtId="0" fontId="75" fillId="0" borderId="34" xfId="520" applyFont="1" applyBorder="1" applyAlignment="1">
      <alignment horizontal="center" vertical="center" wrapText="1"/>
    </xf>
    <xf numFmtId="175" fontId="54" fillId="47" borderId="20" xfId="66" applyFont="1" applyFill="1" applyBorder="1" applyAlignment="1" applyProtection="1">
      <alignment horizontal="center" wrapText="1"/>
    </xf>
    <xf numFmtId="175" fontId="54" fillId="47" borderId="18" xfId="66" applyFont="1" applyFill="1" applyBorder="1" applyAlignment="1" applyProtection="1">
      <alignment horizontal="center" wrapText="1"/>
    </xf>
    <xf numFmtId="175" fontId="54" fillId="47" borderId="19" xfId="66" applyFont="1" applyFill="1" applyBorder="1" applyAlignment="1" applyProtection="1">
      <alignment horizontal="center" wrapText="1"/>
    </xf>
    <xf numFmtId="175" fontId="13" fillId="0" borderId="0" xfId="66" applyAlignment="1">
      <alignment wrapText="1"/>
    </xf>
    <xf numFmtId="175" fontId="61" fillId="0" borderId="0" xfId="66" applyFont="1" applyAlignment="1">
      <alignment wrapText="1"/>
    </xf>
  </cellXfs>
  <cellStyles count="892">
    <cellStyle name="20% - Accent1" xfId="1" builtinId="30" customBuiltin="1"/>
    <cellStyle name="20% - Accent1 2" xfId="115" xr:uid="{00000000-0005-0000-0000-000001000000}"/>
    <cellStyle name="20% - Accent1 3" xfId="149" xr:uid="{00000000-0005-0000-0000-000002000000}"/>
    <cellStyle name="20% - Accent1 4" xfId="195" xr:uid="{00000000-0005-0000-0000-000003000000}"/>
    <cellStyle name="20% - Accent1 5" xfId="241" xr:uid="{00000000-0005-0000-0000-000004000000}"/>
    <cellStyle name="20% - Accent1 6" xfId="290" xr:uid="{00000000-0005-0000-0000-000005000000}"/>
    <cellStyle name="20% - Accent1 7" xfId="354" xr:uid="{00000000-0005-0000-0000-000006000000}"/>
    <cellStyle name="20% - Accent1 8" xfId="425" xr:uid="{00000000-0005-0000-0000-000007000000}"/>
    <cellStyle name="20% - Accent1 9" xfId="529" xr:uid="{00000000-0005-0000-0000-000008000000}"/>
    <cellStyle name="20% - Accent2" xfId="2" builtinId="34" customBuiltin="1"/>
    <cellStyle name="20% - Accent2 2" xfId="116" xr:uid="{00000000-0005-0000-0000-00000A000000}"/>
    <cellStyle name="20% - Accent2 3" xfId="150" xr:uid="{00000000-0005-0000-0000-00000B000000}"/>
    <cellStyle name="20% - Accent2 4" xfId="196" xr:uid="{00000000-0005-0000-0000-00000C000000}"/>
    <cellStyle name="20% - Accent2 5" xfId="242" xr:uid="{00000000-0005-0000-0000-00000D000000}"/>
    <cellStyle name="20% - Accent2 6" xfId="291" xr:uid="{00000000-0005-0000-0000-00000E000000}"/>
    <cellStyle name="20% - Accent2 7" xfId="355" xr:uid="{00000000-0005-0000-0000-00000F000000}"/>
    <cellStyle name="20% - Accent2 8" xfId="426" xr:uid="{00000000-0005-0000-0000-000010000000}"/>
    <cellStyle name="20% - Accent2 9" xfId="530" xr:uid="{00000000-0005-0000-0000-000011000000}"/>
    <cellStyle name="20% - Accent3" xfId="3" builtinId="38" customBuiltin="1"/>
    <cellStyle name="20% - Accent3 2" xfId="117" xr:uid="{00000000-0005-0000-0000-000013000000}"/>
    <cellStyle name="20% - Accent3 3" xfId="151" xr:uid="{00000000-0005-0000-0000-000014000000}"/>
    <cellStyle name="20% - Accent3 4" xfId="197" xr:uid="{00000000-0005-0000-0000-000015000000}"/>
    <cellStyle name="20% - Accent3 5" xfId="243" xr:uid="{00000000-0005-0000-0000-000016000000}"/>
    <cellStyle name="20% - Accent3 6" xfId="292" xr:uid="{00000000-0005-0000-0000-000017000000}"/>
    <cellStyle name="20% - Accent3 7" xfId="356" xr:uid="{00000000-0005-0000-0000-000018000000}"/>
    <cellStyle name="20% - Accent3 8" xfId="427" xr:uid="{00000000-0005-0000-0000-000019000000}"/>
    <cellStyle name="20% - Accent3 9" xfId="531" xr:uid="{00000000-0005-0000-0000-00001A000000}"/>
    <cellStyle name="20% - Accent4" xfId="4" builtinId="42" customBuiltin="1"/>
    <cellStyle name="20% - Accent4 2" xfId="118" xr:uid="{00000000-0005-0000-0000-00001C000000}"/>
    <cellStyle name="20% - Accent4 3" xfId="152" xr:uid="{00000000-0005-0000-0000-00001D000000}"/>
    <cellStyle name="20% - Accent4 4" xfId="198" xr:uid="{00000000-0005-0000-0000-00001E000000}"/>
    <cellStyle name="20% - Accent4 5" xfId="244" xr:uid="{00000000-0005-0000-0000-00001F000000}"/>
    <cellStyle name="20% - Accent4 6" xfId="293" xr:uid="{00000000-0005-0000-0000-000020000000}"/>
    <cellStyle name="20% - Accent4 7" xfId="357" xr:uid="{00000000-0005-0000-0000-000021000000}"/>
    <cellStyle name="20% - Accent4 8" xfId="428" xr:uid="{00000000-0005-0000-0000-000022000000}"/>
    <cellStyle name="20% - Accent4 9" xfId="532" xr:uid="{00000000-0005-0000-0000-000023000000}"/>
    <cellStyle name="20% - Accent5" xfId="5" builtinId="46" customBuiltin="1"/>
    <cellStyle name="20% - Accent5 2" xfId="119" xr:uid="{00000000-0005-0000-0000-000025000000}"/>
    <cellStyle name="20% - Accent5 3" xfId="153" xr:uid="{00000000-0005-0000-0000-000026000000}"/>
    <cellStyle name="20% - Accent5 4" xfId="199" xr:uid="{00000000-0005-0000-0000-000027000000}"/>
    <cellStyle name="20% - Accent5 5" xfId="245" xr:uid="{00000000-0005-0000-0000-000028000000}"/>
    <cellStyle name="20% - Accent5 6" xfId="294" xr:uid="{00000000-0005-0000-0000-000029000000}"/>
    <cellStyle name="20% - Accent5 7" xfId="358" xr:uid="{00000000-0005-0000-0000-00002A000000}"/>
    <cellStyle name="20% - Accent5 8" xfId="429" xr:uid="{00000000-0005-0000-0000-00002B000000}"/>
    <cellStyle name="20% - Accent5 9" xfId="533" xr:uid="{00000000-0005-0000-0000-00002C000000}"/>
    <cellStyle name="20% - Accent6" xfId="6" builtinId="50" customBuiltin="1"/>
    <cellStyle name="20% - Accent6 2" xfId="120" xr:uid="{00000000-0005-0000-0000-00002E000000}"/>
    <cellStyle name="20% - Accent6 3" xfId="154" xr:uid="{00000000-0005-0000-0000-00002F000000}"/>
    <cellStyle name="20% - Accent6 4" xfId="200" xr:uid="{00000000-0005-0000-0000-000030000000}"/>
    <cellStyle name="20% - Accent6 5" xfId="246" xr:uid="{00000000-0005-0000-0000-000031000000}"/>
    <cellStyle name="20% - Accent6 6" xfId="295" xr:uid="{00000000-0005-0000-0000-000032000000}"/>
    <cellStyle name="20% - Accent6 7" xfId="359" xr:uid="{00000000-0005-0000-0000-000033000000}"/>
    <cellStyle name="20% - Accent6 8" xfId="430" xr:uid="{00000000-0005-0000-0000-000034000000}"/>
    <cellStyle name="20% - Accent6 9" xfId="534" xr:uid="{00000000-0005-0000-0000-000035000000}"/>
    <cellStyle name="40% - Accent1" xfId="7" builtinId="31" customBuiltin="1"/>
    <cellStyle name="40% - Accent1 2" xfId="121" xr:uid="{00000000-0005-0000-0000-000037000000}"/>
    <cellStyle name="40% - Accent1 3" xfId="155" xr:uid="{00000000-0005-0000-0000-000038000000}"/>
    <cellStyle name="40% - Accent1 4" xfId="201" xr:uid="{00000000-0005-0000-0000-000039000000}"/>
    <cellStyle name="40% - Accent1 5" xfId="247" xr:uid="{00000000-0005-0000-0000-00003A000000}"/>
    <cellStyle name="40% - Accent1 6" xfId="296" xr:uid="{00000000-0005-0000-0000-00003B000000}"/>
    <cellStyle name="40% - Accent1 7" xfId="360" xr:uid="{00000000-0005-0000-0000-00003C000000}"/>
    <cellStyle name="40% - Accent1 8" xfId="431" xr:uid="{00000000-0005-0000-0000-00003D000000}"/>
    <cellStyle name="40% - Accent1 9" xfId="535" xr:uid="{00000000-0005-0000-0000-00003E000000}"/>
    <cellStyle name="40% - Accent2" xfId="8" builtinId="35" customBuiltin="1"/>
    <cellStyle name="40% - Accent2 2" xfId="122" xr:uid="{00000000-0005-0000-0000-000040000000}"/>
    <cellStyle name="40% - Accent2 3" xfId="156" xr:uid="{00000000-0005-0000-0000-000041000000}"/>
    <cellStyle name="40% - Accent2 4" xfId="202" xr:uid="{00000000-0005-0000-0000-000042000000}"/>
    <cellStyle name="40% - Accent2 5" xfId="248" xr:uid="{00000000-0005-0000-0000-000043000000}"/>
    <cellStyle name="40% - Accent2 6" xfId="297" xr:uid="{00000000-0005-0000-0000-000044000000}"/>
    <cellStyle name="40% - Accent2 7" xfId="361" xr:uid="{00000000-0005-0000-0000-000045000000}"/>
    <cellStyle name="40% - Accent2 8" xfId="432" xr:uid="{00000000-0005-0000-0000-000046000000}"/>
    <cellStyle name="40% - Accent2 9" xfId="536" xr:uid="{00000000-0005-0000-0000-000047000000}"/>
    <cellStyle name="40% - Accent3" xfId="9" builtinId="39" customBuiltin="1"/>
    <cellStyle name="40% - Accent3 2" xfId="123" xr:uid="{00000000-0005-0000-0000-000049000000}"/>
    <cellStyle name="40% - Accent3 3" xfId="157" xr:uid="{00000000-0005-0000-0000-00004A000000}"/>
    <cellStyle name="40% - Accent3 4" xfId="203" xr:uid="{00000000-0005-0000-0000-00004B000000}"/>
    <cellStyle name="40% - Accent3 5" xfId="249" xr:uid="{00000000-0005-0000-0000-00004C000000}"/>
    <cellStyle name="40% - Accent3 6" xfId="298" xr:uid="{00000000-0005-0000-0000-00004D000000}"/>
    <cellStyle name="40% - Accent3 7" xfId="362" xr:uid="{00000000-0005-0000-0000-00004E000000}"/>
    <cellStyle name="40% - Accent3 8" xfId="433" xr:uid="{00000000-0005-0000-0000-00004F000000}"/>
    <cellStyle name="40% - Accent3 9" xfId="537" xr:uid="{00000000-0005-0000-0000-000050000000}"/>
    <cellStyle name="40% - Accent4" xfId="10" builtinId="43" customBuiltin="1"/>
    <cellStyle name="40% - Accent4 2" xfId="124" xr:uid="{00000000-0005-0000-0000-000052000000}"/>
    <cellStyle name="40% - Accent4 3" xfId="158" xr:uid="{00000000-0005-0000-0000-000053000000}"/>
    <cellStyle name="40% - Accent4 4" xfId="204" xr:uid="{00000000-0005-0000-0000-000054000000}"/>
    <cellStyle name="40% - Accent4 5" xfId="250" xr:uid="{00000000-0005-0000-0000-000055000000}"/>
    <cellStyle name="40% - Accent4 6" xfId="299" xr:uid="{00000000-0005-0000-0000-000056000000}"/>
    <cellStyle name="40% - Accent4 7" xfId="363" xr:uid="{00000000-0005-0000-0000-000057000000}"/>
    <cellStyle name="40% - Accent4 8" xfId="434" xr:uid="{00000000-0005-0000-0000-000058000000}"/>
    <cellStyle name="40% - Accent4 9" xfId="538" xr:uid="{00000000-0005-0000-0000-000059000000}"/>
    <cellStyle name="40% - Accent5" xfId="11" builtinId="47" customBuiltin="1"/>
    <cellStyle name="40% - Accent5 2" xfId="125" xr:uid="{00000000-0005-0000-0000-00005B000000}"/>
    <cellStyle name="40% - Accent5 3" xfId="159" xr:uid="{00000000-0005-0000-0000-00005C000000}"/>
    <cellStyle name="40% - Accent5 4" xfId="205" xr:uid="{00000000-0005-0000-0000-00005D000000}"/>
    <cellStyle name="40% - Accent5 5" xfId="251" xr:uid="{00000000-0005-0000-0000-00005E000000}"/>
    <cellStyle name="40% - Accent5 6" xfId="300" xr:uid="{00000000-0005-0000-0000-00005F000000}"/>
    <cellStyle name="40% - Accent5 7" xfId="364" xr:uid="{00000000-0005-0000-0000-000060000000}"/>
    <cellStyle name="40% - Accent5 8" xfId="435" xr:uid="{00000000-0005-0000-0000-000061000000}"/>
    <cellStyle name="40% - Accent5 9" xfId="539" xr:uid="{00000000-0005-0000-0000-000062000000}"/>
    <cellStyle name="40% - Accent6" xfId="12" builtinId="51" customBuiltin="1"/>
    <cellStyle name="40% - Accent6 2" xfId="126" xr:uid="{00000000-0005-0000-0000-000064000000}"/>
    <cellStyle name="40% - Accent6 3" xfId="160" xr:uid="{00000000-0005-0000-0000-000065000000}"/>
    <cellStyle name="40% - Accent6 4" xfId="206" xr:uid="{00000000-0005-0000-0000-000066000000}"/>
    <cellStyle name="40% - Accent6 5" xfId="252" xr:uid="{00000000-0005-0000-0000-000067000000}"/>
    <cellStyle name="40% - Accent6 6" xfId="301" xr:uid="{00000000-0005-0000-0000-000068000000}"/>
    <cellStyle name="40% - Accent6 7" xfId="365" xr:uid="{00000000-0005-0000-0000-000069000000}"/>
    <cellStyle name="40% - Accent6 8" xfId="436" xr:uid="{00000000-0005-0000-0000-00006A000000}"/>
    <cellStyle name="40% - Accent6 9" xfId="540" xr:uid="{00000000-0005-0000-0000-00006B000000}"/>
    <cellStyle name="60% - Accent1" xfId="13" builtinId="32" customBuiltin="1"/>
    <cellStyle name="60% - Accent1 2" xfId="161" xr:uid="{00000000-0005-0000-0000-00006D000000}"/>
    <cellStyle name="60% - Accent1 3" xfId="207" xr:uid="{00000000-0005-0000-0000-00006E000000}"/>
    <cellStyle name="60% - Accent1 4" xfId="253" xr:uid="{00000000-0005-0000-0000-00006F000000}"/>
    <cellStyle name="60% - Accent1 5" xfId="302" xr:uid="{00000000-0005-0000-0000-000070000000}"/>
    <cellStyle name="60% - Accent1 6" xfId="366" xr:uid="{00000000-0005-0000-0000-000071000000}"/>
    <cellStyle name="60% - Accent1 7" xfId="437" xr:uid="{00000000-0005-0000-0000-000072000000}"/>
    <cellStyle name="60% - Accent1 8" xfId="541" xr:uid="{00000000-0005-0000-0000-000073000000}"/>
    <cellStyle name="60% - Accent2" xfId="14" builtinId="36" customBuiltin="1"/>
    <cellStyle name="60% - Accent2 2" xfId="162" xr:uid="{00000000-0005-0000-0000-000075000000}"/>
    <cellStyle name="60% - Accent2 3" xfId="208" xr:uid="{00000000-0005-0000-0000-000076000000}"/>
    <cellStyle name="60% - Accent2 4" xfId="254" xr:uid="{00000000-0005-0000-0000-000077000000}"/>
    <cellStyle name="60% - Accent2 5" xfId="303" xr:uid="{00000000-0005-0000-0000-000078000000}"/>
    <cellStyle name="60% - Accent2 6" xfId="367" xr:uid="{00000000-0005-0000-0000-000079000000}"/>
    <cellStyle name="60% - Accent2 7" xfId="438" xr:uid="{00000000-0005-0000-0000-00007A000000}"/>
    <cellStyle name="60% - Accent2 8" xfId="542" xr:uid="{00000000-0005-0000-0000-00007B000000}"/>
    <cellStyle name="60% - Accent3" xfId="15" builtinId="40" customBuiltin="1"/>
    <cellStyle name="60% - Accent3 2" xfId="163" xr:uid="{00000000-0005-0000-0000-00007D000000}"/>
    <cellStyle name="60% - Accent3 3" xfId="209" xr:uid="{00000000-0005-0000-0000-00007E000000}"/>
    <cellStyle name="60% - Accent3 4" xfId="255" xr:uid="{00000000-0005-0000-0000-00007F000000}"/>
    <cellStyle name="60% - Accent3 5" xfId="304" xr:uid="{00000000-0005-0000-0000-000080000000}"/>
    <cellStyle name="60% - Accent3 6" xfId="368" xr:uid="{00000000-0005-0000-0000-000081000000}"/>
    <cellStyle name="60% - Accent3 7" xfId="439" xr:uid="{00000000-0005-0000-0000-000082000000}"/>
    <cellStyle name="60% - Accent3 8" xfId="543" xr:uid="{00000000-0005-0000-0000-000083000000}"/>
    <cellStyle name="60% - Accent4" xfId="16" builtinId="44" customBuiltin="1"/>
    <cellStyle name="60% - Accent4 2" xfId="164" xr:uid="{00000000-0005-0000-0000-000085000000}"/>
    <cellStyle name="60% - Accent4 3" xfId="210" xr:uid="{00000000-0005-0000-0000-000086000000}"/>
    <cellStyle name="60% - Accent4 4" xfId="256" xr:uid="{00000000-0005-0000-0000-000087000000}"/>
    <cellStyle name="60% - Accent4 5" xfId="305" xr:uid="{00000000-0005-0000-0000-000088000000}"/>
    <cellStyle name="60% - Accent4 6" xfId="369" xr:uid="{00000000-0005-0000-0000-000089000000}"/>
    <cellStyle name="60% - Accent4 7" xfId="440" xr:uid="{00000000-0005-0000-0000-00008A000000}"/>
    <cellStyle name="60% - Accent4 8" xfId="544" xr:uid="{00000000-0005-0000-0000-00008B000000}"/>
    <cellStyle name="60% - Accent5" xfId="17" builtinId="48" customBuiltin="1"/>
    <cellStyle name="60% - Accent5 2" xfId="165" xr:uid="{00000000-0005-0000-0000-00008D000000}"/>
    <cellStyle name="60% - Accent5 3" xfId="211" xr:uid="{00000000-0005-0000-0000-00008E000000}"/>
    <cellStyle name="60% - Accent5 4" xfId="257" xr:uid="{00000000-0005-0000-0000-00008F000000}"/>
    <cellStyle name="60% - Accent5 5" xfId="306" xr:uid="{00000000-0005-0000-0000-000090000000}"/>
    <cellStyle name="60% - Accent5 6" xfId="370" xr:uid="{00000000-0005-0000-0000-000091000000}"/>
    <cellStyle name="60% - Accent5 7" xfId="441" xr:uid="{00000000-0005-0000-0000-000092000000}"/>
    <cellStyle name="60% - Accent5 8" xfId="545" xr:uid="{00000000-0005-0000-0000-000093000000}"/>
    <cellStyle name="60% - Accent6" xfId="18" builtinId="52" customBuiltin="1"/>
    <cellStyle name="60% - Accent6 2" xfId="166" xr:uid="{00000000-0005-0000-0000-000095000000}"/>
    <cellStyle name="60% - Accent6 3" xfId="212" xr:uid="{00000000-0005-0000-0000-000096000000}"/>
    <cellStyle name="60% - Accent6 4" xfId="258" xr:uid="{00000000-0005-0000-0000-000097000000}"/>
    <cellStyle name="60% - Accent6 5" xfId="307" xr:uid="{00000000-0005-0000-0000-000098000000}"/>
    <cellStyle name="60% - Accent6 6" xfId="371" xr:uid="{00000000-0005-0000-0000-000099000000}"/>
    <cellStyle name="60% - Accent6 7" xfId="442" xr:uid="{00000000-0005-0000-0000-00009A000000}"/>
    <cellStyle name="60% - Accent6 8" xfId="546" xr:uid="{00000000-0005-0000-0000-00009B000000}"/>
    <cellStyle name="Accent1" xfId="19" builtinId="29" customBuiltin="1"/>
    <cellStyle name="Accent1 - 20%" xfId="20" xr:uid="{00000000-0005-0000-0000-00009D000000}"/>
    <cellStyle name="Accent1 - 40%" xfId="21" xr:uid="{00000000-0005-0000-0000-00009E000000}"/>
    <cellStyle name="Accent1 - 60%" xfId="22" xr:uid="{00000000-0005-0000-0000-00009F000000}"/>
    <cellStyle name="Accent1 2" xfId="167" xr:uid="{00000000-0005-0000-0000-0000A0000000}"/>
    <cellStyle name="Accent1 3" xfId="213" xr:uid="{00000000-0005-0000-0000-0000A1000000}"/>
    <cellStyle name="Accent1 4" xfId="259" xr:uid="{00000000-0005-0000-0000-0000A2000000}"/>
    <cellStyle name="Accent1 5" xfId="308" xr:uid="{00000000-0005-0000-0000-0000A3000000}"/>
    <cellStyle name="Accent1 6" xfId="372" xr:uid="{00000000-0005-0000-0000-0000A4000000}"/>
    <cellStyle name="Accent1 7" xfId="443" xr:uid="{00000000-0005-0000-0000-0000A5000000}"/>
    <cellStyle name="Accent1 8" xfId="547" xr:uid="{00000000-0005-0000-0000-0000A6000000}"/>
    <cellStyle name="Accent2" xfId="23" builtinId="33" customBuiltin="1"/>
    <cellStyle name="Accent2 - 20%" xfId="24" xr:uid="{00000000-0005-0000-0000-0000A8000000}"/>
    <cellStyle name="Accent2 - 40%" xfId="25" xr:uid="{00000000-0005-0000-0000-0000A9000000}"/>
    <cellStyle name="Accent2 - 60%" xfId="26" xr:uid="{00000000-0005-0000-0000-0000AA000000}"/>
    <cellStyle name="Accent2 2" xfId="168" xr:uid="{00000000-0005-0000-0000-0000AB000000}"/>
    <cellStyle name="Accent2 3" xfId="214" xr:uid="{00000000-0005-0000-0000-0000AC000000}"/>
    <cellStyle name="Accent2 4" xfId="260" xr:uid="{00000000-0005-0000-0000-0000AD000000}"/>
    <cellStyle name="Accent2 5" xfId="309" xr:uid="{00000000-0005-0000-0000-0000AE000000}"/>
    <cellStyle name="Accent2 6" xfId="373" xr:uid="{00000000-0005-0000-0000-0000AF000000}"/>
    <cellStyle name="Accent2 7" xfId="444" xr:uid="{00000000-0005-0000-0000-0000B0000000}"/>
    <cellStyle name="Accent2 8" xfId="548" xr:uid="{00000000-0005-0000-0000-0000B1000000}"/>
    <cellStyle name="Accent3" xfId="27" builtinId="37" customBuiltin="1"/>
    <cellStyle name="Accent3 - 20%" xfId="28" xr:uid="{00000000-0005-0000-0000-0000B3000000}"/>
    <cellStyle name="Accent3 - 40%" xfId="29" xr:uid="{00000000-0005-0000-0000-0000B4000000}"/>
    <cellStyle name="Accent3 - 60%" xfId="30" xr:uid="{00000000-0005-0000-0000-0000B5000000}"/>
    <cellStyle name="Accent3 2" xfId="169" xr:uid="{00000000-0005-0000-0000-0000B6000000}"/>
    <cellStyle name="Accent3 3" xfId="215" xr:uid="{00000000-0005-0000-0000-0000B7000000}"/>
    <cellStyle name="Accent3 4" xfId="261" xr:uid="{00000000-0005-0000-0000-0000B8000000}"/>
    <cellStyle name="Accent3 5" xfId="310" xr:uid="{00000000-0005-0000-0000-0000B9000000}"/>
    <cellStyle name="Accent3 6" xfId="374" xr:uid="{00000000-0005-0000-0000-0000BA000000}"/>
    <cellStyle name="Accent3 7" xfId="445" xr:uid="{00000000-0005-0000-0000-0000BB000000}"/>
    <cellStyle name="Accent3 8" xfId="549" xr:uid="{00000000-0005-0000-0000-0000BC000000}"/>
    <cellStyle name="Accent4" xfId="31" builtinId="41" customBuiltin="1"/>
    <cellStyle name="Accent4 - 20%" xfId="32" xr:uid="{00000000-0005-0000-0000-0000BE000000}"/>
    <cellStyle name="Accent4 - 40%" xfId="33" xr:uid="{00000000-0005-0000-0000-0000BF000000}"/>
    <cellStyle name="Accent4 - 60%" xfId="34" xr:uid="{00000000-0005-0000-0000-0000C0000000}"/>
    <cellStyle name="Accent4 2" xfId="170" xr:uid="{00000000-0005-0000-0000-0000C1000000}"/>
    <cellStyle name="Accent4 3" xfId="216" xr:uid="{00000000-0005-0000-0000-0000C2000000}"/>
    <cellStyle name="Accent4 4" xfId="262" xr:uid="{00000000-0005-0000-0000-0000C3000000}"/>
    <cellStyle name="Accent4 5" xfId="311" xr:uid="{00000000-0005-0000-0000-0000C4000000}"/>
    <cellStyle name="Accent4 6" xfId="375" xr:uid="{00000000-0005-0000-0000-0000C5000000}"/>
    <cellStyle name="Accent4 7" xfId="446" xr:uid="{00000000-0005-0000-0000-0000C6000000}"/>
    <cellStyle name="Accent4 8" xfId="550" xr:uid="{00000000-0005-0000-0000-0000C7000000}"/>
    <cellStyle name="Accent5" xfId="35" builtinId="45" customBuiltin="1"/>
    <cellStyle name="Accent5 - 20%" xfId="36" xr:uid="{00000000-0005-0000-0000-0000C9000000}"/>
    <cellStyle name="Accent5 - 40%" xfId="37" xr:uid="{00000000-0005-0000-0000-0000CA000000}"/>
    <cellStyle name="Accent5 - 60%" xfId="38" xr:uid="{00000000-0005-0000-0000-0000CB000000}"/>
    <cellStyle name="Accent5 2" xfId="171" xr:uid="{00000000-0005-0000-0000-0000CC000000}"/>
    <cellStyle name="Accent5 3" xfId="217" xr:uid="{00000000-0005-0000-0000-0000CD000000}"/>
    <cellStyle name="Accent5 4" xfId="263" xr:uid="{00000000-0005-0000-0000-0000CE000000}"/>
    <cellStyle name="Accent5 5" xfId="312" xr:uid="{00000000-0005-0000-0000-0000CF000000}"/>
    <cellStyle name="Accent5 6" xfId="376" xr:uid="{00000000-0005-0000-0000-0000D0000000}"/>
    <cellStyle name="Accent5 7" xfId="447" xr:uid="{00000000-0005-0000-0000-0000D1000000}"/>
    <cellStyle name="Accent5 8" xfId="551" xr:uid="{00000000-0005-0000-0000-0000D2000000}"/>
    <cellStyle name="Accent6" xfId="39" builtinId="49" customBuiltin="1"/>
    <cellStyle name="Accent6 - 20%" xfId="40" xr:uid="{00000000-0005-0000-0000-0000D4000000}"/>
    <cellStyle name="Accent6 - 40%" xfId="41" xr:uid="{00000000-0005-0000-0000-0000D5000000}"/>
    <cellStyle name="Accent6 - 60%" xfId="42" xr:uid="{00000000-0005-0000-0000-0000D6000000}"/>
    <cellStyle name="Accent6 2" xfId="172" xr:uid="{00000000-0005-0000-0000-0000D7000000}"/>
    <cellStyle name="Accent6 3" xfId="218" xr:uid="{00000000-0005-0000-0000-0000D8000000}"/>
    <cellStyle name="Accent6 4" xfId="264" xr:uid="{00000000-0005-0000-0000-0000D9000000}"/>
    <cellStyle name="Accent6 5" xfId="313" xr:uid="{00000000-0005-0000-0000-0000DA000000}"/>
    <cellStyle name="Accent6 6" xfId="377" xr:uid="{00000000-0005-0000-0000-0000DB000000}"/>
    <cellStyle name="Accent6 7" xfId="448" xr:uid="{00000000-0005-0000-0000-0000DC000000}"/>
    <cellStyle name="Accent6 8" xfId="552" xr:uid="{00000000-0005-0000-0000-0000DD000000}"/>
    <cellStyle name="Bad" xfId="43" builtinId="27" customBuiltin="1"/>
    <cellStyle name="Bad 2" xfId="173" xr:uid="{00000000-0005-0000-0000-0000DF000000}"/>
    <cellStyle name="Bad 3" xfId="219" xr:uid="{00000000-0005-0000-0000-0000E0000000}"/>
    <cellStyle name="Bad 4" xfId="265" xr:uid="{00000000-0005-0000-0000-0000E1000000}"/>
    <cellStyle name="Bad 5" xfId="314" xr:uid="{00000000-0005-0000-0000-0000E2000000}"/>
    <cellStyle name="Bad 6" xfId="378" xr:uid="{00000000-0005-0000-0000-0000E3000000}"/>
    <cellStyle name="Bad 7" xfId="449" xr:uid="{00000000-0005-0000-0000-0000E4000000}"/>
    <cellStyle name="Bad 8" xfId="553" xr:uid="{00000000-0005-0000-0000-0000E5000000}"/>
    <cellStyle name="Calculation" xfId="44" builtinId="22" customBuiltin="1"/>
    <cellStyle name="Calculation 2" xfId="174" xr:uid="{00000000-0005-0000-0000-0000E7000000}"/>
    <cellStyle name="Calculation 3" xfId="220" xr:uid="{00000000-0005-0000-0000-0000E8000000}"/>
    <cellStyle name="Calculation 4" xfId="266" xr:uid="{00000000-0005-0000-0000-0000E9000000}"/>
    <cellStyle name="Calculation 5" xfId="315" xr:uid="{00000000-0005-0000-0000-0000EA000000}"/>
    <cellStyle name="Calculation 6" xfId="379" xr:uid="{00000000-0005-0000-0000-0000EB000000}"/>
    <cellStyle name="Calculation 7" xfId="450" xr:uid="{00000000-0005-0000-0000-0000EC000000}"/>
    <cellStyle name="Calculation 8" xfId="554" xr:uid="{00000000-0005-0000-0000-0000ED000000}"/>
    <cellStyle name="Check Cell" xfId="45" builtinId="23" customBuiltin="1"/>
    <cellStyle name="Check Cell 2" xfId="175" xr:uid="{00000000-0005-0000-0000-0000EF000000}"/>
    <cellStyle name="Check Cell 3" xfId="221" xr:uid="{00000000-0005-0000-0000-0000F0000000}"/>
    <cellStyle name="Check Cell 4" xfId="267" xr:uid="{00000000-0005-0000-0000-0000F1000000}"/>
    <cellStyle name="Check Cell 5" xfId="316" xr:uid="{00000000-0005-0000-0000-0000F2000000}"/>
    <cellStyle name="Check Cell 6" xfId="380" xr:uid="{00000000-0005-0000-0000-0000F3000000}"/>
    <cellStyle name="Check Cell 7" xfId="451" xr:uid="{00000000-0005-0000-0000-0000F4000000}"/>
    <cellStyle name="Check Cell 8" xfId="555" xr:uid="{00000000-0005-0000-0000-0000F5000000}"/>
    <cellStyle name="Comma" xfId="46" builtinId="3"/>
    <cellStyle name="Comma 10" xfId="891" xr:uid="{AA021DD0-4C03-4450-8885-A7D916097526}"/>
    <cellStyle name="Comma 2" xfId="47" xr:uid="{00000000-0005-0000-0000-0000F7000000}"/>
    <cellStyle name="Comma 2 2" xfId="48" xr:uid="{00000000-0005-0000-0000-0000F8000000}"/>
    <cellStyle name="Comma 3" xfId="176" xr:uid="{00000000-0005-0000-0000-0000F9000000}"/>
    <cellStyle name="Comma 4" xfId="222" xr:uid="{00000000-0005-0000-0000-0000FA000000}"/>
    <cellStyle name="Comma 5" xfId="268" xr:uid="{00000000-0005-0000-0000-0000FB000000}"/>
    <cellStyle name="Comma 6" xfId="317" xr:uid="{00000000-0005-0000-0000-0000FC000000}"/>
    <cellStyle name="Comma 7" xfId="381" xr:uid="{00000000-0005-0000-0000-0000FD000000}"/>
    <cellStyle name="Comma 8" xfId="452" xr:uid="{00000000-0005-0000-0000-0000FE000000}"/>
    <cellStyle name="Comma 9" xfId="556" xr:uid="{00000000-0005-0000-0000-0000FF000000}"/>
    <cellStyle name="Currency 2" xfId="49" xr:uid="{00000000-0005-0000-0000-000000010000}"/>
    <cellStyle name="Currency 2 2" xfId="50" xr:uid="{00000000-0005-0000-0000-000001010000}"/>
    <cellStyle name="Currency 3" xfId="51" xr:uid="{00000000-0005-0000-0000-000002010000}"/>
    <cellStyle name="Currency 3 2" xfId="52" xr:uid="{00000000-0005-0000-0000-000003010000}"/>
    <cellStyle name="Currency 4" xfId="53" xr:uid="{00000000-0005-0000-0000-000004010000}"/>
    <cellStyle name="Currency 4 2" xfId="127" xr:uid="{00000000-0005-0000-0000-000005010000}"/>
    <cellStyle name="Emphasis 1" xfId="54" xr:uid="{00000000-0005-0000-0000-000006010000}"/>
    <cellStyle name="Emphasis 2" xfId="55" xr:uid="{00000000-0005-0000-0000-000007010000}"/>
    <cellStyle name="Emphasis 3" xfId="56" xr:uid="{00000000-0005-0000-0000-000008010000}"/>
    <cellStyle name="Explanatory Text" xfId="57" builtinId="53" customBuiltin="1"/>
    <cellStyle name="Explanatory Text 2" xfId="177" xr:uid="{00000000-0005-0000-0000-00000A010000}"/>
    <cellStyle name="Explanatory Text 3" xfId="223" xr:uid="{00000000-0005-0000-0000-00000B010000}"/>
    <cellStyle name="Explanatory Text 4" xfId="269" xr:uid="{00000000-0005-0000-0000-00000C010000}"/>
    <cellStyle name="Explanatory Text 5" xfId="318" xr:uid="{00000000-0005-0000-0000-00000D010000}"/>
    <cellStyle name="Explanatory Text 6" xfId="382" xr:uid="{00000000-0005-0000-0000-00000E010000}"/>
    <cellStyle name="Explanatory Text 7" xfId="453" xr:uid="{00000000-0005-0000-0000-00000F010000}"/>
    <cellStyle name="Explanatory Text 8" xfId="557" xr:uid="{00000000-0005-0000-0000-000010010000}"/>
    <cellStyle name="Good" xfId="58" builtinId="26" customBuiltin="1"/>
    <cellStyle name="Good 2" xfId="178" xr:uid="{00000000-0005-0000-0000-000012010000}"/>
    <cellStyle name="Good 3" xfId="224" xr:uid="{00000000-0005-0000-0000-000013010000}"/>
    <cellStyle name="Good 4" xfId="270" xr:uid="{00000000-0005-0000-0000-000014010000}"/>
    <cellStyle name="Good 5" xfId="319" xr:uid="{00000000-0005-0000-0000-000015010000}"/>
    <cellStyle name="Good 6" xfId="383" xr:uid="{00000000-0005-0000-0000-000016010000}"/>
    <cellStyle name="Good 7" xfId="454" xr:uid="{00000000-0005-0000-0000-000017010000}"/>
    <cellStyle name="Good 8" xfId="558" xr:uid="{00000000-0005-0000-0000-000018010000}"/>
    <cellStyle name="Heading 1" xfId="59" builtinId="16" customBuiltin="1"/>
    <cellStyle name="Heading 1 2" xfId="179" xr:uid="{00000000-0005-0000-0000-00001A010000}"/>
    <cellStyle name="Heading 1 3" xfId="225" xr:uid="{00000000-0005-0000-0000-00001B010000}"/>
    <cellStyle name="Heading 1 4" xfId="271" xr:uid="{00000000-0005-0000-0000-00001C010000}"/>
    <cellStyle name="Heading 1 5" xfId="320" xr:uid="{00000000-0005-0000-0000-00001D010000}"/>
    <cellStyle name="Heading 1 6" xfId="384" xr:uid="{00000000-0005-0000-0000-00001E010000}"/>
    <cellStyle name="Heading 1 7" xfId="455" xr:uid="{00000000-0005-0000-0000-00001F010000}"/>
    <cellStyle name="Heading 1 8" xfId="559" xr:uid="{00000000-0005-0000-0000-000020010000}"/>
    <cellStyle name="Heading 2" xfId="60" builtinId="17" customBuiltin="1"/>
    <cellStyle name="Heading 2 2" xfId="180" xr:uid="{00000000-0005-0000-0000-000022010000}"/>
    <cellStyle name="Heading 2 3" xfId="226" xr:uid="{00000000-0005-0000-0000-000023010000}"/>
    <cellStyle name="Heading 2 4" xfId="272" xr:uid="{00000000-0005-0000-0000-000024010000}"/>
    <cellStyle name="Heading 2 5" xfId="321" xr:uid="{00000000-0005-0000-0000-000025010000}"/>
    <cellStyle name="Heading 2 6" xfId="385" xr:uid="{00000000-0005-0000-0000-000026010000}"/>
    <cellStyle name="Heading 2 7" xfId="456" xr:uid="{00000000-0005-0000-0000-000027010000}"/>
    <cellStyle name="Heading 2 8" xfId="560" xr:uid="{00000000-0005-0000-0000-000028010000}"/>
    <cellStyle name="Heading 3" xfId="61" builtinId="18" customBuiltin="1"/>
    <cellStyle name="Heading 3 2" xfId="181" xr:uid="{00000000-0005-0000-0000-00002A010000}"/>
    <cellStyle name="Heading 3 3" xfId="227" xr:uid="{00000000-0005-0000-0000-00002B010000}"/>
    <cellStyle name="Heading 3 4" xfId="273" xr:uid="{00000000-0005-0000-0000-00002C010000}"/>
    <cellStyle name="Heading 3 5" xfId="322" xr:uid="{00000000-0005-0000-0000-00002D010000}"/>
    <cellStyle name="Heading 3 6" xfId="386" xr:uid="{00000000-0005-0000-0000-00002E010000}"/>
    <cellStyle name="Heading 3 7" xfId="457" xr:uid="{00000000-0005-0000-0000-00002F010000}"/>
    <cellStyle name="Heading 3 8" xfId="561" xr:uid="{00000000-0005-0000-0000-000030010000}"/>
    <cellStyle name="Heading 4" xfId="62" builtinId="19" customBuiltin="1"/>
    <cellStyle name="Heading 4 2" xfId="182" xr:uid="{00000000-0005-0000-0000-000032010000}"/>
    <cellStyle name="Heading 4 3" xfId="228" xr:uid="{00000000-0005-0000-0000-000033010000}"/>
    <cellStyle name="Heading 4 4" xfId="274" xr:uid="{00000000-0005-0000-0000-000034010000}"/>
    <cellStyle name="Heading 4 5" xfId="323" xr:uid="{00000000-0005-0000-0000-000035010000}"/>
    <cellStyle name="Heading 4 6" xfId="387" xr:uid="{00000000-0005-0000-0000-000036010000}"/>
    <cellStyle name="Heading 4 7" xfId="458" xr:uid="{00000000-0005-0000-0000-000037010000}"/>
    <cellStyle name="Heading 4 8" xfId="562" xr:uid="{00000000-0005-0000-0000-000038010000}"/>
    <cellStyle name="Input" xfId="63" builtinId="20" customBuiltin="1"/>
    <cellStyle name="Input 2" xfId="183" xr:uid="{00000000-0005-0000-0000-00003A010000}"/>
    <cellStyle name="Input 3" xfId="229" xr:uid="{00000000-0005-0000-0000-00003B010000}"/>
    <cellStyle name="Input 4" xfId="275" xr:uid="{00000000-0005-0000-0000-00003C010000}"/>
    <cellStyle name="Input 5" xfId="324" xr:uid="{00000000-0005-0000-0000-00003D010000}"/>
    <cellStyle name="Input 6" xfId="388" xr:uid="{00000000-0005-0000-0000-00003E010000}"/>
    <cellStyle name="Input 7" xfId="459" xr:uid="{00000000-0005-0000-0000-00003F010000}"/>
    <cellStyle name="Input 8" xfId="563" xr:uid="{00000000-0005-0000-0000-000040010000}"/>
    <cellStyle name="Linked Cell" xfId="64" builtinId="24" customBuiltin="1"/>
    <cellStyle name="Linked Cell 2" xfId="184" xr:uid="{00000000-0005-0000-0000-000042010000}"/>
    <cellStyle name="Linked Cell 3" xfId="230" xr:uid="{00000000-0005-0000-0000-000043010000}"/>
    <cellStyle name="Linked Cell 4" xfId="276" xr:uid="{00000000-0005-0000-0000-000044010000}"/>
    <cellStyle name="Linked Cell 5" xfId="325" xr:uid="{00000000-0005-0000-0000-000045010000}"/>
    <cellStyle name="Linked Cell 6" xfId="389" xr:uid="{00000000-0005-0000-0000-000046010000}"/>
    <cellStyle name="Linked Cell 7" xfId="460" xr:uid="{00000000-0005-0000-0000-000047010000}"/>
    <cellStyle name="Linked Cell 8" xfId="564" xr:uid="{00000000-0005-0000-0000-000048010000}"/>
    <cellStyle name="Neutral" xfId="65" builtinId="28" customBuiltin="1"/>
    <cellStyle name="Neutral 2" xfId="185" xr:uid="{00000000-0005-0000-0000-00004A010000}"/>
    <cellStyle name="Neutral 3" xfId="231" xr:uid="{00000000-0005-0000-0000-00004B010000}"/>
    <cellStyle name="Neutral 4" xfId="277" xr:uid="{00000000-0005-0000-0000-00004C010000}"/>
    <cellStyle name="Neutral 5" xfId="326" xr:uid="{00000000-0005-0000-0000-00004D010000}"/>
    <cellStyle name="Neutral 6" xfId="390" xr:uid="{00000000-0005-0000-0000-00004E010000}"/>
    <cellStyle name="Neutral 7" xfId="461" xr:uid="{00000000-0005-0000-0000-00004F010000}"/>
    <cellStyle name="Neutral 8" xfId="565" xr:uid="{00000000-0005-0000-0000-000050010000}"/>
    <cellStyle name="Normal" xfId="0" builtinId="0"/>
    <cellStyle name="Normal 10" xfId="289" xr:uid="{00000000-0005-0000-0000-000052010000}"/>
    <cellStyle name="Normal 10 2" xfId="342" xr:uid="{00000000-0005-0000-0000-000053010000}"/>
    <cellStyle name="Normal 10 2 2" xfId="414" xr:uid="{00000000-0005-0000-0000-000054010000}"/>
    <cellStyle name="Normal 10 2 3" xfId="522" xr:uid="{00000000-0005-0000-0000-000055010000}"/>
    <cellStyle name="Normal 10 3" xfId="521" xr:uid="{00000000-0005-0000-0000-000056010000}"/>
    <cellStyle name="Normal 11" xfId="288" xr:uid="{00000000-0005-0000-0000-000057010000}"/>
    <cellStyle name="Normal 11 2" xfId="404" xr:uid="{00000000-0005-0000-0000-000058010000}"/>
    <cellStyle name="Normal 11 2 2" xfId="501" xr:uid="{00000000-0005-0000-0000-000059010000}"/>
    <cellStyle name="Normal 11 2 2 2" xfId="657" xr:uid="{00000000-0005-0000-0000-00005A010000}"/>
    <cellStyle name="Normal 11 2 2 2 2" xfId="868" xr:uid="{00000000-0005-0000-0000-00005B010000}"/>
    <cellStyle name="Normal 11 2 2 3" xfId="762" xr:uid="{00000000-0005-0000-0000-00005C010000}"/>
    <cellStyle name="Normal 11 2 3" xfId="605" xr:uid="{00000000-0005-0000-0000-00005D010000}"/>
    <cellStyle name="Normal 11 2 3 2" xfId="816" xr:uid="{00000000-0005-0000-0000-00005E010000}"/>
    <cellStyle name="Normal 11 2 4" xfId="710" xr:uid="{00000000-0005-0000-0000-00005F010000}"/>
    <cellStyle name="Normal 11 3" xfId="475" xr:uid="{00000000-0005-0000-0000-000060010000}"/>
    <cellStyle name="Normal 11 3 2" xfId="631" xr:uid="{00000000-0005-0000-0000-000061010000}"/>
    <cellStyle name="Normal 11 3 2 2" xfId="842" xr:uid="{00000000-0005-0000-0000-000062010000}"/>
    <cellStyle name="Normal 11 3 3" xfId="736" xr:uid="{00000000-0005-0000-0000-000063010000}"/>
    <cellStyle name="Normal 11 4" xfId="579" xr:uid="{00000000-0005-0000-0000-000064010000}"/>
    <cellStyle name="Normal 11 4 2" xfId="790" xr:uid="{00000000-0005-0000-0000-000065010000}"/>
    <cellStyle name="Normal 11 5" xfId="684" xr:uid="{00000000-0005-0000-0000-000066010000}"/>
    <cellStyle name="Normal 12" xfId="340" xr:uid="{00000000-0005-0000-0000-000067010000}"/>
    <cellStyle name="Normal 12 2" xfId="412" xr:uid="{00000000-0005-0000-0000-000068010000}"/>
    <cellStyle name="Normal 12 2 2" xfId="509" xr:uid="{00000000-0005-0000-0000-000069010000}"/>
    <cellStyle name="Normal 12 2 2 2" xfId="665" xr:uid="{00000000-0005-0000-0000-00006A010000}"/>
    <cellStyle name="Normal 12 2 2 2 2" xfId="876" xr:uid="{00000000-0005-0000-0000-00006B010000}"/>
    <cellStyle name="Normal 12 2 2 3" xfId="770" xr:uid="{00000000-0005-0000-0000-00006C010000}"/>
    <cellStyle name="Normal 12 2 3" xfId="613" xr:uid="{00000000-0005-0000-0000-00006D010000}"/>
    <cellStyle name="Normal 12 2 3 2" xfId="824" xr:uid="{00000000-0005-0000-0000-00006E010000}"/>
    <cellStyle name="Normal 12 2 4" xfId="718" xr:uid="{00000000-0005-0000-0000-00006F010000}"/>
    <cellStyle name="Normal 12 3" xfId="483" xr:uid="{00000000-0005-0000-0000-000070010000}"/>
    <cellStyle name="Normal 12 3 2" xfId="639" xr:uid="{00000000-0005-0000-0000-000071010000}"/>
    <cellStyle name="Normal 12 3 2 2" xfId="850" xr:uid="{00000000-0005-0000-0000-000072010000}"/>
    <cellStyle name="Normal 12 3 3" xfId="744" xr:uid="{00000000-0005-0000-0000-000073010000}"/>
    <cellStyle name="Normal 12 4" xfId="587" xr:uid="{00000000-0005-0000-0000-000074010000}"/>
    <cellStyle name="Normal 12 4 2" xfId="798" xr:uid="{00000000-0005-0000-0000-000075010000}"/>
    <cellStyle name="Normal 12 5" xfId="692" xr:uid="{00000000-0005-0000-0000-000076010000}"/>
    <cellStyle name="Normal 13" xfId="341" xr:uid="{00000000-0005-0000-0000-000077010000}"/>
    <cellStyle name="Normal 13 2" xfId="413" xr:uid="{00000000-0005-0000-0000-000078010000}"/>
    <cellStyle name="Normal 13 2 2" xfId="510" xr:uid="{00000000-0005-0000-0000-000079010000}"/>
    <cellStyle name="Normal 13 2 2 2" xfId="666" xr:uid="{00000000-0005-0000-0000-00007A010000}"/>
    <cellStyle name="Normal 13 2 2 2 2" xfId="877" xr:uid="{00000000-0005-0000-0000-00007B010000}"/>
    <cellStyle name="Normal 13 2 2 3" xfId="771" xr:uid="{00000000-0005-0000-0000-00007C010000}"/>
    <cellStyle name="Normal 13 2 3" xfId="614" xr:uid="{00000000-0005-0000-0000-00007D010000}"/>
    <cellStyle name="Normal 13 2 3 2" xfId="825" xr:uid="{00000000-0005-0000-0000-00007E010000}"/>
    <cellStyle name="Normal 13 2 4" xfId="719" xr:uid="{00000000-0005-0000-0000-00007F010000}"/>
    <cellStyle name="Normal 13 3" xfId="523" xr:uid="{00000000-0005-0000-0000-000080010000}"/>
    <cellStyle name="Normal 13 3 2" xfId="675" xr:uid="{00000000-0005-0000-0000-000081010000}"/>
    <cellStyle name="Normal 13 3 2 2" xfId="886" xr:uid="{00000000-0005-0000-0000-000082010000}"/>
    <cellStyle name="Normal 13 3 3" xfId="780" xr:uid="{00000000-0005-0000-0000-000083010000}"/>
    <cellStyle name="Normal 13 4" xfId="484" xr:uid="{00000000-0005-0000-0000-000084010000}"/>
    <cellStyle name="Normal 13 4 2" xfId="640" xr:uid="{00000000-0005-0000-0000-000085010000}"/>
    <cellStyle name="Normal 13 4 2 2" xfId="851" xr:uid="{00000000-0005-0000-0000-000086010000}"/>
    <cellStyle name="Normal 13 4 3" xfId="745" xr:uid="{00000000-0005-0000-0000-000087010000}"/>
    <cellStyle name="Normal 13 5" xfId="588" xr:uid="{00000000-0005-0000-0000-000088010000}"/>
    <cellStyle name="Normal 13 5 2" xfId="799" xr:uid="{00000000-0005-0000-0000-000089010000}"/>
    <cellStyle name="Normal 13 6" xfId="693" xr:uid="{00000000-0005-0000-0000-00008A010000}"/>
    <cellStyle name="Normal 14" xfId="350" xr:uid="{00000000-0005-0000-0000-00008B010000}"/>
    <cellStyle name="Normal 14 2" xfId="525" xr:uid="{00000000-0005-0000-0000-00008C010000}"/>
    <cellStyle name="Normal 15" xfId="351" xr:uid="{00000000-0005-0000-0000-00008D010000}"/>
    <cellStyle name="Normal 15 2" xfId="422" xr:uid="{00000000-0005-0000-0000-00008E010000}"/>
    <cellStyle name="Normal 15 2 2" xfId="518" xr:uid="{00000000-0005-0000-0000-00008F010000}"/>
    <cellStyle name="Normal 15 2 2 2" xfId="674" xr:uid="{00000000-0005-0000-0000-000090010000}"/>
    <cellStyle name="Normal 15 2 2 2 2" xfId="885" xr:uid="{00000000-0005-0000-0000-000091010000}"/>
    <cellStyle name="Normal 15 2 2 3" xfId="779" xr:uid="{00000000-0005-0000-0000-000092010000}"/>
    <cellStyle name="Normal 15 2 3" xfId="622" xr:uid="{00000000-0005-0000-0000-000093010000}"/>
    <cellStyle name="Normal 15 2 3 2" xfId="833" xr:uid="{00000000-0005-0000-0000-000094010000}"/>
    <cellStyle name="Normal 15 2 4" xfId="727" xr:uid="{00000000-0005-0000-0000-000095010000}"/>
    <cellStyle name="Normal 15 3" xfId="492" xr:uid="{00000000-0005-0000-0000-000096010000}"/>
    <cellStyle name="Normal 15 3 2" xfId="648" xr:uid="{00000000-0005-0000-0000-000097010000}"/>
    <cellStyle name="Normal 15 3 2 2" xfId="859" xr:uid="{00000000-0005-0000-0000-000098010000}"/>
    <cellStyle name="Normal 15 3 3" xfId="753" xr:uid="{00000000-0005-0000-0000-000099010000}"/>
    <cellStyle name="Normal 15 4" xfId="596" xr:uid="{00000000-0005-0000-0000-00009A010000}"/>
    <cellStyle name="Normal 15 4 2" xfId="807" xr:uid="{00000000-0005-0000-0000-00009B010000}"/>
    <cellStyle name="Normal 15 5" xfId="701" xr:uid="{00000000-0005-0000-0000-00009C010000}"/>
    <cellStyle name="Normal 16" xfId="353" xr:uid="{00000000-0005-0000-0000-00009D010000}"/>
    <cellStyle name="Normal 17" xfId="352" xr:uid="{00000000-0005-0000-0000-00009E010000}"/>
    <cellStyle name="Normal 17 2" xfId="493" xr:uid="{00000000-0005-0000-0000-00009F010000}"/>
    <cellStyle name="Normal 17 2 2" xfId="649" xr:uid="{00000000-0005-0000-0000-0000A0010000}"/>
    <cellStyle name="Normal 17 2 2 2" xfId="860" xr:uid="{00000000-0005-0000-0000-0000A1010000}"/>
    <cellStyle name="Normal 17 2 3" xfId="754" xr:uid="{00000000-0005-0000-0000-0000A2010000}"/>
    <cellStyle name="Normal 17 3" xfId="597" xr:uid="{00000000-0005-0000-0000-0000A3010000}"/>
    <cellStyle name="Normal 17 3 2" xfId="808" xr:uid="{00000000-0005-0000-0000-0000A4010000}"/>
    <cellStyle name="Normal 17 4" xfId="702" xr:uid="{00000000-0005-0000-0000-0000A5010000}"/>
    <cellStyle name="Normal 18" xfId="424" xr:uid="{00000000-0005-0000-0000-0000A6010000}"/>
    <cellStyle name="Normal 19" xfId="519" xr:uid="{00000000-0005-0000-0000-0000A7010000}"/>
    <cellStyle name="Normal 2" xfId="66" xr:uid="{00000000-0005-0000-0000-0000A8010000}"/>
    <cellStyle name="Normal 2 2" xfId="520" xr:uid="{00000000-0005-0000-0000-0000A9010000}"/>
    <cellStyle name="Normal 20" xfId="423" xr:uid="{00000000-0005-0000-0000-0000AA010000}"/>
    <cellStyle name="Normal 20 2" xfId="623" xr:uid="{00000000-0005-0000-0000-0000AB010000}"/>
    <cellStyle name="Normal 20 2 2" xfId="834" xr:uid="{00000000-0005-0000-0000-0000AC010000}"/>
    <cellStyle name="Normal 20 3" xfId="728" xr:uid="{00000000-0005-0000-0000-0000AD010000}"/>
    <cellStyle name="Normal 21" xfId="528" xr:uid="{00000000-0005-0000-0000-0000AE010000}"/>
    <cellStyle name="Normal 21 2" xfId="782" xr:uid="{00000000-0005-0000-0000-0000AF010000}"/>
    <cellStyle name="Normal 22" xfId="676" xr:uid="{00000000-0005-0000-0000-0000B0010000}"/>
    <cellStyle name="Normal 22 2" xfId="887" xr:uid="{00000000-0005-0000-0000-0000B1010000}"/>
    <cellStyle name="Normal 23" xfId="527" xr:uid="{00000000-0005-0000-0000-0000B2010000}"/>
    <cellStyle name="Normal 23 2" xfId="781" xr:uid="{00000000-0005-0000-0000-0000B3010000}"/>
    <cellStyle name="Normal 24" xfId="888" xr:uid="{9C89C772-0D88-4EE7-B0FE-2578499CD212}"/>
    <cellStyle name="Normal 3" xfId="146" xr:uid="{00000000-0005-0000-0000-0000B4010000}"/>
    <cellStyle name="Normal 3 2" xfId="192" xr:uid="{00000000-0005-0000-0000-0000B5010000}"/>
    <cellStyle name="Normal 4" xfId="148" xr:uid="{00000000-0005-0000-0000-0000B6010000}"/>
    <cellStyle name="Normal 4 2" xfId="526" xr:uid="{00000000-0005-0000-0000-0000B7010000}"/>
    <cellStyle name="Normal 5" xfId="147" xr:uid="{00000000-0005-0000-0000-0000B8010000}"/>
    <cellStyle name="Normal 5 2" xfId="238" xr:uid="{00000000-0005-0000-0000-0000B9010000}"/>
    <cellStyle name="Normal 5 2 2" xfId="287" xr:uid="{00000000-0005-0000-0000-0000BA010000}"/>
    <cellStyle name="Normal 5 2 2 2" xfId="339" xr:uid="{00000000-0005-0000-0000-0000BB010000}"/>
    <cellStyle name="Normal 5 2 2 2 2" xfId="411" xr:uid="{00000000-0005-0000-0000-0000BC010000}"/>
    <cellStyle name="Normal 5 2 2 2 2 2" xfId="508" xr:uid="{00000000-0005-0000-0000-0000BD010000}"/>
    <cellStyle name="Normal 5 2 2 2 2 2 2" xfId="664" xr:uid="{00000000-0005-0000-0000-0000BE010000}"/>
    <cellStyle name="Normal 5 2 2 2 2 2 2 2" xfId="875" xr:uid="{00000000-0005-0000-0000-0000BF010000}"/>
    <cellStyle name="Normal 5 2 2 2 2 2 3" xfId="769" xr:uid="{00000000-0005-0000-0000-0000C0010000}"/>
    <cellStyle name="Normal 5 2 2 2 2 3" xfId="612" xr:uid="{00000000-0005-0000-0000-0000C1010000}"/>
    <cellStyle name="Normal 5 2 2 2 2 3 2" xfId="823" xr:uid="{00000000-0005-0000-0000-0000C2010000}"/>
    <cellStyle name="Normal 5 2 2 2 2 4" xfId="717" xr:uid="{00000000-0005-0000-0000-0000C3010000}"/>
    <cellStyle name="Normal 5 2 2 2 3" xfId="482" xr:uid="{00000000-0005-0000-0000-0000C4010000}"/>
    <cellStyle name="Normal 5 2 2 2 3 2" xfId="638" xr:uid="{00000000-0005-0000-0000-0000C5010000}"/>
    <cellStyle name="Normal 5 2 2 2 3 2 2" xfId="849" xr:uid="{00000000-0005-0000-0000-0000C6010000}"/>
    <cellStyle name="Normal 5 2 2 2 3 3" xfId="743" xr:uid="{00000000-0005-0000-0000-0000C7010000}"/>
    <cellStyle name="Normal 5 2 2 2 4" xfId="586" xr:uid="{00000000-0005-0000-0000-0000C8010000}"/>
    <cellStyle name="Normal 5 2 2 2 4 2" xfId="797" xr:uid="{00000000-0005-0000-0000-0000C9010000}"/>
    <cellStyle name="Normal 5 2 2 2 5" xfId="691" xr:uid="{00000000-0005-0000-0000-0000CA010000}"/>
    <cellStyle name="Normal 5 2 2 3" xfId="349" xr:uid="{00000000-0005-0000-0000-0000CB010000}"/>
    <cellStyle name="Normal 5 2 2 3 2" xfId="421" xr:uid="{00000000-0005-0000-0000-0000CC010000}"/>
    <cellStyle name="Normal 5 2 2 3 2 2" xfId="517" xr:uid="{00000000-0005-0000-0000-0000CD010000}"/>
    <cellStyle name="Normal 5 2 2 3 2 2 2" xfId="673" xr:uid="{00000000-0005-0000-0000-0000CE010000}"/>
    <cellStyle name="Normal 5 2 2 3 2 2 2 2" xfId="884" xr:uid="{00000000-0005-0000-0000-0000CF010000}"/>
    <cellStyle name="Normal 5 2 2 3 2 2 3" xfId="778" xr:uid="{00000000-0005-0000-0000-0000D0010000}"/>
    <cellStyle name="Normal 5 2 2 3 2 3" xfId="621" xr:uid="{00000000-0005-0000-0000-0000D1010000}"/>
    <cellStyle name="Normal 5 2 2 3 2 3 2" xfId="832" xr:uid="{00000000-0005-0000-0000-0000D2010000}"/>
    <cellStyle name="Normal 5 2 2 3 2 4" xfId="726" xr:uid="{00000000-0005-0000-0000-0000D3010000}"/>
    <cellStyle name="Normal 5 2 2 3 3" xfId="491" xr:uid="{00000000-0005-0000-0000-0000D4010000}"/>
    <cellStyle name="Normal 5 2 2 3 3 2" xfId="647" xr:uid="{00000000-0005-0000-0000-0000D5010000}"/>
    <cellStyle name="Normal 5 2 2 3 3 2 2" xfId="858" xr:uid="{00000000-0005-0000-0000-0000D6010000}"/>
    <cellStyle name="Normal 5 2 2 3 3 3" xfId="752" xr:uid="{00000000-0005-0000-0000-0000D7010000}"/>
    <cellStyle name="Normal 5 2 2 3 4" xfId="595" xr:uid="{00000000-0005-0000-0000-0000D8010000}"/>
    <cellStyle name="Normal 5 2 2 3 4 2" xfId="806" xr:uid="{00000000-0005-0000-0000-0000D9010000}"/>
    <cellStyle name="Normal 5 2 2 3 5" xfId="700" xr:uid="{00000000-0005-0000-0000-0000DA010000}"/>
    <cellStyle name="Normal 5 2 2 4" xfId="403" xr:uid="{00000000-0005-0000-0000-0000DB010000}"/>
    <cellStyle name="Normal 5 2 2 4 2" xfId="500" xr:uid="{00000000-0005-0000-0000-0000DC010000}"/>
    <cellStyle name="Normal 5 2 2 4 2 2" xfId="656" xr:uid="{00000000-0005-0000-0000-0000DD010000}"/>
    <cellStyle name="Normal 5 2 2 4 2 2 2" xfId="867" xr:uid="{00000000-0005-0000-0000-0000DE010000}"/>
    <cellStyle name="Normal 5 2 2 4 2 3" xfId="761" xr:uid="{00000000-0005-0000-0000-0000DF010000}"/>
    <cellStyle name="Normal 5 2 2 4 3" xfId="604" xr:uid="{00000000-0005-0000-0000-0000E0010000}"/>
    <cellStyle name="Normal 5 2 2 4 3 2" xfId="815" xr:uid="{00000000-0005-0000-0000-0000E1010000}"/>
    <cellStyle name="Normal 5 2 2 4 4" xfId="709" xr:uid="{00000000-0005-0000-0000-0000E2010000}"/>
    <cellStyle name="Normal 5 2 2 5" xfId="474" xr:uid="{00000000-0005-0000-0000-0000E3010000}"/>
    <cellStyle name="Normal 5 2 2 5 2" xfId="630" xr:uid="{00000000-0005-0000-0000-0000E4010000}"/>
    <cellStyle name="Normal 5 2 2 5 2 2" xfId="841" xr:uid="{00000000-0005-0000-0000-0000E5010000}"/>
    <cellStyle name="Normal 5 2 2 5 3" xfId="735" xr:uid="{00000000-0005-0000-0000-0000E6010000}"/>
    <cellStyle name="Normal 5 2 2 6" xfId="578" xr:uid="{00000000-0005-0000-0000-0000E7010000}"/>
    <cellStyle name="Normal 5 2 2 6 2" xfId="789" xr:uid="{00000000-0005-0000-0000-0000E8010000}"/>
    <cellStyle name="Normal 5 2 2 7" xfId="683" xr:uid="{00000000-0005-0000-0000-0000E9010000}"/>
    <cellStyle name="Normal 5 2 3" xfId="335" xr:uid="{00000000-0005-0000-0000-0000EA010000}"/>
    <cellStyle name="Normal 5 2 3 2" xfId="407" xr:uid="{00000000-0005-0000-0000-0000EB010000}"/>
    <cellStyle name="Normal 5 2 3 2 2" xfId="504" xr:uid="{00000000-0005-0000-0000-0000EC010000}"/>
    <cellStyle name="Normal 5 2 3 2 2 2" xfId="660" xr:uid="{00000000-0005-0000-0000-0000ED010000}"/>
    <cellStyle name="Normal 5 2 3 2 2 2 2" xfId="871" xr:uid="{00000000-0005-0000-0000-0000EE010000}"/>
    <cellStyle name="Normal 5 2 3 2 2 3" xfId="765" xr:uid="{00000000-0005-0000-0000-0000EF010000}"/>
    <cellStyle name="Normal 5 2 3 2 3" xfId="608" xr:uid="{00000000-0005-0000-0000-0000F0010000}"/>
    <cellStyle name="Normal 5 2 3 2 3 2" xfId="819" xr:uid="{00000000-0005-0000-0000-0000F1010000}"/>
    <cellStyle name="Normal 5 2 3 2 4" xfId="713" xr:uid="{00000000-0005-0000-0000-0000F2010000}"/>
    <cellStyle name="Normal 5 2 3 3" xfId="478" xr:uid="{00000000-0005-0000-0000-0000F3010000}"/>
    <cellStyle name="Normal 5 2 3 3 2" xfId="634" xr:uid="{00000000-0005-0000-0000-0000F4010000}"/>
    <cellStyle name="Normal 5 2 3 3 2 2" xfId="845" xr:uid="{00000000-0005-0000-0000-0000F5010000}"/>
    <cellStyle name="Normal 5 2 3 3 3" xfId="739" xr:uid="{00000000-0005-0000-0000-0000F6010000}"/>
    <cellStyle name="Normal 5 2 3 4" xfId="582" xr:uid="{00000000-0005-0000-0000-0000F7010000}"/>
    <cellStyle name="Normal 5 2 3 4 2" xfId="793" xr:uid="{00000000-0005-0000-0000-0000F8010000}"/>
    <cellStyle name="Normal 5 2 3 5" xfId="687" xr:uid="{00000000-0005-0000-0000-0000F9010000}"/>
    <cellStyle name="Normal 5 2 4" xfId="345" xr:uid="{00000000-0005-0000-0000-0000FA010000}"/>
    <cellStyle name="Normal 5 2 4 2" xfId="417" xr:uid="{00000000-0005-0000-0000-0000FB010000}"/>
    <cellStyle name="Normal 5 2 4 2 2" xfId="513" xr:uid="{00000000-0005-0000-0000-0000FC010000}"/>
    <cellStyle name="Normal 5 2 4 2 2 2" xfId="669" xr:uid="{00000000-0005-0000-0000-0000FD010000}"/>
    <cellStyle name="Normal 5 2 4 2 2 2 2" xfId="880" xr:uid="{00000000-0005-0000-0000-0000FE010000}"/>
    <cellStyle name="Normal 5 2 4 2 2 3" xfId="774" xr:uid="{00000000-0005-0000-0000-0000FF010000}"/>
    <cellStyle name="Normal 5 2 4 2 3" xfId="617" xr:uid="{00000000-0005-0000-0000-000000020000}"/>
    <cellStyle name="Normal 5 2 4 2 3 2" xfId="828" xr:uid="{00000000-0005-0000-0000-000001020000}"/>
    <cellStyle name="Normal 5 2 4 2 4" xfId="722" xr:uid="{00000000-0005-0000-0000-000002020000}"/>
    <cellStyle name="Normal 5 2 4 3" xfId="487" xr:uid="{00000000-0005-0000-0000-000003020000}"/>
    <cellStyle name="Normal 5 2 4 3 2" xfId="643" xr:uid="{00000000-0005-0000-0000-000004020000}"/>
    <cellStyle name="Normal 5 2 4 3 2 2" xfId="854" xr:uid="{00000000-0005-0000-0000-000005020000}"/>
    <cellStyle name="Normal 5 2 4 3 3" xfId="748" xr:uid="{00000000-0005-0000-0000-000006020000}"/>
    <cellStyle name="Normal 5 2 4 4" xfId="591" xr:uid="{00000000-0005-0000-0000-000007020000}"/>
    <cellStyle name="Normal 5 2 4 4 2" xfId="802" xr:uid="{00000000-0005-0000-0000-000008020000}"/>
    <cellStyle name="Normal 5 2 4 5" xfId="696" xr:uid="{00000000-0005-0000-0000-000009020000}"/>
    <cellStyle name="Normal 5 2 5" xfId="399" xr:uid="{00000000-0005-0000-0000-00000A020000}"/>
    <cellStyle name="Normal 5 2 5 2" xfId="496" xr:uid="{00000000-0005-0000-0000-00000B020000}"/>
    <cellStyle name="Normal 5 2 5 2 2" xfId="652" xr:uid="{00000000-0005-0000-0000-00000C020000}"/>
    <cellStyle name="Normal 5 2 5 2 2 2" xfId="863" xr:uid="{00000000-0005-0000-0000-00000D020000}"/>
    <cellStyle name="Normal 5 2 5 2 3" xfId="757" xr:uid="{00000000-0005-0000-0000-00000E020000}"/>
    <cellStyle name="Normal 5 2 5 3" xfId="600" xr:uid="{00000000-0005-0000-0000-00000F020000}"/>
    <cellStyle name="Normal 5 2 5 3 2" xfId="811" xr:uid="{00000000-0005-0000-0000-000010020000}"/>
    <cellStyle name="Normal 5 2 5 4" xfId="705" xr:uid="{00000000-0005-0000-0000-000011020000}"/>
    <cellStyle name="Normal 5 2 6" xfId="470" xr:uid="{00000000-0005-0000-0000-000012020000}"/>
    <cellStyle name="Normal 5 2 6 2" xfId="626" xr:uid="{00000000-0005-0000-0000-000013020000}"/>
    <cellStyle name="Normal 5 2 6 2 2" xfId="837" xr:uid="{00000000-0005-0000-0000-000014020000}"/>
    <cellStyle name="Normal 5 2 6 3" xfId="731" xr:uid="{00000000-0005-0000-0000-000015020000}"/>
    <cellStyle name="Normal 5 2 7" xfId="574" xr:uid="{00000000-0005-0000-0000-000016020000}"/>
    <cellStyle name="Normal 5 2 7 2" xfId="785" xr:uid="{00000000-0005-0000-0000-000017020000}"/>
    <cellStyle name="Normal 5 2 8" xfId="679" xr:uid="{00000000-0005-0000-0000-000018020000}"/>
    <cellStyle name="Normal 5 3" xfId="284" xr:uid="{00000000-0005-0000-0000-000019020000}"/>
    <cellStyle name="Normal 5 3 2" xfId="337" xr:uid="{00000000-0005-0000-0000-00001A020000}"/>
    <cellStyle name="Normal 5 3 2 2" xfId="409" xr:uid="{00000000-0005-0000-0000-00001B020000}"/>
    <cellStyle name="Normal 5 3 2 2 2" xfId="506" xr:uid="{00000000-0005-0000-0000-00001C020000}"/>
    <cellStyle name="Normal 5 3 2 2 2 2" xfId="662" xr:uid="{00000000-0005-0000-0000-00001D020000}"/>
    <cellStyle name="Normal 5 3 2 2 2 2 2" xfId="873" xr:uid="{00000000-0005-0000-0000-00001E020000}"/>
    <cellStyle name="Normal 5 3 2 2 2 3" xfId="767" xr:uid="{00000000-0005-0000-0000-00001F020000}"/>
    <cellStyle name="Normal 5 3 2 2 3" xfId="610" xr:uid="{00000000-0005-0000-0000-000020020000}"/>
    <cellStyle name="Normal 5 3 2 2 3 2" xfId="821" xr:uid="{00000000-0005-0000-0000-000021020000}"/>
    <cellStyle name="Normal 5 3 2 2 4" xfId="715" xr:uid="{00000000-0005-0000-0000-000022020000}"/>
    <cellStyle name="Normal 5 3 2 3" xfId="480" xr:uid="{00000000-0005-0000-0000-000023020000}"/>
    <cellStyle name="Normal 5 3 2 3 2" xfId="636" xr:uid="{00000000-0005-0000-0000-000024020000}"/>
    <cellStyle name="Normal 5 3 2 3 2 2" xfId="847" xr:uid="{00000000-0005-0000-0000-000025020000}"/>
    <cellStyle name="Normal 5 3 2 3 3" xfId="741" xr:uid="{00000000-0005-0000-0000-000026020000}"/>
    <cellStyle name="Normal 5 3 2 4" xfId="584" xr:uid="{00000000-0005-0000-0000-000027020000}"/>
    <cellStyle name="Normal 5 3 2 4 2" xfId="795" xr:uid="{00000000-0005-0000-0000-000028020000}"/>
    <cellStyle name="Normal 5 3 2 5" xfId="689" xr:uid="{00000000-0005-0000-0000-000029020000}"/>
    <cellStyle name="Normal 5 3 3" xfId="347" xr:uid="{00000000-0005-0000-0000-00002A020000}"/>
    <cellStyle name="Normal 5 3 3 2" xfId="419" xr:uid="{00000000-0005-0000-0000-00002B020000}"/>
    <cellStyle name="Normal 5 3 3 2 2" xfId="515" xr:uid="{00000000-0005-0000-0000-00002C020000}"/>
    <cellStyle name="Normal 5 3 3 2 2 2" xfId="671" xr:uid="{00000000-0005-0000-0000-00002D020000}"/>
    <cellStyle name="Normal 5 3 3 2 2 2 2" xfId="882" xr:uid="{00000000-0005-0000-0000-00002E020000}"/>
    <cellStyle name="Normal 5 3 3 2 2 3" xfId="776" xr:uid="{00000000-0005-0000-0000-00002F020000}"/>
    <cellStyle name="Normal 5 3 3 2 3" xfId="619" xr:uid="{00000000-0005-0000-0000-000030020000}"/>
    <cellStyle name="Normal 5 3 3 2 3 2" xfId="830" xr:uid="{00000000-0005-0000-0000-000031020000}"/>
    <cellStyle name="Normal 5 3 3 2 4" xfId="724" xr:uid="{00000000-0005-0000-0000-000032020000}"/>
    <cellStyle name="Normal 5 3 3 3" xfId="489" xr:uid="{00000000-0005-0000-0000-000033020000}"/>
    <cellStyle name="Normal 5 3 3 3 2" xfId="645" xr:uid="{00000000-0005-0000-0000-000034020000}"/>
    <cellStyle name="Normal 5 3 3 3 2 2" xfId="856" xr:uid="{00000000-0005-0000-0000-000035020000}"/>
    <cellStyle name="Normal 5 3 3 3 3" xfId="750" xr:uid="{00000000-0005-0000-0000-000036020000}"/>
    <cellStyle name="Normal 5 3 3 4" xfId="593" xr:uid="{00000000-0005-0000-0000-000037020000}"/>
    <cellStyle name="Normal 5 3 3 4 2" xfId="804" xr:uid="{00000000-0005-0000-0000-000038020000}"/>
    <cellStyle name="Normal 5 3 3 5" xfId="698" xr:uid="{00000000-0005-0000-0000-000039020000}"/>
    <cellStyle name="Normal 5 3 4" xfId="401" xr:uid="{00000000-0005-0000-0000-00003A020000}"/>
    <cellStyle name="Normal 5 3 4 2" xfId="498" xr:uid="{00000000-0005-0000-0000-00003B020000}"/>
    <cellStyle name="Normal 5 3 4 2 2" xfId="654" xr:uid="{00000000-0005-0000-0000-00003C020000}"/>
    <cellStyle name="Normal 5 3 4 2 2 2" xfId="865" xr:uid="{00000000-0005-0000-0000-00003D020000}"/>
    <cellStyle name="Normal 5 3 4 2 3" xfId="759" xr:uid="{00000000-0005-0000-0000-00003E020000}"/>
    <cellStyle name="Normal 5 3 4 3" xfId="602" xr:uid="{00000000-0005-0000-0000-00003F020000}"/>
    <cellStyle name="Normal 5 3 4 3 2" xfId="813" xr:uid="{00000000-0005-0000-0000-000040020000}"/>
    <cellStyle name="Normal 5 3 4 4" xfId="707" xr:uid="{00000000-0005-0000-0000-000041020000}"/>
    <cellStyle name="Normal 5 3 5" xfId="472" xr:uid="{00000000-0005-0000-0000-000042020000}"/>
    <cellStyle name="Normal 5 3 5 2" xfId="628" xr:uid="{00000000-0005-0000-0000-000043020000}"/>
    <cellStyle name="Normal 5 3 5 2 2" xfId="839" xr:uid="{00000000-0005-0000-0000-000044020000}"/>
    <cellStyle name="Normal 5 3 5 3" xfId="733" xr:uid="{00000000-0005-0000-0000-000045020000}"/>
    <cellStyle name="Normal 5 3 6" xfId="576" xr:uid="{00000000-0005-0000-0000-000046020000}"/>
    <cellStyle name="Normal 5 3 6 2" xfId="787" xr:uid="{00000000-0005-0000-0000-000047020000}"/>
    <cellStyle name="Normal 5 3 7" xfId="681" xr:uid="{00000000-0005-0000-0000-000048020000}"/>
    <cellStyle name="Normal 5 4" xfId="333" xr:uid="{00000000-0005-0000-0000-000049020000}"/>
    <cellStyle name="Normal 5 4 2" xfId="405" xr:uid="{00000000-0005-0000-0000-00004A020000}"/>
    <cellStyle name="Normal 5 4 2 2" xfId="502" xr:uid="{00000000-0005-0000-0000-00004B020000}"/>
    <cellStyle name="Normal 5 4 2 2 2" xfId="658" xr:uid="{00000000-0005-0000-0000-00004C020000}"/>
    <cellStyle name="Normal 5 4 2 2 2 2" xfId="869" xr:uid="{00000000-0005-0000-0000-00004D020000}"/>
    <cellStyle name="Normal 5 4 2 2 3" xfId="763" xr:uid="{00000000-0005-0000-0000-00004E020000}"/>
    <cellStyle name="Normal 5 4 2 3" xfId="606" xr:uid="{00000000-0005-0000-0000-00004F020000}"/>
    <cellStyle name="Normal 5 4 2 3 2" xfId="817" xr:uid="{00000000-0005-0000-0000-000050020000}"/>
    <cellStyle name="Normal 5 4 2 4" xfId="711" xr:uid="{00000000-0005-0000-0000-000051020000}"/>
    <cellStyle name="Normal 5 4 3" xfId="476" xr:uid="{00000000-0005-0000-0000-000052020000}"/>
    <cellStyle name="Normal 5 4 3 2" xfId="632" xr:uid="{00000000-0005-0000-0000-000053020000}"/>
    <cellStyle name="Normal 5 4 3 2 2" xfId="843" xr:uid="{00000000-0005-0000-0000-000054020000}"/>
    <cellStyle name="Normal 5 4 3 3" xfId="737" xr:uid="{00000000-0005-0000-0000-000055020000}"/>
    <cellStyle name="Normal 5 4 4" xfId="580" xr:uid="{00000000-0005-0000-0000-000056020000}"/>
    <cellStyle name="Normal 5 4 4 2" xfId="791" xr:uid="{00000000-0005-0000-0000-000057020000}"/>
    <cellStyle name="Normal 5 4 5" xfId="685" xr:uid="{00000000-0005-0000-0000-000058020000}"/>
    <cellStyle name="Normal 5 5" xfId="343" xr:uid="{00000000-0005-0000-0000-000059020000}"/>
    <cellStyle name="Normal 5 5 2" xfId="415" xr:uid="{00000000-0005-0000-0000-00005A020000}"/>
    <cellStyle name="Normal 5 5 2 2" xfId="511" xr:uid="{00000000-0005-0000-0000-00005B020000}"/>
    <cellStyle name="Normal 5 5 2 2 2" xfId="667" xr:uid="{00000000-0005-0000-0000-00005C020000}"/>
    <cellStyle name="Normal 5 5 2 2 2 2" xfId="878" xr:uid="{00000000-0005-0000-0000-00005D020000}"/>
    <cellStyle name="Normal 5 5 2 2 3" xfId="772" xr:uid="{00000000-0005-0000-0000-00005E020000}"/>
    <cellStyle name="Normal 5 5 2 3" xfId="615" xr:uid="{00000000-0005-0000-0000-00005F020000}"/>
    <cellStyle name="Normal 5 5 2 3 2" xfId="826" xr:uid="{00000000-0005-0000-0000-000060020000}"/>
    <cellStyle name="Normal 5 5 2 4" xfId="720" xr:uid="{00000000-0005-0000-0000-000061020000}"/>
    <cellStyle name="Normal 5 5 3" xfId="485" xr:uid="{00000000-0005-0000-0000-000062020000}"/>
    <cellStyle name="Normal 5 5 3 2" xfId="641" xr:uid="{00000000-0005-0000-0000-000063020000}"/>
    <cellStyle name="Normal 5 5 3 2 2" xfId="852" xr:uid="{00000000-0005-0000-0000-000064020000}"/>
    <cellStyle name="Normal 5 5 3 3" xfId="746" xr:uid="{00000000-0005-0000-0000-000065020000}"/>
    <cellStyle name="Normal 5 5 4" xfId="589" xr:uid="{00000000-0005-0000-0000-000066020000}"/>
    <cellStyle name="Normal 5 5 4 2" xfId="800" xr:uid="{00000000-0005-0000-0000-000067020000}"/>
    <cellStyle name="Normal 5 5 5" xfId="694" xr:uid="{00000000-0005-0000-0000-000068020000}"/>
    <cellStyle name="Normal 5 6" xfId="397" xr:uid="{00000000-0005-0000-0000-000069020000}"/>
    <cellStyle name="Normal 5 6 2" xfId="494" xr:uid="{00000000-0005-0000-0000-00006A020000}"/>
    <cellStyle name="Normal 5 6 2 2" xfId="650" xr:uid="{00000000-0005-0000-0000-00006B020000}"/>
    <cellStyle name="Normal 5 6 2 2 2" xfId="861" xr:uid="{00000000-0005-0000-0000-00006C020000}"/>
    <cellStyle name="Normal 5 6 2 3" xfId="755" xr:uid="{00000000-0005-0000-0000-00006D020000}"/>
    <cellStyle name="Normal 5 6 3" xfId="598" xr:uid="{00000000-0005-0000-0000-00006E020000}"/>
    <cellStyle name="Normal 5 6 3 2" xfId="809" xr:uid="{00000000-0005-0000-0000-00006F020000}"/>
    <cellStyle name="Normal 5 6 4" xfId="703" xr:uid="{00000000-0005-0000-0000-000070020000}"/>
    <cellStyle name="Normal 5 7" xfId="468" xr:uid="{00000000-0005-0000-0000-000071020000}"/>
    <cellStyle name="Normal 5 7 2" xfId="624" xr:uid="{00000000-0005-0000-0000-000072020000}"/>
    <cellStyle name="Normal 5 7 2 2" xfId="835" xr:uid="{00000000-0005-0000-0000-000073020000}"/>
    <cellStyle name="Normal 5 7 3" xfId="729" xr:uid="{00000000-0005-0000-0000-000074020000}"/>
    <cellStyle name="Normal 5 8" xfId="572" xr:uid="{00000000-0005-0000-0000-000075020000}"/>
    <cellStyle name="Normal 5 8 2" xfId="783" xr:uid="{00000000-0005-0000-0000-000076020000}"/>
    <cellStyle name="Normal 5 9" xfId="677" xr:uid="{00000000-0005-0000-0000-000077020000}"/>
    <cellStyle name="Normal 6" xfId="194" xr:uid="{00000000-0005-0000-0000-000078020000}"/>
    <cellStyle name="Normal 6 2" xfId="286" xr:uid="{00000000-0005-0000-0000-000079020000}"/>
    <cellStyle name="Normal 7" xfId="193" xr:uid="{00000000-0005-0000-0000-00007A020000}"/>
    <cellStyle name="Normal 7 2" xfId="285" xr:uid="{00000000-0005-0000-0000-00007B020000}"/>
    <cellStyle name="Normal 7 2 2" xfId="338" xr:uid="{00000000-0005-0000-0000-00007C020000}"/>
    <cellStyle name="Normal 7 2 2 2" xfId="410" xr:uid="{00000000-0005-0000-0000-00007D020000}"/>
    <cellStyle name="Normal 7 2 2 2 2" xfId="507" xr:uid="{00000000-0005-0000-0000-00007E020000}"/>
    <cellStyle name="Normal 7 2 2 2 2 2" xfId="663" xr:uid="{00000000-0005-0000-0000-00007F020000}"/>
    <cellStyle name="Normal 7 2 2 2 2 2 2" xfId="874" xr:uid="{00000000-0005-0000-0000-000080020000}"/>
    <cellStyle name="Normal 7 2 2 2 2 3" xfId="768" xr:uid="{00000000-0005-0000-0000-000081020000}"/>
    <cellStyle name="Normal 7 2 2 2 3" xfId="611" xr:uid="{00000000-0005-0000-0000-000082020000}"/>
    <cellStyle name="Normal 7 2 2 2 3 2" xfId="822" xr:uid="{00000000-0005-0000-0000-000083020000}"/>
    <cellStyle name="Normal 7 2 2 2 4" xfId="716" xr:uid="{00000000-0005-0000-0000-000084020000}"/>
    <cellStyle name="Normal 7 2 2 3" xfId="481" xr:uid="{00000000-0005-0000-0000-000085020000}"/>
    <cellStyle name="Normal 7 2 2 3 2" xfId="637" xr:uid="{00000000-0005-0000-0000-000086020000}"/>
    <cellStyle name="Normal 7 2 2 3 2 2" xfId="848" xr:uid="{00000000-0005-0000-0000-000087020000}"/>
    <cellStyle name="Normal 7 2 2 3 3" xfId="742" xr:uid="{00000000-0005-0000-0000-000088020000}"/>
    <cellStyle name="Normal 7 2 2 4" xfId="585" xr:uid="{00000000-0005-0000-0000-000089020000}"/>
    <cellStyle name="Normal 7 2 2 4 2" xfId="796" xr:uid="{00000000-0005-0000-0000-00008A020000}"/>
    <cellStyle name="Normal 7 2 2 5" xfId="690" xr:uid="{00000000-0005-0000-0000-00008B020000}"/>
    <cellStyle name="Normal 7 2 3" xfId="348" xr:uid="{00000000-0005-0000-0000-00008C020000}"/>
    <cellStyle name="Normal 7 2 3 2" xfId="420" xr:uid="{00000000-0005-0000-0000-00008D020000}"/>
    <cellStyle name="Normal 7 2 3 2 2" xfId="516" xr:uid="{00000000-0005-0000-0000-00008E020000}"/>
    <cellStyle name="Normal 7 2 3 2 2 2" xfId="672" xr:uid="{00000000-0005-0000-0000-00008F020000}"/>
    <cellStyle name="Normal 7 2 3 2 2 2 2" xfId="883" xr:uid="{00000000-0005-0000-0000-000090020000}"/>
    <cellStyle name="Normal 7 2 3 2 2 3" xfId="777" xr:uid="{00000000-0005-0000-0000-000091020000}"/>
    <cellStyle name="Normal 7 2 3 2 3" xfId="620" xr:uid="{00000000-0005-0000-0000-000092020000}"/>
    <cellStyle name="Normal 7 2 3 2 3 2" xfId="831" xr:uid="{00000000-0005-0000-0000-000093020000}"/>
    <cellStyle name="Normal 7 2 3 2 4" xfId="725" xr:uid="{00000000-0005-0000-0000-000094020000}"/>
    <cellStyle name="Normal 7 2 3 3" xfId="490" xr:uid="{00000000-0005-0000-0000-000095020000}"/>
    <cellStyle name="Normal 7 2 3 3 2" xfId="646" xr:uid="{00000000-0005-0000-0000-000096020000}"/>
    <cellStyle name="Normal 7 2 3 3 2 2" xfId="857" xr:uid="{00000000-0005-0000-0000-000097020000}"/>
    <cellStyle name="Normal 7 2 3 3 3" xfId="751" xr:uid="{00000000-0005-0000-0000-000098020000}"/>
    <cellStyle name="Normal 7 2 3 4" xfId="594" xr:uid="{00000000-0005-0000-0000-000099020000}"/>
    <cellStyle name="Normal 7 2 3 4 2" xfId="805" xr:uid="{00000000-0005-0000-0000-00009A020000}"/>
    <cellStyle name="Normal 7 2 3 5" xfId="699" xr:uid="{00000000-0005-0000-0000-00009B020000}"/>
    <cellStyle name="Normal 7 2 4" xfId="402" xr:uid="{00000000-0005-0000-0000-00009C020000}"/>
    <cellStyle name="Normal 7 2 4 2" xfId="499" xr:uid="{00000000-0005-0000-0000-00009D020000}"/>
    <cellStyle name="Normal 7 2 4 2 2" xfId="655" xr:uid="{00000000-0005-0000-0000-00009E020000}"/>
    <cellStyle name="Normal 7 2 4 2 2 2" xfId="866" xr:uid="{00000000-0005-0000-0000-00009F020000}"/>
    <cellStyle name="Normal 7 2 4 2 3" xfId="760" xr:uid="{00000000-0005-0000-0000-0000A0020000}"/>
    <cellStyle name="Normal 7 2 4 3" xfId="603" xr:uid="{00000000-0005-0000-0000-0000A1020000}"/>
    <cellStyle name="Normal 7 2 4 3 2" xfId="814" xr:uid="{00000000-0005-0000-0000-0000A2020000}"/>
    <cellStyle name="Normal 7 2 4 4" xfId="708" xr:uid="{00000000-0005-0000-0000-0000A3020000}"/>
    <cellStyle name="Normal 7 2 5" xfId="473" xr:uid="{00000000-0005-0000-0000-0000A4020000}"/>
    <cellStyle name="Normal 7 2 5 2" xfId="629" xr:uid="{00000000-0005-0000-0000-0000A5020000}"/>
    <cellStyle name="Normal 7 2 5 2 2" xfId="840" xr:uid="{00000000-0005-0000-0000-0000A6020000}"/>
    <cellStyle name="Normal 7 2 5 3" xfId="734" xr:uid="{00000000-0005-0000-0000-0000A7020000}"/>
    <cellStyle name="Normal 7 2 6" xfId="577" xr:uid="{00000000-0005-0000-0000-0000A8020000}"/>
    <cellStyle name="Normal 7 2 6 2" xfId="788" xr:uid="{00000000-0005-0000-0000-0000A9020000}"/>
    <cellStyle name="Normal 7 2 7" xfId="682" xr:uid="{00000000-0005-0000-0000-0000AA020000}"/>
    <cellStyle name="Normal 7 3" xfId="334" xr:uid="{00000000-0005-0000-0000-0000AB020000}"/>
    <cellStyle name="Normal 7 3 2" xfId="406" xr:uid="{00000000-0005-0000-0000-0000AC020000}"/>
    <cellStyle name="Normal 7 3 2 2" xfId="503" xr:uid="{00000000-0005-0000-0000-0000AD020000}"/>
    <cellStyle name="Normal 7 3 2 2 2" xfId="659" xr:uid="{00000000-0005-0000-0000-0000AE020000}"/>
    <cellStyle name="Normal 7 3 2 2 2 2" xfId="870" xr:uid="{00000000-0005-0000-0000-0000AF020000}"/>
    <cellStyle name="Normal 7 3 2 2 3" xfId="764" xr:uid="{00000000-0005-0000-0000-0000B0020000}"/>
    <cellStyle name="Normal 7 3 2 3" xfId="607" xr:uid="{00000000-0005-0000-0000-0000B1020000}"/>
    <cellStyle name="Normal 7 3 2 3 2" xfId="818" xr:uid="{00000000-0005-0000-0000-0000B2020000}"/>
    <cellStyle name="Normal 7 3 2 4" xfId="712" xr:uid="{00000000-0005-0000-0000-0000B3020000}"/>
    <cellStyle name="Normal 7 3 3" xfId="477" xr:uid="{00000000-0005-0000-0000-0000B4020000}"/>
    <cellStyle name="Normal 7 3 3 2" xfId="633" xr:uid="{00000000-0005-0000-0000-0000B5020000}"/>
    <cellStyle name="Normal 7 3 3 2 2" xfId="844" xr:uid="{00000000-0005-0000-0000-0000B6020000}"/>
    <cellStyle name="Normal 7 3 3 3" xfId="738" xr:uid="{00000000-0005-0000-0000-0000B7020000}"/>
    <cellStyle name="Normal 7 3 4" xfId="581" xr:uid="{00000000-0005-0000-0000-0000B8020000}"/>
    <cellStyle name="Normal 7 3 4 2" xfId="792" xr:uid="{00000000-0005-0000-0000-0000B9020000}"/>
    <cellStyle name="Normal 7 3 5" xfId="686" xr:uid="{00000000-0005-0000-0000-0000BA020000}"/>
    <cellStyle name="Normal 7 4" xfId="344" xr:uid="{00000000-0005-0000-0000-0000BB020000}"/>
    <cellStyle name="Normal 7 4 2" xfId="416" xr:uid="{00000000-0005-0000-0000-0000BC020000}"/>
    <cellStyle name="Normal 7 4 2 2" xfId="512" xr:uid="{00000000-0005-0000-0000-0000BD020000}"/>
    <cellStyle name="Normal 7 4 2 2 2" xfId="668" xr:uid="{00000000-0005-0000-0000-0000BE020000}"/>
    <cellStyle name="Normal 7 4 2 2 2 2" xfId="879" xr:uid="{00000000-0005-0000-0000-0000BF020000}"/>
    <cellStyle name="Normal 7 4 2 2 3" xfId="773" xr:uid="{00000000-0005-0000-0000-0000C0020000}"/>
    <cellStyle name="Normal 7 4 2 3" xfId="616" xr:uid="{00000000-0005-0000-0000-0000C1020000}"/>
    <cellStyle name="Normal 7 4 2 3 2" xfId="827" xr:uid="{00000000-0005-0000-0000-0000C2020000}"/>
    <cellStyle name="Normal 7 4 2 4" xfId="721" xr:uid="{00000000-0005-0000-0000-0000C3020000}"/>
    <cellStyle name="Normal 7 4 3" xfId="486" xr:uid="{00000000-0005-0000-0000-0000C4020000}"/>
    <cellStyle name="Normal 7 4 3 2" xfId="642" xr:uid="{00000000-0005-0000-0000-0000C5020000}"/>
    <cellStyle name="Normal 7 4 3 2 2" xfId="853" xr:uid="{00000000-0005-0000-0000-0000C6020000}"/>
    <cellStyle name="Normal 7 4 3 3" xfId="747" xr:uid="{00000000-0005-0000-0000-0000C7020000}"/>
    <cellStyle name="Normal 7 4 4" xfId="590" xr:uid="{00000000-0005-0000-0000-0000C8020000}"/>
    <cellStyle name="Normal 7 4 4 2" xfId="801" xr:uid="{00000000-0005-0000-0000-0000C9020000}"/>
    <cellStyle name="Normal 7 4 5" xfId="695" xr:uid="{00000000-0005-0000-0000-0000CA020000}"/>
    <cellStyle name="Normal 7 5" xfId="398" xr:uid="{00000000-0005-0000-0000-0000CB020000}"/>
    <cellStyle name="Normal 7 5 2" xfId="495" xr:uid="{00000000-0005-0000-0000-0000CC020000}"/>
    <cellStyle name="Normal 7 5 2 2" xfId="651" xr:uid="{00000000-0005-0000-0000-0000CD020000}"/>
    <cellStyle name="Normal 7 5 2 2 2" xfId="862" xr:uid="{00000000-0005-0000-0000-0000CE020000}"/>
    <cellStyle name="Normal 7 5 2 3" xfId="756" xr:uid="{00000000-0005-0000-0000-0000CF020000}"/>
    <cellStyle name="Normal 7 5 3" xfId="599" xr:uid="{00000000-0005-0000-0000-0000D0020000}"/>
    <cellStyle name="Normal 7 5 3 2" xfId="810" xr:uid="{00000000-0005-0000-0000-0000D1020000}"/>
    <cellStyle name="Normal 7 5 4" xfId="704" xr:uid="{00000000-0005-0000-0000-0000D2020000}"/>
    <cellStyle name="Normal 7 6" xfId="469" xr:uid="{00000000-0005-0000-0000-0000D3020000}"/>
    <cellStyle name="Normal 7 6 2" xfId="625" xr:uid="{00000000-0005-0000-0000-0000D4020000}"/>
    <cellStyle name="Normal 7 6 2 2" xfId="836" xr:uid="{00000000-0005-0000-0000-0000D5020000}"/>
    <cellStyle name="Normal 7 6 3" xfId="730" xr:uid="{00000000-0005-0000-0000-0000D6020000}"/>
    <cellStyle name="Normal 7 7" xfId="573" xr:uid="{00000000-0005-0000-0000-0000D7020000}"/>
    <cellStyle name="Normal 7 7 2" xfId="784" xr:uid="{00000000-0005-0000-0000-0000D8020000}"/>
    <cellStyle name="Normal 7 8" xfId="678" xr:uid="{00000000-0005-0000-0000-0000D9020000}"/>
    <cellStyle name="Normal 8" xfId="240" xr:uid="{00000000-0005-0000-0000-0000DA020000}"/>
    <cellStyle name="Normal 8 2" xfId="524" xr:uid="{00000000-0005-0000-0000-0000DB020000}"/>
    <cellStyle name="Normal 9" xfId="239" xr:uid="{00000000-0005-0000-0000-0000DC020000}"/>
    <cellStyle name="Normal 9 2" xfId="336" xr:uid="{00000000-0005-0000-0000-0000DD020000}"/>
    <cellStyle name="Normal 9 2 2" xfId="408" xr:uid="{00000000-0005-0000-0000-0000DE020000}"/>
    <cellStyle name="Normal 9 2 2 2" xfId="505" xr:uid="{00000000-0005-0000-0000-0000DF020000}"/>
    <cellStyle name="Normal 9 2 2 2 2" xfId="661" xr:uid="{00000000-0005-0000-0000-0000E0020000}"/>
    <cellStyle name="Normal 9 2 2 2 2 2" xfId="872" xr:uid="{00000000-0005-0000-0000-0000E1020000}"/>
    <cellStyle name="Normal 9 2 2 2 3" xfId="766" xr:uid="{00000000-0005-0000-0000-0000E2020000}"/>
    <cellStyle name="Normal 9 2 2 3" xfId="609" xr:uid="{00000000-0005-0000-0000-0000E3020000}"/>
    <cellStyle name="Normal 9 2 2 3 2" xfId="820" xr:uid="{00000000-0005-0000-0000-0000E4020000}"/>
    <cellStyle name="Normal 9 2 2 4" xfId="714" xr:uid="{00000000-0005-0000-0000-0000E5020000}"/>
    <cellStyle name="Normal 9 2 3" xfId="479" xr:uid="{00000000-0005-0000-0000-0000E6020000}"/>
    <cellStyle name="Normal 9 2 3 2" xfId="635" xr:uid="{00000000-0005-0000-0000-0000E7020000}"/>
    <cellStyle name="Normal 9 2 3 2 2" xfId="846" xr:uid="{00000000-0005-0000-0000-0000E8020000}"/>
    <cellStyle name="Normal 9 2 3 3" xfId="740" xr:uid="{00000000-0005-0000-0000-0000E9020000}"/>
    <cellStyle name="Normal 9 2 4" xfId="583" xr:uid="{00000000-0005-0000-0000-0000EA020000}"/>
    <cellStyle name="Normal 9 2 4 2" xfId="794" xr:uid="{00000000-0005-0000-0000-0000EB020000}"/>
    <cellStyle name="Normal 9 2 5" xfId="688" xr:uid="{00000000-0005-0000-0000-0000EC020000}"/>
    <cellStyle name="Normal 9 3" xfId="346" xr:uid="{00000000-0005-0000-0000-0000ED020000}"/>
    <cellStyle name="Normal 9 3 2" xfId="418" xr:uid="{00000000-0005-0000-0000-0000EE020000}"/>
    <cellStyle name="Normal 9 3 2 2" xfId="514" xr:uid="{00000000-0005-0000-0000-0000EF020000}"/>
    <cellStyle name="Normal 9 3 2 2 2" xfId="670" xr:uid="{00000000-0005-0000-0000-0000F0020000}"/>
    <cellStyle name="Normal 9 3 2 2 2 2" xfId="881" xr:uid="{00000000-0005-0000-0000-0000F1020000}"/>
    <cellStyle name="Normal 9 3 2 2 3" xfId="775" xr:uid="{00000000-0005-0000-0000-0000F2020000}"/>
    <cellStyle name="Normal 9 3 2 3" xfId="618" xr:uid="{00000000-0005-0000-0000-0000F3020000}"/>
    <cellStyle name="Normal 9 3 2 3 2" xfId="829" xr:uid="{00000000-0005-0000-0000-0000F4020000}"/>
    <cellStyle name="Normal 9 3 2 4" xfId="723" xr:uid="{00000000-0005-0000-0000-0000F5020000}"/>
    <cellStyle name="Normal 9 3 3" xfId="488" xr:uid="{00000000-0005-0000-0000-0000F6020000}"/>
    <cellStyle name="Normal 9 3 3 2" xfId="644" xr:uid="{00000000-0005-0000-0000-0000F7020000}"/>
    <cellStyle name="Normal 9 3 3 2 2" xfId="855" xr:uid="{00000000-0005-0000-0000-0000F8020000}"/>
    <cellStyle name="Normal 9 3 3 3" xfId="749" xr:uid="{00000000-0005-0000-0000-0000F9020000}"/>
    <cellStyle name="Normal 9 3 4" xfId="592" xr:uid="{00000000-0005-0000-0000-0000FA020000}"/>
    <cellStyle name="Normal 9 3 4 2" xfId="803" xr:uid="{00000000-0005-0000-0000-0000FB020000}"/>
    <cellStyle name="Normal 9 3 5" xfId="697" xr:uid="{00000000-0005-0000-0000-0000FC020000}"/>
    <cellStyle name="Normal 9 4" xfId="400" xr:uid="{00000000-0005-0000-0000-0000FD020000}"/>
    <cellStyle name="Normal 9 4 2" xfId="497" xr:uid="{00000000-0005-0000-0000-0000FE020000}"/>
    <cellStyle name="Normal 9 4 2 2" xfId="653" xr:uid="{00000000-0005-0000-0000-0000FF020000}"/>
    <cellStyle name="Normal 9 4 2 2 2" xfId="864" xr:uid="{00000000-0005-0000-0000-000000030000}"/>
    <cellStyle name="Normal 9 4 2 3" xfId="758" xr:uid="{00000000-0005-0000-0000-000001030000}"/>
    <cellStyle name="Normal 9 4 3" xfId="601" xr:uid="{00000000-0005-0000-0000-000002030000}"/>
    <cellStyle name="Normal 9 4 3 2" xfId="812" xr:uid="{00000000-0005-0000-0000-000003030000}"/>
    <cellStyle name="Normal 9 4 4" xfId="706" xr:uid="{00000000-0005-0000-0000-000004030000}"/>
    <cellStyle name="Normal 9 5" xfId="471" xr:uid="{00000000-0005-0000-0000-000005030000}"/>
    <cellStyle name="Normal 9 5 2" xfId="627" xr:uid="{00000000-0005-0000-0000-000006030000}"/>
    <cellStyle name="Normal 9 5 2 2" xfId="838" xr:uid="{00000000-0005-0000-0000-000007030000}"/>
    <cellStyle name="Normal 9 5 3" xfId="732" xr:uid="{00000000-0005-0000-0000-000008030000}"/>
    <cellStyle name="Normal 9 6" xfId="575" xr:uid="{00000000-0005-0000-0000-000009030000}"/>
    <cellStyle name="Normal 9 6 2" xfId="786" xr:uid="{00000000-0005-0000-0000-00000A030000}"/>
    <cellStyle name="Normal 9 7" xfId="680" xr:uid="{00000000-0005-0000-0000-00000B030000}"/>
    <cellStyle name="Normal_Funding Shift Table Sample" xfId="67" xr:uid="{00000000-0005-0000-0000-00000C030000}"/>
    <cellStyle name="Note" xfId="68" builtinId="10" customBuiltin="1"/>
    <cellStyle name="Note 2" xfId="186" xr:uid="{00000000-0005-0000-0000-00000E030000}"/>
    <cellStyle name="Note 3" xfId="232" xr:uid="{00000000-0005-0000-0000-00000F030000}"/>
    <cellStyle name="Note 4" xfId="278" xr:uid="{00000000-0005-0000-0000-000010030000}"/>
    <cellStyle name="Note 5" xfId="327" xr:uid="{00000000-0005-0000-0000-000011030000}"/>
    <cellStyle name="Note 6" xfId="391" xr:uid="{00000000-0005-0000-0000-000012030000}"/>
    <cellStyle name="Note 7" xfId="462" xr:uid="{00000000-0005-0000-0000-000013030000}"/>
    <cellStyle name="Note 8" xfId="566" xr:uid="{00000000-0005-0000-0000-000014030000}"/>
    <cellStyle name="Output" xfId="69" builtinId="21" customBuiltin="1"/>
    <cellStyle name="Output 2" xfId="187" xr:uid="{00000000-0005-0000-0000-000016030000}"/>
    <cellStyle name="Output 3" xfId="233" xr:uid="{00000000-0005-0000-0000-000017030000}"/>
    <cellStyle name="Output 4" xfId="279" xr:uid="{00000000-0005-0000-0000-000018030000}"/>
    <cellStyle name="Output 5" xfId="328" xr:uid="{00000000-0005-0000-0000-000019030000}"/>
    <cellStyle name="Output 6" xfId="392" xr:uid="{00000000-0005-0000-0000-00001A030000}"/>
    <cellStyle name="Output 7" xfId="463" xr:uid="{00000000-0005-0000-0000-00001B030000}"/>
    <cellStyle name="Output 8" xfId="567" xr:uid="{00000000-0005-0000-0000-00001C030000}"/>
    <cellStyle name="Percent" xfId="145" builtinId="5"/>
    <cellStyle name="Percent 2" xfId="70" xr:uid="{00000000-0005-0000-0000-00001E030000}"/>
    <cellStyle name="Percent 2 2" xfId="71" xr:uid="{00000000-0005-0000-0000-00001F030000}"/>
    <cellStyle name="Percent 3" xfId="191" xr:uid="{00000000-0005-0000-0000-000020030000}"/>
    <cellStyle name="Percent 4" xfId="237" xr:uid="{00000000-0005-0000-0000-000021030000}"/>
    <cellStyle name="Percent 5" xfId="283" xr:uid="{00000000-0005-0000-0000-000022030000}"/>
    <cellStyle name="Percent 6" xfId="332" xr:uid="{00000000-0005-0000-0000-000023030000}"/>
    <cellStyle name="Percent 7" xfId="396" xr:uid="{00000000-0005-0000-0000-000024030000}"/>
    <cellStyle name="Percent 8" xfId="467" xr:uid="{00000000-0005-0000-0000-000025030000}"/>
    <cellStyle name="Percent 9" xfId="571" xr:uid="{00000000-0005-0000-0000-000026030000}"/>
    <cellStyle name="SAPBEXaggData" xfId="72" xr:uid="{00000000-0005-0000-0000-000027030000}"/>
    <cellStyle name="SAPBEXaggDataEmph" xfId="73" xr:uid="{00000000-0005-0000-0000-000028030000}"/>
    <cellStyle name="SAPBEXaggItem" xfId="74" xr:uid="{00000000-0005-0000-0000-000029030000}"/>
    <cellStyle name="SAPBEXaggItemX" xfId="75" xr:uid="{00000000-0005-0000-0000-00002A030000}"/>
    <cellStyle name="SAPBEXchaText" xfId="76" xr:uid="{00000000-0005-0000-0000-00002B030000}"/>
    <cellStyle name="SAPBEXexcBad7" xfId="77" xr:uid="{00000000-0005-0000-0000-00002C030000}"/>
    <cellStyle name="SAPBEXexcBad7 2" xfId="128" xr:uid="{00000000-0005-0000-0000-00002D030000}"/>
    <cellStyle name="SAPBEXexcBad8" xfId="78" xr:uid="{00000000-0005-0000-0000-00002E030000}"/>
    <cellStyle name="SAPBEXexcBad8 2" xfId="129" xr:uid="{00000000-0005-0000-0000-00002F030000}"/>
    <cellStyle name="SAPBEXexcBad9" xfId="79" xr:uid="{00000000-0005-0000-0000-000030030000}"/>
    <cellStyle name="SAPBEXexcBad9 2" xfId="130" xr:uid="{00000000-0005-0000-0000-000031030000}"/>
    <cellStyle name="SAPBEXexcCritical4" xfId="80" xr:uid="{00000000-0005-0000-0000-000032030000}"/>
    <cellStyle name="SAPBEXexcCritical4 2" xfId="131" xr:uid="{00000000-0005-0000-0000-000033030000}"/>
    <cellStyle name="SAPBEXexcCritical5" xfId="81" xr:uid="{00000000-0005-0000-0000-000034030000}"/>
    <cellStyle name="SAPBEXexcCritical5 2" xfId="132" xr:uid="{00000000-0005-0000-0000-000035030000}"/>
    <cellStyle name="SAPBEXexcCritical6" xfId="82" xr:uid="{00000000-0005-0000-0000-000036030000}"/>
    <cellStyle name="SAPBEXexcCritical6 2" xfId="133" xr:uid="{00000000-0005-0000-0000-000037030000}"/>
    <cellStyle name="SAPBEXexcGood1" xfId="83" xr:uid="{00000000-0005-0000-0000-000038030000}"/>
    <cellStyle name="SAPBEXexcGood1 2" xfId="134" xr:uid="{00000000-0005-0000-0000-000039030000}"/>
    <cellStyle name="SAPBEXexcGood2" xfId="84" xr:uid="{00000000-0005-0000-0000-00003A030000}"/>
    <cellStyle name="SAPBEXexcGood2 2" xfId="135" xr:uid="{00000000-0005-0000-0000-00003B030000}"/>
    <cellStyle name="SAPBEXexcGood3" xfId="85" xr:uid="{00000000-0005-0000-0000-00003C030000}"/>
    <cellStyle name="SAPBEXexcGood3 2" xfId="136" xr:uid="{00000000-0005-0000-0000-00003D030000}"/>
    <cellStyle name="SAPBEXfilterDrill" xfId="86" xr:uid="{00000000-0005-0000-0000-00003E030000}"/>
    <cellStyle name="SAPBEXfilterItem" xfId="87" xr:uid="{00000000-0005-0000-0000-00003F030000}"/>
    <cellStyle name="SAPBEXfilterItem 2" xfId="137" xr:uid="{00000000-0005-0000-0000-000040030000}"/>
    <cellStyle name="SAPBEXfilterText" xfId="88" xr:uid="{00000000-0005-0000-0000-000041030000}"/>
    <cellStyle name="SAPBEXformats" xfId="89" xr:uid="{00000000-0005-0000-0000-000042030000}"/>
    <cellStyle name="SAPBEXformats 2" xfId="138" xr:uid="{00000000-0005-0000-0000-000043030000}"/>
    <cellStyle name="SAPBEXheaderItem" xfId="90" xr:uid="{00000000-0005-0000-0000-000044030000}"/>
    <cellStyle name="SAPBEXheaderText" xfId="91" xr:uid="{00000000-0005-0000-0000-000045030000}"/>
    <cellStyle name="SAPBEXHLevel0" xfId="92" xr:uid="{00000000-0005-0000-0000-000046030000}"/>
    <cellStyle name="SAPBEXHLevel0X" xfId="93" xr:uid="{00000000-0005-0000-0000-000047030000}"/>
    <cellStyle name="SAPBEXHLevel1" xfId="94" xr:uid="{00000000-0005-0000-0000-000048030000}"/>
    <cellStyle name="SAPBEXHLevel1X" xfId="95" xr:uid="{00000000-0005-0000-0000-000049030000}"/>
    <cellStyle name="SAPBEXHLevel2" xfId="96" xr:uid="{00000000-0005-0000-0000-00004A030000}"/>
    <cellStyle name="SAPBEXHLevel2X" xfId="97" xr:uid="{00000000-0005-0000-0000-00004B030000}"/>
    <cellStyle name="SAPBEXHLevel3" xfId="98" xr:uid="{00000000-0005-0000-0000-00004C030000}"/>
    <cellStyle name="SAPBEXHLevel3X" xfId="99" xr:uid="{00000000-0005-0000-0000-00004D030000}"/>
    <cellStyle name="SAPBEXinputData" xfId="100" xr:uid="{00000000-0005-0000-0000-00004E030000}"/>
    <cellStyle name="SAPBEXresData" xfId="101" xr:uid="{00000000-0005-0000-0000-00004F030000}"/>
    <cellStyle name="SAPBEXresData 2" xfId="139" xr:uid="{00000000-0005-0000-0000-000050030000}"/>
    <cellStyle name="SAPBEXresDataEmph" xfId="102" xr:uid="{00000000-0005-0000-0000-000051030000}"/>
    <cellStyle name="SAPBEXresItem" xfId="103" xr:uid="{00000000-0005-0000-0000-000052030000}"/>
    <cellStyle name="SAPBEXresItem 2" xfId="140" xr:uid="{00000000-0005-0000-0000-000053030000}"/>
    <cellStyle name="SAPBEXresItemX" xfId="104" xr:uid="{00000000-0005-0000-0000-000054030000}"/>
    <cellStyle name="SAPBEXresItemX 2" xfId="141" xr:uid="{00000000-0005-0000-0000-000055030000}"/>
    <cellStyle name="SAPBEXstdData" xfId="105" xr:uid="{00000000-0005-0000-0000-000056030000}"/>
    <cellStyle name="SAPBEXstdData 2" xfId="142" xr:uid="{00000000-0005-0000-0000-000057030000}"/>
    <cellStyle name="SAPBEXstdData 3" xfId="889" xr:uid="{A87DB1B3-E42C-412B-BA07-8E4275339EE4}"/>
    <cellStyle name="SAPBEXstdDataEmph" xfId="106" xr:uid="{00000000-0005-0000-0000-000058030000}"/>
    <cellStyle name="SAPBEXstdItem" xfId="107" xr:uid="{00000000-0005-0000-0000-000059030000}"/>
    <cellStyle name="SAPBEXstdItem 2" xfId="143" xr:uid="{00000000-0005-0000-0000-00005A030000}"/>
    <cellStyle name="SAPBEXstdItem 3" xfId="890" xr:uid="{045C2561-423E-4B09-9F8E-E7C7DA435F49}"/>
    <cellStyle name="SAPBEXstdItemX" xfId="108" xr:uid="{00000000-0005-0000-0000-00005B030000}"/>
    <cellStyle name="SAPBEXstdItemX 2" xfId="144" xr:uid="{00000000-0005-0000-0000-00005C030000}"/>
    <cellStyle name="SAPBEXtitle" xfId="109" xr:uid="{00000000-0005-0000-0000-00005D030000}"/>
    <cellStyle name="SAPBEXundefined" xfId="110" xr:uid="{00000000-0005-0000-0000-00005E030000}"/>
    <cellStyle name="Sheet Title" xfId="111" xr:uid="{00000000-0005-0000-0000-00005F030000}"/>
    <cellStyle name="Title" xfId="112" builtinId="15" customBuiltin="1"/>
    <cellStyle name="Title 2" xfId="188" xr:uid="{00000000-0005-0000-0000-000061030000}"/>
    <cellStyle name="Title 3" xfId="234" xr:uid="{00000000-0005-0000-0000-000062030000}"/>
    <cellStyle name="Title 4" xfId="280" xr:uid="{00000000-0005-0000-0000-000063030000}"/>
    <cellStyle name="Title 5" xfId="329" xr:uid="{00000000-0005-0000-0000-000064030000}"/>
    <cellStyle name="Title 6" xfId="393" xr:uid="{00000000-0005-0000-0000-000065030000}"/>
    <cellStyle name="Title 7" xfId="464" xr:uid="{00000000-0005-0000-0000-000066030000}"/>
    <cellStyle name="Title 8" xfId="568" xr:uid="{00000000-0005-0000-0000-000067030000}"/>
    <cellStyle name="Total" xfId="113" builtinId="25" customBuiltin="1"/>
    <cellStyle name="Total 2" xfId="189" xr:uid="{00000000-0005-0000-0000-000069030000}"/>
    <cellStyle name="Total 3" xfId="235" xr:uid="{00000000-0005-0000-0000-00006A030000}"/>
    <cellStyle name="Total 4" xfId="281" xr:uid="{00000000-0005-0000-0000-00006B030000}"/>
    <cellStyle name="Total 5" xfId="330" xr:uid="{00000000-0005-0000-0000-00006C030000}"/>
    <cellStyle name="Total 6" xfId="394" xr:uid="{00000000-0005-0000-0000-00006D030000}"/>
    <cellStyle name="Total 7" xfId="465" xr:uid="{00000000-0005-0000-0000-00006E030000}"/>
    <cellStyle name="Total 8" xfId="569" xr:uid="{00000000-0005-0000-0000-00006F030000}"/>
    <cellStyle name="Warning Text" xfId="114" builtinId="11" customBuiltin="1"/>
    <cellStyle name="Warning Text 2" xfId="190" xr:uid="{00000000-0005-0000-0000-000071030000}"/>
    <cellStyle name="Warning Text 3" xfId="236" xr:uid="{00000000-0005-0000-0000-000072030000}"/>
    <cellStyle name="Warning Text 4" xfId="282" xr:uid="{00000000-0005-0000-0000-000073030000}"/>
    <cellStyle name="Warning Text 5" xfId="331" xr:uid="{00000000-0005-0000-0000-000074030000}"/>
    <cellStyle name="Warning Text 6" xfId="395" xr:uid="{00000000-0005-0000-0000-000075030000}"/>
    <cellStyle name="Warning Text 7" xfId="466" xr:uid="{00000000-0005-0000-0000-000076030000}"/>
    <cellStyle name="Warning Text 8" xfId="570" xr:uid="{00000000-0005-0000-0000-000077030000}"/>
  </cellStyles>
  <dxfs count="10">
    <dxf>
      <font>
        <b val="0"/>
        <i val="0"/>
        <strike val="0"/>
        <condense val="0"/>
        <extend val="0"/>
        <outline val="0"/>
        <shadow val="0"/>
        <u val="none"/>
        <vertAlign val="baseline"/>
        <sz val="10"/>
        <color auto="1"/>
        <name val="Arial"/>
        <family val="2"/>
        <scheme val="none"/>
      </font>
      <numFmt numFmtId="177" formatCode="0.0000"/>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protection locked="0" hidden="0"/>
    </dxf>
    <dxf>
      <font>
        <b val="0"/>
        <i val="0"/>
        <strike val="0"/>
        <condense val="0"/>
        <extend val="0"/>
        <outline val="0"/>
        <shadow val="0"/>
        <u val="none"/>
        <vertAlign val="baseline"/>
        <sz val="10"/>
        <color theme="1"/>
        <name val="Arial"/>
        <family val="2"/>
        <scheme val="none"/>
      </font>
      <fill>
        <patternFill patternType="none">
          <fgColor theme="4" tint="0.59999389629810485"/>
          <bgColor auto="1"/>
        </patternFill>
      </fill>
      <border diagonalUp="0" diagonalDown="0" outline="0">
        <left style="thin">
          <color theme="0"/>
        </left>
        <right/>
        <top style="thick">
          <color theme="0"/>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family val="2"/>
        <scheme val="none"/>
      </font>
      <fill>
        <patternFill patternType="none">
          <bgColor auto="1"/>
        </patternFill>
      </fill>
      <alignment vertical="top" textRotation="0" indent="0" justifyLastLine="0" shrinkToFit="0" readingOrder="0"/>
      <protection locked="0" hidden="0"/>
    </dxf>
  </dxfs>
  <tableStyles count="0" defaultTableStyle="TableStyleMedium9" defaultPivotStyle="PivotStyleLight16"/>
  <colors>
    <mruColors>
      <color rgb="FF00CC66"/>
      <color rgb="FFCC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866</xdr:colOff>
      <xdr:row>8</xdr:row>
      <xdr:rowOff>9525</xdr:rowOff>
    </xdr:from>
    <xdr:to>
      <xdr:col>12</xdr:col>
      <xdr:colOff>770659</xdr:colOff>
      <xdr:row>8</xdr:row>
      <xdr:rowOff>381000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4001366" y="1265093"/>
          <a:ext cx="9697316" cy="3714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100" b="1" i="0" u="none" strike="noStrike" baseline="0">
            <a:solidFill>
              <a:srgbClr val="000000"/>
            </a:solidFill>
            <a:latin typeface="Arial"/>
            <a:cs typeface="Arial"/>
          </a:endParaRPr>
        </a:p>
        <a:p>
          <a:pPr algn="ctr" rtl="0">
            <a:defRPr sz="1000"/>
          </a:pPr>
          <a:r>
            <a:rPr lang="en-US" sz="1100" b="1" i="0" u="none" strike="noStrike" baseline="0">
              <a:solidFill>
                <a:srgbClr val="000000"/>
              </a:solidFill>
              <a:latin typeface="Arial"/>
              <a:cs typeface="Arial"/>
            </a:rPr>
            <a:t>2020 Expenditures</a:t>
          </a:r>
        </a:p>
        <a:p>
          <a:pPr algn="ctr" rtl="0">
            <a:defRPr sz="1000"/>
          </a:pPr>
          <a:endParaRPr lang="en-US" sz="1100" b="1" i="0" u="none" strike="noStrike" baseline="0">
            <a:solidFill>
              <a:srgbClr val="000000"/>
            </a:solidFill>
            <a:latin typeface="Arial"/>
            <a:cs typeface="Arial"/>
          </a:endParaRPr>
        </a:p>
        <a:p>
          <a:pPr algn="ctr" rtl="0">
            <a:defRPr sz="1000"/>
          </a:pPr>
          <a:endParaRPr lang="en-US" sz="11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TKinjo/AppData/Local/Microsoft/Windows/Temporary%20Internet%20Files/Content.Outlook/XGUO2WB4/BIP%20Study%20Appendix%20FF%20%20Ex-Ante%20Load%20Impact%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 val="GL 1430010 2002"/>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cell r="P33">
            <v>0</v>
          </cell>
        </row>
        <row r="34">
          <cell r="N34"/>
          <cell r="P34">
            <v>0</v>
          </cell>
        </row>
        <row r="35">
          <cell r="N35"/>
          <cell r="P35">
            <v>0</v>
          </cell>
        </row>
        <row r="36">
          <cell r="N36"/>
          <cell r="P36">
            <v>0</v>
          </cell>
        </row>
        <row r="37">
          <cell r="N37"/>
          <cell r="P37">
            <v>0</v>
          </cell>
        </row>
        <row r="38">
          <cell r="N38"/>
          <cell r="P38">
            <v>0</v>
          </cell>
        </row>
        <row r="39">
          <cell r="N39"/>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cell r="P46">
            <v>0</v>
          </cell>
        </row>
        <row r="47">
          <cell r="N47"/>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cell r="P79">
            <v>0</v>
          </cell>
        </row>
        <row r="80">
          <cell r="N80" t="str">
            <v>TRANSCONTINENTAL DIRECT USA IN</v>
          </cell>
          <cell r="P80">
            <v>165430</v>
          </cell>
        </row>
        <row r="81">
          <cell r="N81" t="str">
            <v>US POSTMASTER</v>
          </cell>
          <cell r="P81">
            <v>0</v>
          </cell>
        </row>
        <row r="82">
          <cell r="N82"/>
          <cell r="P82">
            <v>0</v>
          </cell>
        </row>
        <row r="83">
          <cell r="N83"/>
          <cell r="P83">
            <v>0</v>
          </cell>
        </row>
        <row r="84">
          <cell r="N84"/>
          <cell r="P84">
            <v>8</v>
          </cell>
        </row>
        <row r="85">
          <cell r="N85"/>
          <cell r="P85">
            <v>0</v>
          </cell>
        </row>
        <row r="86">
          <cell r="N86"/>
          <cell r="P86">
            <v>0</v>
          </cell>
        </row>
        <row r="87">
          <cell r="N87"/>
          <cell r="P87">
            <v>0</v>
          </cell>
        </row>
        <row r="88">
          <cell r="N88"/>
          <cell r="P88">
            <v>0</v>
          </cell>
        </row>
        <row r="89">
          <cell r="N89"/>
          <cell r="P89">
            <v>1</v>
          </cell>
        </row>
        <row r="90">
          <cell r="N90"/>
          <cell r="P90">
            <v>1</v>
          </cell>
        </row>
        <row r="91">
          <cell r="N91"/>
          <cell r="P91">
            <v>1</v>
          </cell>
        </row>
        <row r="92">
          <cell r="N92"/>
          <cell r="P92">
            <v>1</v>
          </cell>
        </row>
        <row r="93">
          <cell r="N93"/>
          <cell r="P93">
            <v>1</v>
          </cell>
        </row>
        <row r="94">
          <cell r="N94"/>
          <cell r="P94">
            <v>1</v>
          </cell>
        </row>
        <row r="95">
          <cell r="N95"/>
          <cell r="P95">
            <v>1</v>
          </cell>
        </row>
        <row r="96">
          <cell r="N96"/>
          <cell r="P96">
            <v>1</v>
          </cell>
        </row>
        <row r="97">
          <cell r="N97"/>
          <cell r="P97">
            <v>2</v>
          </cell>
        </row>
        <row r="98">
          <cell r="N98"/>
          <cell r="P98">
            <v>1</v>
          </cell>
        </row>
        <row r="99">
          <cell r="N99"/>
          <cell r="P99">
            <v>1</v>
          </cell>
        </row>
        <row r="100">
          <cell r="N100"/>
          <cell r="P100">
            <v>1</v>
          </cell>
        </row>
        <row r="101">
          <cell r="N101"/>
          <cell r="P101">
            <v>1</v>
          </cell>
        </row>
        <row r="102">
          <cell r="N102"/>
          <cell r="P102">
            <v>2442.12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UTPUTS"/>
      <sheetName val="LOOKUP"/>
      <sheetName val="DATA"/>
      <sheetName val="ENROLLMENT"/>
    </sheetNames>
    <sheetDataSet>
      <sheetData sheetId="0" refreshError="1"/>
      <sheetData sheetId="1">
        <row r="2">
          <cell r="E2" t="str">
            <v>Typical Event Day</v>
          </cell>
        </row>
        <row r="3">
          <cell r="E3" t="str">
            <v>January Monthly Peak</v>
          </cell>
        </row>
        <row r="4">
          <cell r="E4" t="str">
            <v>February Monthly Peak</v>
          </cell>
        </row>
        <row r="5">
          <cell r="E5" t="str">
            <v>March Monthly Peak</v>
          </cell>
        </row>
        <row r="6">
          <cell r="E6" t="str">
            <v>April Monthly Peak</v>
          </cell>
        </row>
        <row r="7">
          <cell r="E7" t="str">
            <v>May Monthly Peak</v>
          </cell>
        </row>
        <row r="8">
          <cell r="E8" t="str">
            <v>June Monthly Peak</v>
          </cell>
        </row>
        <row r="9">
          <cell r="E9" t="str">
            <v>July Monthly Peak</v>
          </cell>
        </row>
        <row r="10">
          <cell r="E10" t="str">
            <v>August Monthly Peak</v>
          </cell>
        </row>
        <row r="11">
          <cell r="E11" t="str">
            <v>September Monthly Peak</v>
          </cell>
        </row>
        <row r="12">
          <cell r="E12" t="str">
            <v>October Monthly Peak</v>
          </cell>
        </row>
        <row r="13">
          <cell r="E13" t="str">
            <v>November Monthly Peak</v>
          </cell>
        </row>
        <row r="14">
          <cell r="E14" t="str">
            <v>December Monthly Peak</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D904F3-3D23-4B24-AC17-2F36151DB1F8}" name="BUReporting" displayName="BUReporting" ref="A1:H157" totalsRowShown="0" headerRowDxfId="9" dataDxfId="8">
  <autoFilter ref="A1:H157" xr:uid="{5F86BACF-8118-4026-BAE1-46A687E09A40}"/>
  <tableColumns count="8">
    <tableColumn id="5" xr3:uid="{F16FC42C-9734-4D04-972A-93B0B214BAA7}" name="Group" dataDxfId="7"/>
    <tableColumn id="1" xr3:uid="{4486039D-7D45-487D-837F-0E9E6909ED6A}" name="Program" dataDxfId="6"/>
    <tableColumn id="8" xr3:uid="{7C1C7853-7F74-459F-8356-17A012314260}" name="Desc" dataDxfId="5"/>
    <tableColumn id="2" xr3:uid="{7B19090B-D59B-4FB3-A33D-B4DD6B52CC54}" name="Type" dataDxfId="4"/>
    <tableColumn id="4" xr3:uid="{DDA25FFE-773D-44E8-8C46-E9297025BF13}" name="Period" dataDxfId="3"/>
    <tableColumn id="3" xr3:uid="{985231E6-3CF0-43D2-B801-753F59C1884A}" name="Month" dataDxfId="2"/>
    <tableColumn id="6" xr3:uid="{A99F8913-FB93-4814-8E01-DE4C2333965A}" name="Service Accounts" dataDxfId="1">
      <calculatedColumnFormula>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calculatedColumnFormula>
    </tableColumn>
    <tableColumn id="7" xr3:uid="{0E761944-9C96-4797-A35D-95A3A317468D}" name="Ex Ante Estimated MW"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AC6-32A5-43EC-87A5-082A733C26A0}">
  <dimension ref="A1:H157"/>
  <sheetViews>
    <sheetView zoomScaleNormal="100" workbookViewId="0">
      <selection activeCell="L119" sqref="L119"/>
    </sheetView>
  </sheetViews>
  <sheetFormatPr defaultColWidth="9.28515625" defaultRowHeight="12.75"/>
  <cols>
    <col min="1" max="1" width="9.7109375" style="10" customWidth="1"/>
    <col min="2" max="2" width="28.5703125" style="10" customWidth="1"/>
    <col min="3" max="3" width="16.5703125" style="10" customWidth="1"/>
    <col min="4" max="4" width="17.42578125" style="10" customWidth="1"/>
    <col min="5" max="5" width="15" style="10" customWidth="1"/>
    <col min="6" max="6" width="23.28515625" style="10" bestFit="1" customWidth="1"/>
    <col min="7" max="7" width="13.28515625" style="10" bestFit="1" customWidth="1"/>
    <col min="8" max="16384" width="9.28515625" style="10"/>
  </cols>
  <sheetData>
    <row r="1" spans="1:8" s="501" customFormat="1" ht="39" thickBot="1">
      <c r="A1" s="502" t="s">
        <v>0</v>
      </c>
      <c r="B1" s="502" t="s">
        <v>1</v>
      </c>
      <c r="C1" s="502" t="s">
        <v>2</v>
      </c>
      <c r="D1" s="502" t="s">
        <v>3</v>
      </c>
      <c r="E1" s="503" t="s">
        <v>4</v>
      </c>
      <c r="F1" s="504" t="s">
        <v>5</v>
      </c>
      <c r="G1" s="505" t="s">
        <v>6</v>
      </c>
      <c r="H1" s="506" t="s">
        <v>7</v>
      </c>
    </row>
    <row r="2" spans="1:8" ht="16.5" thickTop="1" thickBot="1">
      <c r="A2" s="511">
        <v>0</v>
      </c>
      <c r="B2" s="89" t="s">
        <v>8</v>
      </c>
      <c r="C2" s="512"/>
      <c r="D2" s="502" t="s">
        <v>9</v>
      </c>
      <c r="E2" s="507">
        <v>1</v>
      </c>
      <c r="F2" s="508" t="s">
        <v>10</v>
      </c>
      <c r="G2" s="49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4</v>
      </c>
      <c r="H2" s="51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0.64924000000000004</v>
      </c>
    </row>
    <row r="3" spans="1:8" ht="16.5" thickTop="1" thickBot="1">
      <c r="A3" s="499">
        <v>1</v>
      </c>
      <c r="B3" s="496" t="s">
        <v>11</v>
      </c>
      <c r="C3" s="512"/>
      <c r="D3" s="497" t="s">
        <v>9</v>
      </c>
      <c r="E3" s="507">
        <v>1</v>
      </c>
      <c r="F3" s="508" t="s">
        <v>10</v>
      </c>
      <c r="G3"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14325</v>
      </c>
      <c r="H3"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4" spans="1:8" ht="16.5" thickTop="1" thickBot="1">
      <c r="A4" s="499">
        <v>2</v>
      </c>
      <c r="B4" s="496" t="s">
        <v>12</v>
      </c>
      <c r="C4" s="512" t="s">
        <v>13</v>
      </c>
      <c r="D4" s="497" t="s">
        <v>9</v>
      </c>
      <c r="E4" s="507">
        <v>1</v>
      </c>
      <c r="F4" s="508" t="s">
        <v>10</v>
      </c>
      <c r="G4" s="49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4" s="51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5" spans="1:8" ht="16.5" thickTop="1" thickBot="1">
      <c r="A5" s="499">
        <v>3</v>
      </c>
      <c r="B5" s="496" t="s">
        <v>14</v>
      </c>
      <c r="C5" s="512"/>
      <c r="D5" s="497" t="s">
        <v>9</v>
      </c>
      <c r="E5" s="507">
        <v>1</v>
      </c>
      <c r="F5" s="508" t="s">
        <v>10</v>
      </c>
      <c r="G5" s="49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5" s="51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6" spans="1:8" ht="16.5" thickTop="1" thickBot="1">
      <c r="A6" s="499">
        <v>4</v>
      </c>
      <c r="B6" s="496" t="s">
        <v>15</v>
      </c>
      <c r="C6" s="512" t="s">
        <v>16</v>
      </c>
      <c r="D6" s="497" t="s">
        <v>9</v>
      </c>
      <c r="E6" s="507">
        <v>1</v>
      </c>
      <c r="F6" s="508" t="s">
        <v>10</v>
      </c>
      <c r="G6" s="498" t="e">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#N/A</v>
      </c>
      <c r="H6" s="510" t="e">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#N/A</v>
      </c>
    </row>
    <row r="7" spans="1:8" ht="16.5" thickTop="1" thickBot="1">
      <c r="A7" s="499">
        <v>5</v>
      </c>
      <c r="B7" s="497" t="s">
        <v>17</v>
      </c>
      <c r="C7" s="512" t="s">
        <v>18</v>
      </c>
      <c r="D7" s="497" t="s">
        <v>19</v>
      </c>
      <c r="E7" s="507">
        <v>1</v>
      </c>
      <c r="F7" s="508" t="s">
        <v>10</v>
      </c>
      <c r="G7"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19267</v>
      </c>
      <c r="H7"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8" spans="1:8" ht="16.5" thickTop="1" thickBot="1">
      <c r="A8" s="499">
        <v>6</v>
      </c>
      <c r="B8" s="497" t="s">
        <v>20</v>
      </c>
      <c r="C8" s="512" t="s">
        <v>18</v>
      </c>
      <c r="D8" s="497" t="s">
        <v>9</v>
      </c>
      <c r="E8" s="507">
        <v>1</v>
      </c>
      <c r="F8" s="508" t="s">
        <v>10</v>
      </c>
      <c r="G8"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1621</v>
      </c>
      <c r="H8"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9" spans="1:8" ht="16.5" thickTop="1" thickBot="1">
      <c r="A9" s="499">
        <v>7</v>
      </c>
      <c r="B9" s="497" t="s">
        <v>21</v>
      </c>
      <c r="C9" s="512" t="s">
        <v>22</v>
      </c>
      <c r="D9" s="497" t="s">
        <v>19</v>
      </c>
      <c r="E9" s="507">
        <v>1</v>
      </c>
      <c r="F9" s="508" t="s">
        <v>10</v>
      </c>
      <c r="G9"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8709</v>
      </c>
      <c r="H9"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0" spans="1:8" ht="16.5" thickTop="1" thickBot="1">
      <c r="A10" s="499">
        <v>8</v>
      </c>
      <c r="B10" s="497" t="s">
        <v>23</v>
      </c>
      <c r="C10" s="512" t="s">
        <v>22</v>
      </c>
      <c r="D10" s="497" t="s">
        <v>9</v>
      </c>
      <c r="E10" s="507">
        <v>1</v>
      </c>
      <c r="F10" s="508" t="s">
        <v>10</v>
      </c>
      <c r="G10"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3148</v>
      </c>
      <c r="H10"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1" spans="1:8" ht="16.5" thickTop="1" thickBot="1">
      <c r="A11" s="499">
        <v>9</v>
      </c>
      <c r="B11" s="497" t="s">
        <v>24</v>
      </c>
      <c r="C11" s="512"/>
      <c r="D11" s="497" t="s">
        <v>9</v>
      </c>
      <c r="E11" s="507">
        <v>1</v>
      </c>
      <c r="F11" s="508" t="s">
        <v>10</v>
      </c>
      <c r="G11"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1"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2" spans="1:8" ht="16.5" thickTop="1" thickBot="1">
      <c r="A12" s="499">
        <v>10</v>
      </c>
      <c r="B12" s="497" t="s">
        <v>25</v>
      </c>
      <c r="C12" s="512"/>
      <c r="D12" s="497" t="s">
        <v>9</v>
      </c>
      <c r="E12" s="507">
        <v>1</v>
      </c>
      <c r="F12" s="508" t="s">
        <v>10</v>
      </c>
      <c r="G12"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0</v>
      </c>
      <c r="H12"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v>
      </c>
    </row>
    <row r="13" spans="1:8" ht="18" customHeight="1" thickTop="1" thickBot="1">
      <c r="A13" s="499">
        <v>11</v>
      </c>
      <c r="B13" s="497" t="s">
        <v>26</v>
      </c>
      <c r="C13" s="512"/>
      <c r="D13" s="497" t="s">
        <v>9</v>
      </c>
      <c r="E13" s="507">
        <v>1</v>
      </c>
      <c r="F13" s="508" t="s">
        <v>10</v>
      </c>
      <c r="G13"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113358</v>
      </c>
      <c r="H13"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1.13358</v>
      </c>
    </row>
    <row r="14" spans="1:8" ht="14.25" thickTop="1" thickBot="1">
      <c r="A14" s="499">
        <v>12</v>
      </c>
      <c r="B14" s="496" t="s">
        <v>27</v>
      </c>
      <c r="C14" s="496"/>
      <c r="D14" s="497" t="s">
        <v>19</v>
      </c>
      <c r="E14" s="507">
        <v>1</v>
      </c>
      <c r="F14" s="508" t="s">
        <v>10</v>
      </c>
      <c r="G14" s="498">
        <f>IF(OR(BUReporting[[#This Row],[Period]]=1,OR(BUReporting[[#This Row],[Period]]=2,OR(BUReporting[[#This Row],[Period]]=2,OR(BUReporting[[#This Row],[Period]]=4,OR(BUReporting[[#This Row],[Period]]=5,BUReporting[[#This Row],[Period]]=6))))),VLOOKUP(BUReporting[[#This Row],[Program]],'Program MW '!$A$12:$S$23,2,FALSE),VLOOKUP(BUReporting[[#This Row],[Program]],'Program MW '!$A$35:$S$46,2,FALSE))</f>
        <v>14845</v>
      </c>
      <c r="H14" s="510">
        <f>IF(OR(BUReporting[[#This Row],[Period]]=1,OR(BUReporting[[#This Row],[Period]]=2,OR(BUReporting[[#This Row],[Period]]=3,OR(BUReporting[[#This Row],[Period]]=4,OR(BUReporting[[#This Row],[Period]]=5,BUReporting[[#This Row],[Period]]=6))))),VLOOKUP(BUReporting[[#This Row],[Program]],'Program MW '!$A$12:$S$23,3,FALSE),VLOOKUP(BUReporting[[#This Row],[Program]],'Program MW '!$A$35:$S$46,3,FALSE))</f>
        <v>0.59379999999999999</v>
      </c>
    </row>
    <row r="15" spans="1:8" ht="16.5" thickTop="1" thickBot="1">
      <c r="A15" s="511">
        <v>0</v>
      </c>
      <c r="B15" s="89" t="s">
        <v>8</v>
      </c>
      <c r="C15" s="512"/>
      <c r="D15" s="502" t="s">
        <v>9</v>
      </c>
      <c r="E15" s="507">
        <v>2</v>
      </c>
      <c r="F15" s="508" t="s">
        <v>28</v>
      </c>
      <c r="G15" s="49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4</v>
      </c>
      <c r="H15" s="51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0.43383999999999995</v>
      </c>
    </row>
    <row r="16" spans="1:8" ht="16.5" thickTop="1" thickBot="1">
      <c r="A16" s="499">
        <v>1</v>
      </c>
      <c r="B16" s="497" t="s">
        <v>11</v>
      </c>
      <c r="C16" s="512"/>
      <c r="D16" s="497" t="s">
        <v>9</v>
      </c>
      <c r="E16" s="500">
        <v>2</v>
      </c>
      <c r="F16" s="509" t="s">
        <v>28</v>
      </c>
      <c r="G16"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14319</v>
      </c>
      <c r="H16"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17" spans="1:8" ht="16.5" thickTop="1" thickBot="1">
      <c r="A17" s="499">
        <v>2</v>
      </c>
      <c r="B17" s="497" t="s">
        <v>12</v>
      </c>
      <c r="C17" s="512" t="s">
        <v>13</v>
      </c>
      <c r="D17" s="497" t="s">
        <v>9</v>
      </c>
      <c r="E17" s="500">
        <v>2</v>
      </c>
      <c r="F17" s="509" t="s">
        <v>28</v>
      </c>
      <c r="G17" s="49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7" s="51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8" spans="1:8" ht="16.5" thickTop="1" thickBot="1">
      <c r="A18" s="499">
        <v>3</v>
      </c>
      <c r="B18" s="497" t="s">
        <v>14</v>
      </c>
      <c r="C18" s="512"/>
      <c r="D18" s="497" t="s">
        <v>9</v>
      </c>
      <c r="E18" s="500">
        <v>2</v>
      </c>
      <c r="F18" s="509" t="s">
        <v>28</v>
      </c>
      <c r="G18" s="49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8" s="51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19" spans="1:8" ht="16.5" thickTop="1" thickBot="1">
      <c r="A19" s="499">
        <v>4</v>
      </c>
      <c r="B19" s="497" t="s">
        <v>15</v>
      </c>
      <c r="C19" s="512" t="s">
        <v>16</v>
      </c>
      <c r="D19" s="497" t="s">
        <v>9</v>
      </c>
      <c r="E19" s="500">
        <v>2</v>
      </c>
      <c r="F19" s="509" t="s">
        <v>28</v>
      </c>
      <c r="G19" s="498" t="e">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#N/A</v>
      </c>
      <c r="H19" s="510" t="e">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#N/A</v>
      </c>
    </row>
    <row r="20" spans="1:8" ht="16.5" thickTop="1" thickBot="1">
      <c r="A20" s="499">
        <v>5</v>
      </c>
      <c r="B20" s="497" t="s">
        <v>17</v>
      </c>
      <c r="C20" s="512" t="s">
        <v>18</v>
      </c>
      <c r="D20" s="497" t="s">
        <v>19</v>
      </c>
      <c r="E20" s="500">
        <v>2</v>
      </c>
      <c r="F20" s="509" t="s">
        <v>28</v>
      </c>
      <c r="G20"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19389</v>
      </c>
      <c r="H20"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1" spans="1:8" ht="16.5" thickTop="1" thickBot="1">
      <c r="A21" s="499">
        <v>6</v>
      </c>
      <c r="B21" s="497" t="s">
        <v>20</v>
      </c>
      <c r="C21" s="512" t="s">
        <v>18</v>
      </c>
      <c r="D21" s="497" t="s">
        <v>9</v>
      </c>
      <c r="E21" s="500">
        <v>2</v>
      </c>
      <c r="F21" s="509" t="s">
        <v>28</v>
      </c>
      <c r="G21"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1632</v>
      </c>
      <c r="H21"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2" spans="1:8" ht="16.5" thickTop="1" thickBot="1">
      <c r="A22" s="499">
        <v>7</v>
      </c>
      <c r="B22" s="497" t="s">
        <v>21</v>
      </c>
      <c r="C22" s="512" t="s">
        <v>22</v>
      </c>
      <c r="D22" s="497" t="s">
        <v>19</v>
      </c>
      <c r="E22" s="500">
        <v>2</v>
      </c>
      <c r="F22" s="509" t="s">
        <v>28</v>
      </c>
      <c r="G22"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8522</v>
      </c>
      <c r="H22"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3" spans="1:8" ht="16.5" thickTop="1" thickBot="1">
      <c r="A23" s="499">
        <v>8</v>
      </c>
      <c r="B23" s="497" t="s">
        <v>23</v>
      </c>
      <c r="C23" s="512" t="s">
        <v>22</v>
      </c>
      <c r="D23" s="497" t="s">
        <v>9</v>
      </c>
      <c r="E23" s="500">
        <v>2</v>
      </c>
      <c r="F23" s="509" t="s">
        <v>28</v>
      </c>
      <c r="G23"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3130</v>
      </c>
      <c r="H23"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4" spans="1:8" ht="16.5" thickTop="1" thickBot="1">
      <c r="A24" s="499">
        <v>9</v>
      </c>
      <c r="B24" s="497" t="s">
        <v>24</v>
      </c>
      <c r="C24" s="512"/>
      <c r="D24" s="497" t="s">
        <v>9</v>
      </c>
      <c r="E24" s="500">
        <v>2</v>
      </c>
      <c r="F24" s="509" t="s">
        <v>28</v>
      </c>
      <c r="G24"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4"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5" spans="1:8" ht="16.5" thickTop="1" thickBot="1">
      <c r="A25" s="499">
        <v>10</v>
      </c>
      <c r="B25" s="497" t="s">
        <v>25</v>
      </c>
      <c r="C25" s="512"/>
      <c r="D25" s="497" t="s">
        <v>9</v>
      </c>
      <c r="E25" s="500">
        <v>2</v>
      </c>
      <c r="F25" s="509" t="s">
        <v>28</v>
      </c>
      <c r="G25"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0</v>
      </c>
      <c r="H25"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v>
      </c>
    </row>
    <row r="26" spans="1:8" ht="16.5" thickTop="1" thickBot="1">
      <c r="A26" s="499">
        <v>11</v>
      </c>
      <c r="B26" s="497" t="s">
        <v>26</v>
      </c>
      <c r="C26" s="512"/>
      <c r="D26" s="497" t="s">
        <v>9</v>
      </c>
      <c r="E26" s="500">
        <v>2</v>
      </c>
      <c r="F26" s="509" t="s">
        <v>28</v>
      </c>
      <c r="G26"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113041</v>
      </c>
      <c r="H26"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1.1304100000000001</v>
      </c>
    </row>
    <row r="27" spans="1:8" ht="14.25" thickTop="1" thickBot="1">
      <c r="A27" s="499">
        <v>12</v>
      </c>
      <c r="B27" s="497" t="s">
        <v>27</v>
      </c>
      <c r="C27" s="496"/>
      <c r="D27" s="497" t="s">
        <v>19</v>
      </c>
      <c r="E27" s="500">
        <v>2</v>
      </c>
      <c r="F27" s="509" t="s">
        <v>28</v>
      </c>
      <c r="G27" s="498">
        <f>IF(OR(BUReporting[[#This Row],[Period]]=1,OR(BUReporting[[#This Row],[Period]]=2,OR(BUReporting[[#This Row],[Period]]=2,OR(BUReporting[[#This Row],[Period]]=4,OR(BUReporting[[#This Row],[Period]]=5,BUReporting[[#This Row],[Period]]=6))))),VLOOKUP(BUReporting[[#This Row],[Program]],'Program MW '!$A$12:$S$23,5,FALSE),VLOOKUP(BUReporting[[#This Row],[Program]],'Program MW '!$A$35:$S$46,5,FALSE))</f>
        <v>15413</v>
      </c>
      <c r="H27" s="510">
        <f>IF(OR(BUReporting[[#This Row],[Period]]=1,OR(BUReporting[[#This Row],[Period]]=2,OR(BUReporting[[#This Row],[Period]]=3,OR(BUReporting[[#This Row],[Period]]=4,OR(BUReporting[[#This Row],[Period]]=5,BUReporting[[#This Row],[Period]]=6))))),VLOOKUP(BUReporting[[#This Row],[Program]],'Program MW '!$A$12:$S$23,6,FALSE),VLOOKUP(BUReporting[[#This Row],[Program]],'Program MW '!$A$35:$S$46,6,FALSE))</f>
        <v>0.61652000000000007</v>
      </c>
    </row>
    <row r="28" spans="1:8" ht="16.5" thickTop="1" thickBot="1">
      <c r="A28" s="511">
        <v>0</v>
      </c>
      <c r="B28" s="89" t="s">
        <v>8</v>
      </c>
      <c r="C28" s="512"/>
      <c r="D28" s="502" t="s">
        <v>9</v>
      </c>
      <c r="E28" s="507">
        <v>3</v>
      </c>
      <c r="F28" s="508" t="s">
        <v>29</v>
      </c>
      <c r="G28" s="49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28" s="51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0.72393133544921873</v>
      </c>
    </row>
    <row r="29" spans="1:8" ht="16.5" thickTop="1" thickBot="1">
      <c r="A29" s="499">
        <v>1</v>
      </c>
      <c r="B29" s="497" t="s">
        <v>11</v>
      </c>
      <c r="C29" s="512"/>
      <c r="D29" s="497" t="s">
        <v>9</v>
      </c>
      <c r="E29" s="500">
        <v>3</v>
      </c>
      <c r="F29" s="509" t="s">
        <v>29</v>
      </c>
      <c r="G29"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14282</v>
      </c>
      <c r="H29"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2.0273027641999999</v>
      </c>
    </row>
    <row r="30" spans="1:8" ht="16.5" thickTop="1" thickBot="1">
      <c r="A30" s="499">
        <v>2</v>
      </c>
      <c r="B30" s="497" t="s">
        <v>12</v>
      </c>
      <c r="C30" s="512" t="s">
        <v>13</v>
      </c>
      <c r="D30" s="497" t="s">
        <v>9</v>
      </c>
      <c r="E30" s="500">
        <v>3</v>
      </c>
      <c r="F30" s="509" t="s">
        <v>29</v>
      </c>
      <c r="G30"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0" s="51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1" spans="1:8" ht="16.5" thickTop="1" thickBot="1">
      <c r="A31" s="499">
        <v>3</v>
      </c>
      <c r="B31" s="497" t="s">
        <v>14</v>
      </c>
      <c r="C31" s="512"/>
      <c r="D31" s="497" t="s">
        <v>9</v>
      </c>
      <c r="E31" s="500">
        <v>3</v>
      </c>
      <c r="F31" s="509" t="s">
        <v>29</v>
      </c>
      <c r="G31"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1" s="51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2" spans="1:8" ht="16.5" thickTop="1" thickBot="1">
      <c r="A32" s="499">
        <v>4</v>
      </c>
      <c r="B32" s="497" t="s">
        <v>15</v>
      </c>
      <c r="C32" s="512" t="s">
        <v>16</v>
      </c>
      <c r="D32" s="497" t="s">
        <v>9</v>
      </c>
      <c r="E32" s="500">
        <v>3</v>
      </c>
      <c r="F32" s="509" t="s">
        <v>29</v>
      </c>
      <c r="G32"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32" s="510" t="e">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#N/A</v>
      </c>
    </row>
    <row r="33" spans="1:8" ht="16.5" thickTop="1" thickBot="1">
      <c r="A33" s="499">
        <v>5</v>
      </c>
      <c r="B33" s="497" t="s">
        <v>17</v>
      </c>
      <c r="C33" s="512" t="s">
        <v>18</v>
      </c>
      <c r="D33" s="497" t="s">
        <v>19</v>
      </c>
      <c r="E33" s="500">
        <v>3</v>
      </c>
      <c r="F33" s="509" t="s">
        <v>29</v>
      </c>
      <c r="G33"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19514</v>
      </c>
      <c r="H33"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8.363872844347498E-4</v>
      </c>
    </row>
    <row r="34" spans="1:8" ht="16.5" thickTop="1" thickBot="1">
      <c r="A34" s="499">
        <v>6</v>
      </c>
      <c r="B34" s="497" t="s">
        <v>20</v>
      </c>
      <c r="C34" s="512" t="s">
        <v>18</v>
      </c>
      <c r="D34" s="497" t="s">
        <v>9</v>
      </c>
      <c r="E34" s="500">
        <v>3</v>
      </c>
      <c r="F34" s="509" t="s">
        <v>29</v>
      </c>
      <c r="G34"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1633</v>
      </c>
      <c r="H34"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2.9353506870102137E-3</v>
      </c>
    </row>
    <row r="35" spans="1:8" ht="16.5" thickTop="1" thickBot="1">
      <c r="A35" s="499">
        <v>7</v>
      </c>
      <c r="B35" s="497" t="s">
        <v>21</v>
      </c>
      <c r="C35" s="512" t="s">
        <v>22</v>
      </c>
      <c r="D35" s="497" t="s">
        <v>19</v>
      </c>
      <c r="E35" s="500">
        <v>3</v>
      </c>
      <c r="F35" s="509" t="s">
        <v>29</v>
      </c>
      <c r="G35"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8522</v>
      </c>
      <c r="H35"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6" spans="1:8" ht="16.5" thickTop="1" thickBot="1">
      <c r="A36" s="499">
        <v>8</v>
      </c>
      <c r="B36" s="497" t="s">
        <v>23</v>
      </c>
      <c r="C36" s="512" t="s">
        <v>22</v>
      </c>
      <c r="D36" s="497" t="s">
        <v>9</v>
      </c>
      <c r="E36" s="500">
        <v>3</v>
      </c>
      <c r="F36" s="509" t="s">
        <v>29</v>
      </c>
      <c r="G36"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3184</v>
      </c>
      <c r="H36"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7" spans="1:8" ht="16.5" thickTop="1" thickBot="1">
      <c r="A37" s="499">
        <v>9</v>
      </c>
      <c r="B37" s="497" t="s">
        <v>24</v>
      </c>
      <c r="C37" s="512"/>
      <c r="D37" s="497" t="s">
        <v>9</v>
      </c>
      <c r="E37" s="500">
        <v>3</v>
      </c>
      <c r="F37" s="509" t="s">
        <v>29</v>
      </c>
      <c r="G37"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7"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8" spans="1:8" ht="16.5" thickTop="1" thickBot="1">
      <c r="A38" s="499">
        <v>10</v>
      </c>
      <c r="B38" s="497" t="s">
        <v>25</v>
      </c>
      <c r="C38" s="512"/>
      <c r="D38" s="497" t="s">
        <v>9</v>
      </c>
      <c r="E38" s="500">
        <v>3</v>
      </c>
      <c r="F38" s="509" t="s">
        <v>29</v>
      </c>
      <c r="G38"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38"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v>
      </c>
    </row>
    <row r="39" spans="1:8" ht="16.5" thickTop="1" thickBot="1">
      <c r="A39" s="499">
        <v>11</v>
      </c>
      <c r="B39" s="497" t="s">
        <v>26</v>
      </c>
      <c r="C39" s="512"/>
      <c r="D39" s="497" t="s">
        <v>9</v>
      </c>
      <c r="E39" s="500">
        <v>3</v>
      </c>
      <c r="F39" s="509" t="s">
        <v>29</v>
      </c>
      <c r="G39"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113021</v>
      </c>
      <c r="H39"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1.2958692341139539</v>
      </c>
    </row>
    <row r="40" spans="1:8" ht="14.25" thickTop="1" thickBot="1">
      <c r="A40" s="499">
        <v>12</v>
      </c>
      <c r="B40" s="497" t="s">
        <v>27</v>
      </c>
      <c r="C40" s="496"/>
      <c r="D40" s="497" t="s">
        <v>19</v>
      </c>
      <c r="E40" s="500">
        <v>3</v>
      </c>
      <c r="F40" s="509" t="s">
        <v>29</v>
      </c>
      <c r="G40"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15637</v>
      </c>
      <c r="H40" s="510">
        <f>IF(OR(BUReporting[[#This Row],[Period]]=1,OR(BUReporting[[#This Row],[Period]]=2,OR(BUReporting[[#This Row],[Period]]=3,OR(BUReporting[[#This Row],[Period]]=4,OR(BUReporting[[#This Row],[Period]]=5,BUReporting[[#This Row],[Period]]=6))))),VLOOKUP(BUReporting[[#This Row],[Program]],'Program MW '!$A$12:$S$23,9,FALSE),VLOOKUP(BUReporting[[#This Row],[Program]],'Program MW '!$A$35:$S$46,9,FALSE))</f>
        <v>0.19967582361400127</v>
      </c>
    </row>
    <row r="41" spans="1:8" ht="16.5" thickTop="1" thickBot="1">
      <c r="A41" s="511">
        <v>0</v>
      </c>
      <c r="B41" s="89" t="s">
        <v>8</v>
      </c>
      <c r="C41" s="512"/>
      <c r="D41" s="502" t="s">
        <v>9</v>
      </c>
      <c r="E41" s="507">
        <v>4</v>
      </c>
      <c r="F41" s="508" t="s">
        <v>30</v>
      </c>
      <c r="G41" s="49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4</v>
      </c>
      <c r="H41" s="51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0.64798333740234371</v>
      </c>
    </row>
    <row r="42" spans="1:8" ht="16.5" thickTop="1" thickBot="1">
      <c r="A42" s="499">
        <v>1</v>
      </c>
      <c r="B42" s="497" t="s">
        <v>11</v>
      </c>
      <c r="C42" s="512"/>
      <c r="D42" s="497" t="s">
        <v>9</v>
      </c>
      <c r="E42" s="500">
        <v>4</v>
      </c>
      <c r="F42" s="509" t="s">
        <v>30</v>
      </c>
      <c r="G42"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14248</v>
      </c>
      <c r="H42"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1.9754780759999999</v>
      </c>
    </row>
    <row r="43" spans="1:8" ht="16.5" thickTop="1" thickBot="1">
      <c r="A43" s="499">
        <v>2</v>
      </c>
      <c r="B43" s="497" t="s">
        <v>12</v>
      </c>
      <c r="C43" s="512" t="s">
        <v>13</v>
      </c>
      <c r="D43" s="497" t="s">
        <v>9</v>
      </c>
      <c r="E43" s="500">
        <v>4</v>
      </c>
      <c r="F43" s="509" t="s">
        <v>30</v>
      </c>
      <c r="G43"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3" s="51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4" spans="1:8" ht="16.5" thickTop="1" thickBot="1">
      <c r="A44" s="499">
        <v>3</v>
      </c>
      <c r="B44" s="497" t="s">
        <v>14</v>
      </c>
      <c r="C44" s="512"/>
      <c r="D44" s="497" t="s">
        <v>9</v>
      </c>
      <c r="E44" s="500">
        <v>4</v>
      </c>
      <c r="F44" s="509" t="s">
        <v>30</v>
      </c>
      <c r="G44"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4" s="51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5" spans="1:8" ht="16.5" thickTop="1" thickBot="1">
      <c r="A45" s="499">
        <v>4</v>
      </c>
      <c r="B45" s="497" t="s">
        <v>15</v>
      </c>
      <c r="C45" s="512" t="s">
        <v>16</v>
      </c>
      <c r="D45" s="497" t="s">
        <v>9</v>
      </c>
      <c r="E45" s="500">
        <v>4</v>
      </c>
      <c r="F45" s="509" t="s">
        <v>30</v>
      </c>
      <c r="G45"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45" s="510" t="e">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#N/A</v>
      </c>
    </row>
    <row r="46" spans="1:8" ht="16.5" thickTop="1" thickBot="1">
      <c r="A46" s="499">
        <v>5</v>
      </c>
      <c r="B46" s="497" t="s">
        <v>17</v>
      </c>
      <c r="C46" s="512" t="s">
        <v>18</v>
      </c>
      <c r="D46" s="497" t="s">
        <v>19</v>
      </c>
      <c r="E46" s="500">
        <v>4</v>
      </c>
      <c r="F46" s="509" t="s">
        <v>30</v>
      </c>
      <c r="G46"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15350</v>
      </c>
      <c r="H46"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1.2928511034697294</v>
      </c>
    </row>
    <row r="47" spans="1:8" ht="16.5" thickTop="1" thickBot="1">
      <c r="A47" s="499">
        <v>6</v>
      </c>
      <c r="B47" s="497" t="s">
        <v>20</v>
      </c>
      <c r="C47" s="512" t="s">
        <v>18</v>
      </c>
      <c r="D47" s="497" t="s">
        <v>9</v>
      </c>
      <c r="E47" s="500">
        <v>4</v>
      </c>
      <c r="F47" s="509" t="s">
        <v>30</v>
      </c>
      <c r="G47"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960</v>
      </c>
      <c r="H47"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0.18351822853088379</v>
      </c>
    </row>
    <row r="48" spans="1:8" ht="16.5" thickTop="1" thickBot="1">
      <c r="A48" s="499">
        <v>7</v>
      </c>
      <c r="B48" s="497" t="s">
        <v>21</v>
      </c>
      <c r="C48" s="512" t="s">
        <v>22</v>
      </c>
      <c r="D48" s="497" t="s">
        <v>19</v>
      </c>
      <c r="E48" s="500">
        <v>4</v>
      </c>
      <c r="F48" s="509" t="s">
        <v>30</v>
      </c>
      <c r="G48"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7855</v>
      </c>
      <c r="H48"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49" spans="1:8" ht="16.5" thickTop="1" thickBot="1">
      <c r="A49" s="499">
        <v>8</v>
      </c>
      <c r="B49" s="497" t="s">
        <v>23</v>
      </c>
      <c r="C49" s="512" t="s">
        <v>22</v>
      </c>
      <c r="D49" s="497" t="s">
        <v>9</v>
      </c>
      <c r="E49" s="500">
        <v>4</v>
      </c>
      <c r="F49" s="509" t="s">
        <v>30</v>
      </c>
      <c r="G49"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3184</v>
      </c>
      <c r="H49"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0.17300868959999999</v>
      </c>
    </row>
    <row r="50" spans="1:8" ht="16.5" thickTop="1" thickBot="1">
      <c r="A50" s="499">
        <v>9</v>
      </c>
      <c r="B50" s="497" t="s">
        <v>24</v>
      </c>
      <c r="C50" s="512"/>
      <c r="D50" s="497" t="s">
        <v>9</v>
      </c>
      <c r="E50" s="500">
        <v>4</v>
      </c>
      <c r="F50" s="509" t="s">
        <v>30</v>
      </c>
      <c r="G50"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0"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1" spans="1:8" ht="16.5" thickTop="1" thickBot="1">
      <c r="A51" s="499">
        <v>10</v>
      </c>
      <c r="B51" s="497" t="s">
        <v>25</v>
      </c>
      <c r="C51" s="512"/>
      <c r="D51" s="497" t="s">
        <v>9</v>
      </c>
      <c r="E51" s="500">
        <v>4</v>
      </c>
      <c r="F51" s="509" t="s">
        <v>30</v>
      </c>
      <c r="G51"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51"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v>
      </c>
    </row>
    <row r="52" spans="1:8" ht="16.5" thickTop="1" thickBot="1">
      <c r="A52" s="499">
        <v>11</v>
      </c>
      <c r="B52" s="497" t="s">
        <v>26</v>
      </c>
      <c r="C52" s="512"/>
      <c r="D52" s="497" t="s">
        <v>9</v>
      </c>
      <c r="E52" s="500">
        <v>4</v>
      </c>
      <c r="F52" s="509" t="s">
        <v>30</v>
      </c>
      <c r="G52"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112866</v>
      </c>
      <c r="H52"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1.5787632344663143</v>
      </c>
    </row>
    <row r="53" spans="1:8" ht="14.25" thickTop="1" thickBot="1">
      <c r="A53" s="499">
        <v>12</v>
      </c>
      <c r="B53" s="497" t="s">
        <v>27</v>
      </c>
      <c r="C53" s="496"/>
      <c r="D53" s="497" t="s">
        <v>19</v>
      </c>
      <c r="E53" s="500">
        <v>4</v>
      </c>
      <c r="F53" s="509" t="s">
        <v>30</v>
      </c>
      <c r="G53"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16037</v>
      </c>
      <c r="H53" s="510">
        <f>IF(OR(BUReporting[[#This Row],[Period]]=1,OR(BUReporting[[#This Row],[Period]]=2,OR(BUReporting[[#This Row],[Period]]=3,OR(BUReporting[[#This Row],[Period]]=4,OR(BUReporting[[#This Row],[Period]]=5,BUReporting[[#This Row],[Period]]=6))))),VLOOKUP(BUReporting[[#This Row],[Program]],'Program MW '!$A$12:$S$23,12,FALSE),VLOOKUP(BUReporting[[#This Row],[Program]],'Program MW '!$A$35:$S$46,12,FALSE))</f>
        <v>0.19338366127759218</v>
      </c>
    </row>
    <row r="54" spans="1:8" ht="16.5" thickTop="1" thickBot="1">
      <c r="A54" s="511">
        <v>0</v>
      </c>
      <c r="B54" s="89" t="s">
        <v>8</v>
      </c>
      <c r="C54" s="512"/>
      <c r="D54" s="502" t="s">
        <v>9</v>
      </c>
      <c r="E54" s="507">
        <v>5</v>
      </c>
      <c r="F54" s="508" t="s">
        <v>31</v>
      </c>
      <c r="G54" s="49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4</v>
      </c>
      <c r="H54" s="51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0.62296343994140624</v>
      </c>
    </row>
    <row r="55" spans="1:8" ht="16.5" thickTop="1" thickBot="1">
      <c r="A55" s="499">
        <v>1</v>
      </c>
      <c r="B55" s="497" t="s">
        <v>11</v>
      </c>
      <c r="C55" s="512"/>
      <c r="D55" s="497" t="s">
        <v>9</v>
      </c>
      <c r="E55" s="500">
        <v>5</v>
      </c>
      <c r="F55" s="509" t="s">
        <v>31</v>
      </c>
      <c r="G55"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14178</v>
      </c>
      <c r="H55"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1.9550086733999998</v>
      </c>
    </row>
    <row r="56" spans="1:8" ht="16.5" thickTop="1" thickBot="1">
      <c r="A56" s="499">
        <v>2</v>
      </c>
      <c r="B56" s="497" t="s">
        <v>12</v>
      </c>
      <c r="C56" s="512" t="s">
        <v>13</v>
      </c>
      <c r="D56" s="497" t="s">
        <v>9</v>
      </c>
      <c r="E56" s="500">
        <v>5</v>
      </c>
      <c r="F56" s="509" t="s">
        <v>31</v>
      </c>
      <c r="G56"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6" s="51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7" spans="1:8" ht="16.5" thickTop="1" thickBot="1">
      <c r="A57" s="499">
        <v>3</v>
      </c>
      <c r="B57" s="497" t="s">
        <v>14</v>
      </c>
      <c r="C57" s="512"/>
      <c r="D57" s="497" t="s">
        <v>9</v>
      </c>
      <c r="E57" s="500">
        <v>5</v>
      </c>
      <c r="F57" s="509" t="s">
        <v>31</v>
      </c>
      <c r="G57"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7" s="51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8" spans="1:8" ht="16.5" thickTop="1" thickBot="1">
      <c r="A58" s="499">
        <v>4</v>
      </c>
      <c r="B58" s="497" t="s">
        <v>15</v>
      </c>
      <c r="C58" s="512" t="s">
        <v>16</v>
      </c>
      <c r="D58" s="497" t="s">
        <v>9</v>
      </c>
      <c r="E58" s="500">
        <v>5</v>
      </c>
      <c r="F58" s="509" t="s">
        <v>31</v>
      </c>
      <c r="G58"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58" s="510" t="e">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#N/A</v>
      </c>
    </row>
    <row r="59" spans="1:8" ht="16.5" thickTop="1" thickBot="1">
      <c r="A59" s="499">
        <v>5</v>
      </c>
      <c r="B59" s="497" t="s">
        <v>17</v>
      </c>
      <c r="C59" s="512" t="s">
        <v>18</v>
      </c>
      <c r="D59" s="497" t="s">
        <v>19</v>
      </c>
      <c r="E59" s="500">
        <v>5</v>
      </c>
      <c r="F59" s="509" t="s">
        <v>31</v>
      </c>
      <c r="G59"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15648</v>
      </c>
      <c r="H59"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2.1029281368255615</v>
      </c>
    </row>
    <row r="60" spans="1:8" ht="16.5" thickTop="1" thickBot="1">
      <c r="A60" s="499">
        <v>6</v>
      </c>
      <c r="B60" s="497" t="s">
        <v>20</v>
      </c>
      <c r="C60" s="512" t="s">
        <v>18</v>
      </c>
      <c r="D60" s="497" t="s">
        <v>9</v>
      </c>
      <c r="E60" s="500">
        <v>5</v>
      </c>
      <c r="F60" s="509" t="s">
        <v>31</v>
      </c>
      <c r="G60"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972</v>
      </c>
      <c r="H60"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0.26925267112255097</v>
      </c>
    </row>
    <row r="61" spans="1:8" ht="16.5" thickTop="1" thickBot="1">
      <c r="A61" s="499">
        <v>7</v>
      </c>
      <c r="B61" s="497" t="s">
        <v>21</v>
      </c>
      <c r="C61" s="512" t="s">
        <v>22</v>
      </c>
      <c r="D61" s="497" t="s">
        <v>19</v>
      </c>
      <c r="E61" s="500">
        <v>5</v>
      </c>
      <c r="F61" s="509" t="s">
        <v>31</v>
      </c>
      <c r="G61"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8179</v>
      </c>
      <c r="H61"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0.2733356368</v>
      </c>
    </row>
    <row r="62" spans="1:8" ht="16.5" thickTop="1" thickBot="1">
      <c r="A62" s="499">
        <v>8</v>
      </c>
      <c r="B62" s="497" t="s">
        <v>23</v>
      </c>
      <c r="C62" s="512" t="s">
        <v>22</v>
      </c>
      <c r="D62" s="497" t="s">
        <v>9</v>
      </c>
      <c r="E62" s="500">
        <v>5</v>
      </c>
      <c r="F62" s="509" t="s">
        <v>31</v>
      </c>
      <c r="G62"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3039</v>
      </c>
      <c r="H62"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0.23546111219999999</v>
      </c>
    </row>
    <row r="63" spans="1:8" ht="16.5" thickTop="1" thickBot="1">
      <c r="A63" s="499">
        <v>9</v>
      </c>
      <c r="B63" s="497" t="s">
        <v>24</v>
      </c>
      <c r="C63" s="512"/>
      <c r="D63" s="497" t="s">
        <v>9</v>
      </c>
      <c r="E63" s="500">
        <v>5</v>
      </c>
      <c r="F63" s="509" t="s">
        <v>31</v>
      </c>
      <c r="G63"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9</v>
      </c>
      <c r="H63"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0.16829999999999998</v>
      </c>
    </row>
    <row r="64" spans="1:8" ht="16.5" thickTop="1" thickBot="1">
      <c r="A64" s="499">
        <v>10</v>
      </c>
      <c r="B64" s="497" t="s">
        <v>25</v>
      </c>
      <c r="C64" s="512"/>
      <c r="D64" s="497" t="s">
        <v>9</v>
      </c>
      <c r="E64" s="500">
        <v>5</v>
      </c>
      <c r="F64" s="509" t="s">
        <v>31</v>
      </c>
      <c r="G64"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170</v>
      </c>
      <c r="H64"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2.8929656335198746</v>
      </c>
    </row>
    <row r="65" spans="1:8" ht="16.5" thickTop="1" thickBot="1">
      <c r="A65" s="499">
        <v>11</v>
      </c>
      <c r="B65" s="497" t="s">
        <v>26</v>
      </c>
      <c r="C65" s="512"/>
      <c r="D65" s="497" t="s">
        <v>9</v>
      </c>
      <c r="E65" s="500">
        <v>5</v>
      </c>
      <c r="F65" s="509" t="s">
        <v>31</v>
      </c>
      <c r="G65"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112745</v>
      </c>
      <c r="H65"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1.6670737564750016</v>
      </c>
    </row>
    <row r="66" spans="1:8" ht="14.25" thickTop="1" thickBot="1">
      <c r="A66" s="499">
        <v>12</v>
      </c>
      <c r="B66" s="497" t="s">
        <v>27</v>
      </c>
      <c r="C66" s="496"/>
      <c r="D66" s="497" t="s">
        <v>19</v>
      </c>
      <c r="E66" s="500">
        <v>5</v>
      </c>
      <c r="F66" s="509" t="s">
        <v>31</v>
      </c>
      <c r="G66"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16135</v>
      </c>
      <c r="H66" s="510">
        <f>IF(OR(BUReporting[[#This Row],[Period]]=1,OR(BUReporting[[#This Row],[Period]]=2,OR(BUReporting[[#This Row],[Period]]=3,OR(BUReporting[[#This Row],[Period]]=4,OR(BUReporting[[#This Row],[Period]]=5,BUReporting[[#This Row],[Period]]=6))))),VLOOKUP(BUReporting[[#This Row],[Program]],'Program MW '!$A$12:$S$23,15,FALSE),VLOOKUP(BUReporting[[#This Row],[Program]],'Program MW '!$A$35:$S$46,15,FALSE))</f>
        <v>0.31780898060649632</v>
      </c>
    </row>
    <row r="67" spans="1:8" ht="16.5" thickTop="1" thickBot="1">
      <c r="A67" s="511">
        <v>0</v>
      </c>
      <c r="B67" s="89" t="s">
        <v>8</v>
      </c>
      <c r="C67" s="512"/>
      <c r="D67" s="502" t="s">
        <v>9</v>
      </c>
      <c r="E67" s="507">
        <v>6</v>
      </c>
      <c r="F67" s="508" t="s">
        <v>32</v>
      </c>
      <c r="G67" s="49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4</v>
      </c>
      <c r="H67" s="51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0.76944903564453127</v>
      </c>
    </row>
    <row r="68" spans="1:8" ht="16.5" thickTop="1" thickBot="1">
      <c r="A68" s="499">
        <v>1</v>
      </c>
      <c r="B68" s="497" t="s">
        <v>11</v>
      </c>
      <c r="C68" s="512"/>
      <c r="D68" s="497" t="s">
        <v>9</v>
      </c>
      <c r="E68" s="500">
        <v>6</v>
      </c>
      <c r="F68" s="509" t="s">
        <v>32</v>
      </c>
      <c r="G68"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14095</v>
      </c>
      <c r="H68"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1.9500192885000003</v>
      </c>
    </row>
    <row r="69" spans="1:8" ht="16.5" thickTop="1" thickBot="1">
      <c r="A69" s="499">
        <v>2</v>
      </c>
      <c r="B69" s="497" t="s">
        <v>12</v>
      </c>
      <c r="C69" s="512" t="s">
        <v>13</v>
      </c>
      <c r="D69" s="497" t="s">
        <v>9</v>
      </c>
      <c r="E69" s="500">
        <v>6</v>
      </c>
      <c r="F69" s="509" t="s">
        <v>32</v>
      </c>
      <c r="G69"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69" s="51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0" spans="1:8" ht="16.5" thickTop="1" thickBot="1">
      <c r="A70" s="499">
        <v>3</v>
      </c>
      <c r="B70" s="497" t="s">
        <v>14</v>
      </c>
      <c r="C70" s="512"/>
      <c r="D70" s="497" t="s">
        <v>9</v>
      </c>
      <c r="E70" s="500">
        <v>6</v>
      </c>
      <c r="F70" s="509" t="s">
        <v>32</v>
      </c>
      <c r="G70"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0" s="51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1" spans="1:8" ht="16.5" thickTop="1" thickBot="1">
      <c r="A71" s="499">
        <v>4</v>
      </c>
      <c r="B71" s="497" t="s">
        <v>15</v>
      </c>
      <c r="C71" s="512" t="s">
        <v>16</v>
      </c>
      <c r="D71" s="497" t="s">
        <v>9</v>
      </c>
      <c r="E71" s="500">
        <v>6</v>
      </c>
      <c r="F71" s="509" t="s">
        <v>32</v>
      </c>
      <c r="G71"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71" s="510" t="e">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#N/A</v>
      </c>
    </row>
    <row r="72" spans="1:8" ht="16.5" thickTop="1" thickBot="1">
      <c r="A72" s="499">
        <v>5</v>
      </c>
      <c r="B72" s="497" t="s">
        <v>17</v>
      </c>
      <c r="C72" s="512" t="s">
        <v>18</v>
      </c>
      <c r="D72" s="497" t="s">
        <v>19</v>
      </c>
      <c r="E72" s="500">
        <v>6</v>
      </c>
      <c r="F72" s="509" t="s">
        <v>32</v>
      </c>
      <c r="G72"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14944</v>
      </c>
      <c r="H72"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1.7535013246536255</v>
      </c>
    </row>
    <row r="73" spans="1:8" ht="16.5" thickTop="1" thickBot="1">
      <c r="A73" s="499">
        <v>6</v>
      </c>
      <c r="B73" s="497" t="s">
        <v>20</v>
      </c>
      <c r="C73" s="512" t="s">
        <v>18</v>
      </c>
      <c r="D73" s="497" t="s">
        <v>9</v>
      </c>
      <c r="E73" s="500">
        <v>6</v>
      </c>
      <c r="F73" s="509" t="s">
        <v>32</v>
      </c>
      <c r="G73"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980</v>
      </c>
      <c r="H73"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0.25252178430557248</v>
      </c>
    </row>
    <row r="74" spans="1:8" ht="16.5" thickTop="1" thickBot="1">
      <c r="A74" s="499">
        <v>7</v>
      </c>
      <c r="B74" s="497" t="s">
        <v>21</v>
      </c>
      <c r="C74" s="512" t="s">
        <v>22</v>
      </c>
      <c r="D74" s="497" t="s">
        <v>19</v>
      </c>
      <c r="E74" s="500">
        <v>6</v>
      </c>
      <c r="F74" s="509" t="s">
        <v>32</v>
      </c>
      <c r="G74"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7938</v>
      </c>
      <c r="H74"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2.34337698E-2</v>
      </c>
    </row>
    <row r="75" spans="1:8" ht="16.5" thickTop="1" thickBot="1">
      <c r="A75" s="499">
        <v>8</v>
      </c>
      <c r="B75" s="497" t="s">
        <v>23</v>
      </c>
      <c r="C75" s="512" t="s">
        <v>22</v>
      </c>
      <c r="D75" s="497" t="s">
        <v>9</v>
      </c>
      <c r="E75" s="500">
        <v>6</v>
      </c>
      <c r="F75" s="509" t="s">
        <v>32</v>
      </c>
      <c r="G75"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3218</v>
      </c>
      <c r="H75"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0.1919092916</v>
      </c>
    </row>
    <row r="76" spans="1:8" ht="16.5" thickTop="1" thickBot="1">
      <c r="A76" s="499">
        <v>9</v>
      </c>
      <c r="B76" s="497" t="s">
        <v>24</v>
      </c>
      <c r="C76" s="512"/>
      <c r="D76" s="497" t="s">
        <v>9</v>
      </c>
      <c r="E76" s="500">
        <v>6</v>
      </c>
      <c r="F76" s="509" t="s">
        <v>32</v>
      </c>
      <c r="G76"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v>
      </c>
      <c r="H76"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0.20861366189624328</v>
      </c>
    </row>
    <row r="77" spans="1:8" ht="16.5" thickTop="1" thickBot="1">
      <c r="A77" s="499">
        <v>10</v>
      </c>
      <c r="B77" s="497" t="s">
        <v>25</v>
      </c>
      <c r="C77" s="512"/>
      <c r="D77" s="497" t="s">
        <v>9</v>
      </c>
      <c r="E77" s="500">
        <v>6</v>
      </c>
      <c r="F77" s="509" t="s">
        <v>32</v>
      </c>
      <c r="G77"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142</v>
      </c>
      <c r="H77"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2.4164771762342481</v>
      </c>
    </row>
    <row r="78" spans="1:8" ht="16.5" thickTop="1" thickBot="1">
      <c r="A78" s="499">
        <v>11</v>
      </c>
      <c r="B78" s="497" t="s">
        <v>26</v>
      </c>
      <c r="C78" s="512"/>
      <c r="D78" s="497" t="s">
        <v>9</v>
      </c>
      <c r="E78" s="500">
        <v>6</v>
      </c>
      <c r="F78" s="509" t="s">
        <v>32</v>
      </c>
      <c r="G78"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112680</v>
      </c>
      <c r="H78"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1.7073372121900321</v>
      </c>
    </row>
    <row r="79" spans="1:8" ht="14.25" thickTop="1" thickBot="1">
      <c r="A79" s="499">
        <v>12</v>
      </c>
      <c r="B79" s="497" t="s">
        <v>27</v>
      </c>
      <c r="C79" s="496"/>
      <c r="D79" s="497" t="s">
        <v>19</v>
      </c>
      <c r="E79" s="500">
        <v>6</v>
      </c>
      <c r="F79" s="509" t="s">
        <v>32</v>
      </c>
      <c r="G79"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16151</v>
      </c>
      <c r="H79" s="510">
        <f>IF(OR(BUReporting[[#This Row],[Period]]=1,OR(BUReporting[[#This Row],[Period]]=2,OR(BUReporting[[#This Row],[Period]]=3,OR(BUReporting[[#This Row],[Period]]=4,OR(BUReporting[[#This Row],[Period]]=5,BUReporting[[#This Row],[Period]]=6))))),VLOOKUP(BUReporting[[#This Row],[Program]],'Program MW '!$A$12:$S$23,18,FALSE),VLOOKUP(BUReporting[[#This Row],[Program]],'Program MW '!$A$35:$S$46,18,FALSE))</f>
        <v>2.6979194424897432</v>
      </c>
    </row>
    <row r="80" spans="1:8" ht="16.5" thickTop="1" thickBot="1">
      <c r="A80" s="511">
        <v>0</v>
      </c>
      <c r="B80" s="89" t="s">
        <v>8</v>
      </c>
      <c r="C80" s="512"/>
      <c r="D80" s="502" t="s">
        <v>9</v>
      </c>
      <c r="E80" s="507">
        <v>7</v>
      </c>
      <c r="F80" s="508" t="s">
        <v>33</v>
      </c>
      <c r="G80" s="498">
        <f>IF(OR(BUReporting[[#This Row],[Period]]=1,OR(BUReporting[[#This Row],[Period]]=2,OR(BUReporting[[#This Row],[Period]]=2,OR(BUReporting[[#This Row],[Period]]=4,OR(BUReporting[[#This Row],[Period]]=5,BUReporting[[#This Row],[Period]]=6))))),VLOOKUP(BUReporting[[#This Row],[Program]],'Program MW '!$A$9:$S$9,2,FALSE),VLOOKUP(BUReporting[[#This Row],[Program]],'Program MW '!$A$32:$S$32,2,FALSE))</f>
        <v>0</v>
      </c>
      <c r="H80" s="510">
        <f>IF(OR(BUReporting[[#This Row],[Period]]=1,OR(BUReporting[[#This Row],[Period]]=2,OR(BUReporting[[#This Row],[Period]]=3,OR(BUReporting[[#This Row],[Period]]=4,OR(BUReporting[[#This Row],[Period]]=5,BUReporting[[#This Row],[Period]]=6))))),VLOOKUP(BUReporting[[#This Row],[Program]],'Program MW '!$A$9:$S$9,3,FALSE),VLOOKUP(BUReporting[[#This Row],[Program]],'Program MW '!$A$32:$S$32,3,FALSE))</f>
        <v>0</v>
      </c>
    </row>
    <row r="81" spans="1:8" ht="16.5" thickTop="1" thickBot="1">
      <c r="A81" s="499">
        <v>1</v>
      </c>
      <c r="B81" s="497" t="s">
        <v>11</v>
      </c>
      <c r="C81" s="512"/>
      <c r="D81" s="497" t="s">
        <v>9</v>
      </c>
      <c r="E81" s="500">
        <v>7</v>
      </c>
      <c r="F81" s="509" t="s">
        <v>33</v>
      </c>
      <c r="G81"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14095</v>
      </c>
      <c r="H81" s="510">
        <f>VLOOKUP(BUReporting[[#This Row],[Program]],'Program MW '!$A$35:$S$46,3,FALSE)</f>
        <v>0</v>
      </c>
    </row>
    <row r="82" spans="1:8" ht="16.5" thickTop="1" thickBot="1">
      <c r="A82" s="499">
        <v>2</v>
      </c>
      <c r="B82" s="497" t="s">
        <v>12</v>
      </c>
      <c r="C82" s="512" t="s">
        <v>13</v>
      </c>
      <c r="D82" s="497" t="s">
        <v>9</v>
      </c>
      <c r="E82" s="500">
        <v>7</v>
      </c>
      <c r="F82" s="509" t="s">
        <v>33</v>
      </c>
      <c r="G82" s="49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2" s="510" t="e">
        <f>VLOOKUP(BUReporting[[#This Row],[Program]],'Program MW '!$A$35:$S$46,3,FALSE)</f>
        <v>#N/A</v>
      </c>
    </row>
    <row r="83" spans="1:8" ht="16.5" thickTop="1" thickBot="1">
      <c r="A83" s="499">
        <v>3</v>
      </c>
      <c r="B83" s="497" t="s">
        <v>14</v>
      </c>
      <c r="C83" s="512"/>
      <c r="D83" s="497" t="s">
        <v>9</v>
      </c>
      <c r="E83" s="500">
        <v>7</v>
      </c>
      <c r="F83" s="509" t="s">
        <v>33</v>
      </c>
      <c r="G83" s="49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3" s="510" t="e">
        <f>VLOOKUP(BUReporting[[#This Row],[Program]],'Program MW '!$A$35:$S$46,3,FALSE)</f>
        <v>#N/A</v>
      </c>
    </row>
    <row r="84" spans="1:8" ht="16.5" thickTop="1" thickBot="1">
      <c r="A84" s="499">
        <v>4</v>
      </c>
      <c r="B84" s="497" t="s">
        <v>15</v>
      </c>
      <c r="C84" s="512" t="s">
        <v>16</v>
      </c>
      <c r="D84" s="497" t="s">
        <v>9</v>
      </c>
      <c r="E84" s="500">
        <v>7</v>
      </c>
      <c r="F84" s="509" t="s">
        <v>33</v>
      </c>
      <c r="G84" s="498" t="e">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#N/A</v>
      </c>
      <c r="H84" s="510" t="e">
        <f>VLOOKUP(BUReporting[[#This Row],[Program]],'Program MW '!$A$35:$S$46,3,FALSE)</f>
        <v>#N/A</v>
      </c>
    </row>
    <row r="85" spans="1:8" ht="16.5" thickTop="1" thickBot="1">
      <c r="A85" s="499">
        <v>5</v>
      </c>
      <c r="B85" s="497" t="s">
        <v>17</v>
      </c>
      <c r="C85" s="512" t="s">
        <v>18</v>
      </c>
      <c r="D85" s="497" t="s">
        <v>19</v>
      </c>
      <c r="E85" s="500">
        <v>7</v>
      </c>
      <c r="F85" s="509" t="s">
        <v>33</v>
      </c>
      <c r="G85"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5" s="510">
        <f>VLOOKUP(BUReporting[[#This Row],[Program]],'Program MW '!$A$35:$S$46,3,FALSE)</f>
        <v>0</v>
      </c>
    </row>
    <row r="86" spans="1:8" ht="16.5" thickTop="1" thickBot="1">
      <c r="A86" s="499">
        <v>6</v>
      </c>
      <c r="B86" s="497" t="s">
        <v>20</v>
      </c>
      <c r="C86" s="512" t="s">
        <v>18</v>
      </c>
      <c r="D86" s="497" t="s">
        <v>9</v>
      </c>
      <c r="E86" s="500">
        <v>7</v>
      </c>
      <c r="F86" s="509" t="s">
        <v>33</v>
      </c>
      <c r="G86"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6" s="510">
        <f>VLOOKUP(BUReporting[[#This Row],[Program]],'Program MW '!$A$35:$S$46,3,FALSE)</f>
        <v>0</v>
      </c>
    </row>
    <row r="87" spans="1:8" ht="16.5" thickTop="1" thickBot="1">
      <c r="A87" s="499">
        <v>7</v>
      </c>
      <c r="B87" s="497" t="s">
        <v>21</v>
      </c>
      <c r="C87" s="512" t="s">
        <v>22</v>
      </c>
      <c r="D87" s="497" t="s">
        <v>19</v>
      </c>
      <c r="E87" s="500">
        <v>7</v>
      </c>
      <c r="F87" s="509" t="s">
        <v>33</v>
      </c>
      <c r="G87"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7" s="510">
        <f>VLOOKUP(BUReporting[[#This Row],[Program]],'Program MW '!$A$35:$S$46,3,FALSE)</f>
        <v>0</v>
      </c>
    </row>
    <row r="88" spans="1:8" ht="16.5" thickTop="1" thickBot="1">
      <c r="A88" s="499">
        <v>8</v>
      </c>
      <c r="B88" s="497" t="s">
        <v>23</v>
      </c>
      <c r="C88" s="512" t="s">
        <v>22</v>
      </c>
      <c r="D88" s="497" t="s">
        <v>9</v>
      </c>
      <c r="E88" s="500">
        <v>7</v>
      </c>
      <c r="F88" s="509" t="s">
        <v>33</v>
      </c>
      <c r="G88"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8" s="510">
        <f>VLOOKUP(BUReporting[[#This Row],[Program]],'Program MW '!$A$35:$S$46,3,FALSE)</f>
        <v>0</v>
      </c>
    </row>
    <row r="89" spans="1:8" ht="16.5" thickTop="1" thickBot="1">
      <c r="A89" s="499">
        <v>9</v>
      </c>
      <c r="B89" s="497" t="s">
        <v>24</v>
      </c>
      <c r="C89" s="512"/>
      <c r="D89" s="497" t="s">
        <v>9</v>
      </c>
      <c r="E89" s="500">
        <v>7</v>
      </c>
      <c r="F89" s="509" t="s">
        <v>33</v>
      </c>
      <c r="G89"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89" s="510">
        <f>VLOOKUP(BUReporting[[#This Row],[Program]],'Program MW '!$A$35:$S$46,3,FALSE)</f>
        <v>0</v>
      </c>
    </row>
    <row r="90" spans="1:8" ht="16.5" thickTop="1" thickBot="1">
      <c r="A90" s="499">
        <v>10</v>
      </c>
      <c r="B90" s="497" t="s">
        <v>25</v>
      </c>
      <c r="C90" s="512"/>
      <c r="D90" s="497" t="s">
        <v>9</v>
      </c>
      <c r="E90" s="500">
        <v>7</v>
      </c>
      <c r="F90" s="509" t="s">
        <v>33</v>
      </c>
      <c r="G90"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0" s="510">
        <f>VLOOKUP(BUReporting[[#This Row],[Program]],'Program MW '!$A$35:$S$46,3,FALSE)</f>
        <v>0</v>
      </c>
    </row>
    <row r="91" spans="1:8" ht="16.5" thickTop="1" thickBot="1">
      <c r="A91" s="499">
        <v>11</v>
      </c>
      <c r="B91" s="497" t="s">
        <v>26</v>
      </c>
      <c r="C91" s="512"/>
      <c r="D91" s="497" t="s">
        <v>9</v>
      </c>
      <c r="E91" s="500">
        <v>7</v>
      </c>
      <c r="F91" s="509" t="s">
        <v>33</v>
      </c>
      <c r="G91"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1" s="510">
        <f>VLOOKUP(BUReporting[[#This Row],[Program]],'Program MW '!$A$35:$S$46,3,FALSE)</f>
        <v>0</v>
      </c>
    </row>
    <row r="92" spans="1:8" ht="14.25" thickTop="1" thickBot="1">
      <c r="A92" s="499">
        <v>12</v>
      </c>
      <c r="B92" s="497" t="s">
        <v>27</v>
      </c>
      <c r="C92" s="496"/>
      <c r="D92" s="497" t="s">
        <v>19</v>
      </c>
      <c r="E92" s="500">
        <v>7</v>
      </c>
      <c r="F92" s="509" t="s">
        <v>33</v>
      </c>
      <c r="G92" s="498">
        <f>IF(OR(BUReporting[[#This Row],[Period]]=1,OR(BUReporting[[#This Row],[Period]]=2,OR(BUReporting[[#This Row],[Period]]=3,OR(BUReporting[[#This Row],[Period]]=4,OR(BUReporting[[#This Row],[Period]]=5,BUReporting[[#This Row],[Period]]=6))))),VLOOKUP(BUReporting[[#This Row],[Program]],'Program MW '!$A$12:$S$23,2,FALSE),VLOOKUP(BUReporting[[#This Row],[Program]],'Program MW '!$A$35:$S$46,2,FALSE))</f>
        <v>0</v>
      </c>
      <c r="H92" s="510">
        <f>VLOOKUP(BUReporting[[#This Row],[Program]],'Program MW '!$A$35:$S$46,3,FALSE)</f>
        <v>0</v>
      </c>
    </row>
    <row r="93" spans="1:8" ht="16.5" thickTop="1" thickBot="1">
      <c r="A93" s="511">
        <v>0</v>
      </c>
      <c r="B93" s="89" t="s">
        <v>8</v>
      </c>
      <c r="C93" s="512"/>
      <c r="D93" s="502" t="s">
        <v>9</v>
      </c>
      <c r="E93" s="507">
        <v>8</v>
      </c>
      <c r="F93" s="508" t="s">
        <v>34</v>
      </c>
      <c r="G93" s="498">
        <f>IF(OR(BUReporting[[#This Row],[Period]]=1,OR(BUReporting[[#This Row],[Period]]=2,OR(BUReporting[[#This Row],[Period]]=2,OR(BUReporting[[#This Row],[Period]]=4,OR(BUReporting[[#This Row],[Period]]=5,BUReporting[[#This Row],[Period]]=6))))),VLOOKUP(BUReporting[[#This Row],[Program]],'Program MW '!$A$9:$S$9,5,FALSE),VLOOKUP(BUReporting[[#This Row],[Program]],'Program MW '!$A$32:$S$32,5,FALSE))</f>
        <v>0</v>
      </c>
      <c r="H93" s="510">
        <f>IF(OR(BUReporting[[#This Row],[Period]]=1,OR(BUReporting[[#This Row],[Period]]=2,OR(BUReporting[[#This Row],[Period]]=3,OR(BUReporting[[#This Row],[Period]]=4,OR(BUReporting[[#This Row],[Period]]=5,BUReporting[[#This Row],[Period]]=6))))),VLOOKUP(BUReporting[[#This Row],[Program]],'Program MW '!$A$9:$S$9,6,FALSE),VLOOKUP(BUReporting[[#This Row],[Program]],'Program MW '!$A$32:$S$32,6,FALSE))</f>
        <v>0</v>
      </c>
    </row>
    <row r="94" spans="1:8" ht="16.5" thickTop="1" thickBot="1">
      <c r="A94" s="499">
        <v>1</v>
      </c>
      <c r="B94" s="497" t="s">
        <v>11</v>
      </c>
      <c r="C94" s="512"/>
      <c r="D94" s="497" t="s">
        <v>9</v>
      </c>
      <c r="E94" s="500">
        <v>8</v>
      </c>
      <c r="F94" s="509" t="s">
        <v>34</v>
      </c>
      <c r="G94"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4" s="510">
        <f>VLOOKUP(BUReporting[[#This Row],[Program]],'Program MW '!$A$35:$S$46,6,FALSE)</f>
        <v>0</v>
      </c>
    </row>
    <row r="95" spans="1:8" ht="16.5" thickTop="1" thickBot="1">
      <c r="A95" s="499">
        <v>2</v>
      </c>
      <c r="B95" s="497" t="s">
        <v>12</v>
      </c>
      <c r="C95" s="512" t="s">
        <v>13</v>
      </c>
      <c r="D95" s="497" t="s">
        <v>9</v>
      </c>
      <c r="E95" s="500">
        <v>8</v>
      </c>
      <c r="F95" s="509" t="s">
        <v>34</v>
      </c>
      <c r="G95" s="49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5" s="510" t="e">
        <f>VLOOKUP(BUReporting[[#This Row],[Program]],'Program MW '!$A$35:$S$46,6,FALSE)</f>
        <v>#N/A</v>
      </c>
    </row>
    <row r="96" spans="1:8" ht="16.5" thickTop="1" thickBot="1">
      <c r="A96" s="499">
        <v>3</v>
      </c>
      <c r="B96" s="497" t="s">
        <v>14</v>
      </c>
      <c r="C96" s="512"/>
      <c r="D96" s="497" t="s">
        <v>9</v>
      </c>
      <c r="E96" s="500">
        <v>8</v>
      </c>
      <c r="F96" s="509" t="s">
        <v>34</v>
      </c>
      <c r="G96" s="49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6" s="510" t="e">
        <f>VLOOKUP(BUReporting[[#This Row],[Program]],'Program MW '!$A$35:$S$46,6,FALSE)</f>
        <v>#N/A</v>
      </c>
    </row>
    <row r="97" spans="1:8" ht="16.5" thickTop="1" thickBot="1">
      <c r="A97" s="499">
        <v>4</v>
      </c>
      <c r="B97" s="497" t="s">
        <v>15</v>
      </c>
      <c r="C97" s="512" t="s">
        <v>16</v>
      </c>
      <c r="D97" s="497" t="s">
        <v>9</v>
      </c>
      <c r="E97" s="500">
        <v>8</v>
      </c>
      <c r="F97" s="509" t="s">
        <v>34</v>
      </c>
      <c r="G97" s="498" t="e">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#N/A</v>
      </c>
      <c r="H97" s="510" t="e">
        <f>VLOOKUP(BUReporting[[#This Row],[Program]],'Program MW '!$A$35:$S$46,6,FALSE)</f>
        <v>#N/A</v>
      </c>
    </row>
    <row r="98" spans="1:8" ht="16.5" thickTop="1" thickBot="1">
      <c r="A98" s="499">
        <v>5</v>
      </c>
      <c r="B98" s="497" t="s">
        <v>17</v>
      </c>
      <c r="C98" s="512" t="s">
        <v>18</v>
      </c>
      <c r="D98" s="497" t="s">
        <v>19</v>
      </c>
      <c r="E98" s="500">
        <v>8</v>
      </c>
      <c r="F98" s="509" t="s">
        <v>34</v>
      </c>
      <c r="G98"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8" s="510">
        <f>VLOOKUP(BUReporting[[#This Row],[Program]],'Program MW '!$A$35:$S$46,6,FALSE)</f>
        <v>0</v>
      </c>
    </row>
    <row r="99" spans="1:8" ht="16.5" thickTop="1" thickBot="1">
      <c r="A99" s="499">
        <v>6</v>
      </c>
      <c r="B99" s="497" t="s">
        <v>20</v>
      </c>
      <c r="C99" s="512" t="s">
        <v>18</v>
      </c>
      <c r="D99" s="497" t="s">
        <v>9</v>
      </c>
      <c r="E99" s="500">
        <v>8</v>
      </c>
      <c r="F99" s="509" t="s">
        <v>34</v>
      </c>
      <c r="G99"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99" s="510">
        <f>VLOOKUP(BUReporting[[#This Row],[Program]],'Program MW '!$A$35:$S$46,6,FALSE)</f>
        <v>0</v>
      </c>
    </row>
    <row r="100" spans="1:8" ht="16.5" thickTop="1" thickBot="1">
      <c r="A100" s="499">
        <v>7</v>
      </c>
      <c r="B100" s="497" t="s">
        <v>21</v>
      </c>
      <c r="C100" s="512" t="s">
        <v>22</v>
      </c>
      <c r="D100" s="497" t="s">
        <v>19</v>
      </c>
      <c r="E100" s="500">
        <v>8</v>
      </c>
      <c r="F100" s="509" t="s">
        <v>34</v>
      </c>
      <c r="G100"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0" s="510">
        <f>VLOOKUP(BUReporting[[#This Row],[Program]],'Program MW '!$A$35:$S$46,6,FALSE)</f>
        <v>0</v>
      </c>
    </row>
    <row r="101" spans="1:8" ht="16.5" thickTop="1" thickBot="1">
      <c r="A101" s="499">
        <v>8</v>
      </c>
      <c r="B101" s="497" t="s">
        <v>23</v>
      </c>
      <c r="C101" s="512" t="s">
        <v>22</v>
      </c>
      <c r="D101" s="497" t="s">
        <v>9</v>
      </c>
      <c r="E101" s="500">
        <v>8</v>
      </c>
      <c r="F101" s="509" t="s">
        <v>34</v>
      </c>
      <c r="G101"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1" s="510">
        <f>VLOOKUP(BUReporting[[#This Row],[Program]],'Program MW '!$A$35:$S$46,6,FALSE)</f>
        <v>0</v>
      </c>
    </row>
    <row r="102" spans="1:8" ht="16.5" thickTop="1" thickBot="1">
      <c r="A102" s="499">
        <v>9</v>
      </c>
      <c r="B102" s="497" t="s">
        <v>24</v>
      </c>
      <c r="C102" s="512"/>
      <c r="D102" s="497" t="s">
        <v>9</v>
      </c>
      <c r="E102" s="500">
        <v>8</v>
      </c>
      <c r="F102" s="509" t="s">
        <v>34</v>
      </c>
      <c r="G102"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2" s="510">
        <f>VLOOKUP(BUReporting[[#This Row],[Program]],'Program MW '!$A$35:$S$46,6,FALSE)</f>
        <v>0</v>
      </c>
    </row>
    <row r="103" spans="1:8" ht="16.5" thickTop="1" thickBot="1">
      <c r="A103" s="499">
        <v>10</v>
      </c>
      <c r="B103" s="497" t="s">
        <v>25</v>
      </c>
      <c r="C103" s="512"/>
      <c r="D103" s="497" t="s">
        <v>9</v>
      </c>
      <c r="E103" s="500">
        <v>8</v>
      </c>
      <c r="F103" s="509" t="s">
        <v>34</v>
      </c>
      <c r="G103"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3" s="510">
        <f>VLOOKUP(BUReporting[[#This Row],[Program]],'Program MW '!$A$35:$S$46,6,FALSE)</f>
        <v>0</v>
      </c>
    </row>
    <row r="104" spans="1:8" ht="16.5" thickTop="1" thickBot="1">
      <c r="A104" s="499">
        <v>11</v>
      </c>
      <c r="B104" s="497" t="s">
        <v>26</v>
      </c>
      <c r="C104" s="512"/>
      <c r="D104" s="497" t="s">
        <v>9</v>
      </c>
      <c r="E104" s="500">
        <v>8</v>
      </c>
      <c r="F104" s="509" t="s">
        <v>34</v>
      </c>
      <c r="G104"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4" s="510">
        <f>VLOOKUP(BUReporting[[#This Row],[Program]],'Program MW '!$A$35:$S$46,6,FALSE)</f>
        <v>0</v>
      </c>
    </row>
    <row r="105" spans="1:8" ht="14.25" thickTop="1" thickBot="1">
      <c r="A105" s="499">
        <v>12</v>
      </c>
      <c r="B105" s="497" t="s">
        <v>27</v>
      </c>
      <c r="C105" s="496"/>
      <c r="D105" s="497" t="s">
        <v>19</v>
      </c>
      <c r="E105" s="500">
        <v>8</v>
      </c>
      <c r="F105" s="509" t="s">
        <v>34</v>
      </c>
      <c r="G105" s="498">
        <f>IF(OR(BUReporting[[#This Row],[Period]]=1,OR(BUReporting[[#This Row],[Period]]=2,OR(BUReporting[[#This Row],[Period]]=3,OR(BUReporting[[#This Row],[Period]]=4,OR(BUReporting[[#This Row],[Period]]=5,BUReporting[[#This Row],[Period]]=6))))),VLOOKUP(BUReporting[[#This Row],[Program]],'Program MW '!$A$12:$S$23,5,FALSE),VLOOKUP(BUReporting[[#This Row],[Program]],'Program MW '!$A$35:$S$46,5,FALSE))</f>
        <v>0</v>
      </c>
      <c r="H105" s="510">
        <f>VLOOKUP(BUReporting[[#This Row],[Program]],'Program MW '!$A$35:$S$46,6,FALSE)</f>
        <v>0</v>
      </c>
    </row>
    <row r="106" spans="1:8" ht="16.5" thickTop="1" thickBot="1">
      <c r="A106" s="511">
        <v>0</v>
      </c>
      <c r="B106" s="89" t="s">
        <v>8</v>
      </c>
      <c r="C106" s="512"/>
      <c r="D106" s="502" t="s">
        <v>9</v>
      </c>
      <c r="E106" s="507">
        <v>9</v>
      </c>
      <c r="F106" s="508" t="s">
        <v>35</v>
      </c>
      <c r="G106" s="498">
        <f>IF(OR(BUReporting[[#This Row],[Period]]=1,OR(BUReporting[[#This Row],[Period]]=2,OR(BUReporting[[#This Row],[Period]]=2,OR(BUReporting[[#This Row],[Period]]=4,OR(BUReporting[[#This Row],[Period]]=5,BUReporting[[#This Row],[Period]]=6))))),VLOOKUP(BUReporting[[#This Row],[Program]],'Program MW '!$A$9:$S$9,8,FALSE),VLOOKUP(BUReporting[[#This Row],[Program]],'Program MW '!$A$32:$S$32,8,FALSE))</f>
        <v>0</v>
      </c>
      <c r="H106" s="510">
        <f>IF(OR(BUReporting[[#This Row],[Period]]=1,OR(BUReporting[[#This Row],[Period]]=2,OR(BUReporting[[#This Row],[Period]]=3,OR(BUReporting[[#This Row],[Period]]=4,OR(BUReporting[[#This Row],[Period]]=5,BUReporting[[#This Row],[Period]]=6))))),VLOOKUP(BUReporting[[#This Row],[Program]],'Program MW '!$A$9:$S$9,9,FALSE),VLOOKUP(BUReporting[[#This Row],[Program]],'Program MW '!$A$32:$S$32,9,FALSE))</f>
        <v>0</v>
      </c>
    </row>
    <row r="107" spans="1:8" ht="16.5" thickTop="1" thickBot="1">
      <c r="A107" s="499">
        <v>1</v>
      </c>
      <c r="B107" s="497" t="s">
        <v>11</v>
      </c>
      <c r="C107" s="512"/>
      <c r="D107" s="497" t="s">
        <v>9</v>
      </c>
      <c r="E107" s="500">
        <v>9</v>
      </c>
      <c r="F107" s="509" t="s">
        <v>35</v>
      </c>
      <c r="G107"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07" s="510">
        <f>VLOOKUP(BUReporting[[#This Row],[Program]],'Program MW '!$A$35:$S$46,9,FALSE)</f>
        <v>0</v>
      </c>
    </row>
    <row r="108" spans="1:8" ht="16.5" thickTop="1" thickBot="1">
      <c r="A108" s="499">
        <v>2</v>
      </c>
      <c r="B108" s="497" t="s">
        <v>12</v>
      </c>
      <c r="C108" s="512" t="s">
        <v>13</v>
      </c>
      <c r="D108" s="497" t="s">
        <v>9</v>
      </c>
      <c r="E108" s="500">
        <v>9</v>
      </c>
      <c r="F108" s="509" t="s">
        <v>35</v>
      </c>
      <c r="G108"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8" s="510" t="e">
        <f>VLOOKUP(BUReporting[[#This Row],[Program]],'Program MW '!$A$35:$S$46,9,FALSE)</f>
        <v>#N/A</v>
      </c>
    </row>
    <row r="109" spans="1:8" ht="16.5" thickTop="1" thickBot="1">
      <c r="A109" s="499">
        <v>3</v>
      </c>
      <c r="B109" s="497" t="s">
        <v>14</v>
      </c>
      <c r="C109" s="512"/>
      <c r="D109" s="497" t="s">
        <v>9</v>
      </c>
      <c r="E109" s="500">
        <v>9</v>
      </c>
      <c r="F109" s="509" t="s">
        <v>35</v>
      </c>
      <c r="G109"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09" s="510" t="e">
        <f>VLOOKUP(BUReporting[[#This Row],[Program]],'Program MW '!$A$35:$S$46,9,FALSE)</f>
        <v>#N/A</v>
      </c>
    </row>
    <row r="110" spans="1:8" ht="16.5" thickTop="1" thickBot="1">
      <c r="A110" s="499">
        <v>4</v>
      </c>
      <c r="B110" s="497" t="s">
        <v>15</v>
      </c>
      <c r="C110" s="512" t="s">
        <v>16</v>
      </c>
      <c r="D110" s="497" t="s">
        <v>9</v>
      </c>
      <c r="E110" s="500">
        <v>9</v>
      </c>
      <c r="F110" s="509" t="s">
        <v>35</v>
      </c>
      <c r="G110" s="498" t="e">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#N/A</v>
      </c>
      <c r="H110" s="510" t="e">
        <f>VLOOKUP(BUReporting[[#This Row],[Program]],'Program MW '!$A$35:$S$46,9,FALSE)</f>
        <v>#N/A</v>
      </c>
    </row>
    <row r="111" spans="1:8" ht="16.5" thickTop="1" thickBot="1">
      <c r="A111" s="499">
        <v>5</v>
      </c>
      <c r="B111" s="497" t="s">
        <v>17</v>
      </c>
      <c r="C111" s="512" t="s">
        <v>18</v>
      </c>
      <c r="D111" s="497" t="s">
        <v>19</v>
      </c>
      <c r="E111" s="500">
        <v>9</v>
      </c>
      <c r="F111" s="509" t="s">
        <v>35</v>
      </c>
      <c r="G111"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1" s="510">
        <f>VLOOKUP(BUReporting[[#This Row],[Program]],'Program MW '!$A$35:$S$46,9,FALSE)</f>
        <v>0</v>
      </c>
    </row>
    <row r="112" spans="1:8" ht="16.5" thickTop="1" thickBot="1">
      <c r="A112" s="499">
        <v>6</v>
      </c>
      <c r="B112" s="497" t="s">
        <v>20</v>
      </c>
      <c r="C112" s="512" t="s">
        <v>18</v>
      </c>
      <c r="D112" s="497" t="s">
        <v>9</v>
      </c>
      <c r="E112" s="500">
        <v>9</v>
      </c>
      <c r="F112" s="509" t="s">
        <v>35</v>
      </c>
      <c r="G112"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2" s="510">
        <f>VLOOKUP(BUReporting[[#This Row],[Program]],'Program MW '!$A$35:$S$46,9,FALSE)</f>
        <v>0</v>
      </c>
    </row>
    <row r="113" spans="1:8" ht="16.5" thickTop="1" thickBot="1">
      <c r="A113" s="499">
        <v>7</v>
      </c>
      <c r="B113" s="497" t="s">
        <v>21</v>
      </c>
      <c r="C113" s="512" t="s">
        <v>22</v>
      </c>
      <c r="D113" s="497" t="s">
        <v>19</v>
      </c>
      <c r="E113" s="500">
        <v>9</v>
      </c>
      <c r="F113" s="509" t="s">
        <v>35</v>
      </c>
      <c r="G113"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3" s="510">
        <f>VLOOKUP(BUReporting[[#This Row],[Program]],'Program MW '!$A$35:$S$46,9,FALSE)</f>
        <v>0</v>
      </c>
    </row>
    <row r="114" spans="1:8" ht="16.5" thickTop="1" thickBot="1">
      <c r="A114" s="499">
        <v>8</v>
      </c>
      <c r="B114" s="497" t="s">
        <v>23</v>
      </c>
      <c r="C114" s="512" t="s">
        <v>22</v>
      </c>
      <c r="D114" s="497" t="s">
        <v>9</v>
      </c>
      <c r="E114" s="500">
        <v>9</v>
      </c>
      <c r="F114" s="509" t="s">
        <v>35</v>
      </c>
      <c r="G114"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4" s="510">
        <f>VLOOKUP(BUReporting[[#This Row],[Program]],'Program MW '!$A$35:$S$46,9,FALSE)</f>
        <v>0</v>
      </c>
    </row>
    <row r="115" spans="1:8" ht="16.5" thickTop="1" thickBot="1">
      <c r="A115" s="499">
        <v>9</v>
      </c>
      <c r="B115" s="497" t="s">
        <v>24</v>
      </c>
      <c r="C115" s="512"/>
      <c r="D115" s="497" t="s">
        <v>9</v>
      </c>
      <c r="E115" s="500">
        <v>9</v>
      </c>
      <c r="F115" s="509" t="s">
        <v>35</v>
      </c>
      <c r="G115"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5" s="510">
        <f>VLOOKUP(BUReporting[[#This Row],[Program]],'Program MW '!$A$35:$S$46,9,FALSE)</f>
        <v>0</v>
      </c>
    </row>
    <row r="116" spans="1:8" ht="16.5" thickTop="1" thickBot="1">
      <c r="A116" s="499">
        <v>10</v>
      </c>
      <c r="B116" s="497" t="s">
        <v>25</v>
      </c>
      <c r="C116" s="512"/>
      <c r="D116" s="497" t="s">
        <v>9</v>
      </c>
      <c r="E116" s="500">
        <v>9</v>
      </c>
      <c r="F116" s="509" t="s">
        <v>35</v>
      </c>
      <c r="G116"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6" s="510">
        <f>VLOOKUP(BUReporting[[#This Row],[Program]],'Program MW '!$A$35:$S$46,9,FALSE)</f>
        <v>0</v>
      </c>
    </row>
    <row r="117" spans="1:8" ht="16.5" thickTop="1" thickBot="1">
      <c r="A117" s="499">
        <v>11</v>
      </c>
      <c r="B117" s="497" t="s">
        <v>26</v>
      </c>
      <c r="C117" s="512"/>
      <c r="D117" s="497" t="s">
        <v>9</v>
      </c>
      <c r="E117" s="500">
        <v>9</v>
      </c>
      <c r="F117" s="509" t="s">
        <v>35</v>
      </c>
      <c r="G117"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7" s="510">
        <f>VLOOKUP(BUReporting[[#This Row],[Program]],'Program MW '!$A$35:$S$46,9,FALSE)</f>
        <v>0</v>
      </c>
    </row>
    <row r="118" spans="1:8" ht="14.25" thickTop="1" thickBot="1">
      <c r="A118" s="499">
        <v>12</v>
      </c>
      <c r="B118" s="497" t="s">
        <v>27</v>
      </c>
      <c r="C118" s="496"/>
      <c r="D118" s="497" t="s">
        <v>19</v>
      </c>
      <c r="E118" s="500">
        <v>9</v>
      </c>
      <c r="F118" s="509" t="s">
        <v>35</v>
      </c>
      <c r="G118" s="498">
        <f>IF(OR(BUReporting[[#This Row],[Period]]=1,OR(BUReporting[[#This Row],[Period]]=2,OR(BUReporting[[#This Row],[Period]]=3,OR(BUReporting[[#This Row],[Period]]=4,OR(BUReporting[[#This Row],[Period]]=5,BUReporting[[#This Row],[Period]]=6))))),VLOOKUP(BUReporting[[#This Row],[Program]],'Program MW '!$A$12:$S$23,8,FALSE),VLOOKUP(BUReporting[[#This Row],[Program]],'Program MW '!$A$35:$S$46,8,FALSE))</f>
        <v>0</v>
      </c>
      <c r="H118" s="510">
        <f>VLOOKUP(BUReporting[[#This Row],[Program]],'Program MW '!$A$35:$S$46,9,FALSE)</f>
        <v>0</v>
      </c>
    </row>
    <row r="119" spans="1:8" ht="16.5" thickTop="1" thickBot="1">
      <c r="A119" s="511">
        <v>0</v>
      </c>
      <c r="B119" s="89" t="s">
        <v>8</v>
      </c>
      <c r="C119" s="512"/>
      <c r="D119" s="502" t="s">
        <v>9</v>
      </c>
      <c r="E119" s="507">
        <v>10</v>
      </c>
      <c r="F119" s="508" t="s">
        <v>36</v>
      </c>
      <c r="G119" s="498">
        <f>IF(OR(BUReporting[[#This Row],[Period]]=1,OR(BUReporting[[#This Row],[Period]]=2,OR(BUReporting[[#This Row],[Period]]=2,OR(BUReporting[[#This Row],[Period]]=4,OR(BUReporting[[#This Row],[Period]]=5,BUReporting[[#This Row],[Period]]=6))))),VLOOKUP(BUReporting[[#This Row],[Program]],'Program MW '!$A$9:$S$9,11,FALSE),VLOOKUP(BUReporting[[#This Row],[Program]],'Program MW '!$A$32:$S$32,11,FALSE))</f>
        <v>0</v>
      </c>
      <c r="H119" s="510">
        <f>IF(OR(BUReporting[[#This Row],[Period]]=1,OR(BUReporting[[#This Row],[Period]]=2,OR(BUReporting[[#This Row],[Period]]=3,OR(BUReporting[[#This Row],[Period]]=4,OR(BUReporting[[#This Row],[Period]]=5,BUReporting[[#This Row],[Period]]=6))))),VLOOKUP(BUReporting[[#This Row],[Program]],'Program MW '!$A$9:$S$9,12,FALSE),VLOOKUP(BUReporting[[#This Row],[Program]],'Program MW '!$A$32:$S$32,12,FALSE))</f>
        <v>0</v>
      </c>
    </row>
    <row r="120" spans="1:8" ht="16.5" thickTop="1" thickBot="1">
      <c r="A120" s="499">
        <v>1</v>
      </c>
      <c r="B120" s="497" t="s">
        <v>11</v>
      </c>
      <c r="C120" s="512"/>
      <c r="D120" s="497" t="s">
        <v>9</v>
      </c>
      <c r="E120" s="500">
        <v>10</v>
      </c>
      <c r="F120" s="509" t="s">
        <v>36</v>
      </c>
      <c r="G120"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0" s="510">
        <f>VLOOKUP(BUReporting[[#This Row],[Program]],'Program MW '!$A$35:$S$46,12,FALSE)</f>
        <v>0</v>
      </c>
    </row>
    <row r="121" spans="1:8" ht="16.5" thickTop="1" thickBot="1">
      <c r="A121" s="499">
        <v>2</v>
      </c>
      <c r="B121" s="497" t="s">
        <v>12</v>
      </c>
      <c r="C121" s="512" t="s">
        <v>13</v>
      </c>
      <c r="D121" s="497" t="s">
        <v>9</v>
      </c>
      <c r="E121" s="500">
        <v>10</v>
      </c>
      <c r="F121" s="509" t="s">
        <v>36</v>
      </c>
      <c r="G121"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1" s="510" t="e">
        <f>VLOOKUP(BUReporting[[#This Row],[Program]],'Program MW '!$A$35:$S$46,12,FALSE)</f>
        <v>#N/A</v>
      </c>
    </row>
    <row r="122" spans="1:8" ht="16.5" thickTop="1" thickBot="1">
      <c r="A122" s="499">
        <v>3</v>
      </c>
      <c r="B122" s="497" t="s">
        <v>14</v>
      </c>
      <c r="C122" s="512"/>
      <c r="D122" s="497" t="s">
        <v>9</v>
      </c>
      <c r="E122" s="500">
        <v>10</v>
      </c>
      <c r="F122" s="509" t="s">
        <v>36</v>
      </c>
      <c r="G122"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2" s="510" t="e">
        <f>VLOOKUP(BUReporting[[#This Row],[Program]],'Program MW '!$A$35:$S$46,12,FALSE)</f>
        <v>#N/A</v>
      </c>
    </row>
    <row r="123" spans="1:8" ht="16.5" thickTop="1" thickBot="1">
      <c r="A123" s="499">
        <v>4</v>
      </c>
      <c r="B123" s="497" t="s">
        <v>15</v>
      </c>
      <c r="C123" s="512" t="s">
        <v>16</v>
      </c>
      <c r="D123" s="497" t="s">
        <v>9</v>
      </c>
      <c r="E123" s="500">
        <v>10</v>
      </c>
      <c r="F123" s="509" t="s">
        <v>36</v>
      </c>
      <c r="G123" s="498" t="e">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#N/A</v>
      </c>
      <c r="H123" s="510" t="e">
        <f>VLOOKUP(BUReporting[[#This Row],[Program]],'Program MW '!$A$35:$S$46,12,FALSE)</f>
        <v>#N/A</v>
      </c>
    </row>
    <row r="124" spans="1:8" ht="16.5" thickTop="1" thickBot="1">
      <c r="A124" s="499">
        <v>5</v>
      </c>
      <c r="B124" s="497" t="s">
        <v>17</v>
      </c>
      <c r="C124" s="512" t="s">
        <v>18</v>
      </c>
      <c r="D124" s="497" t="s">
        <v>19</v>
      </c>
      <c r="E124" s="500">
        <v>10</v>
      </c>
      <c r="F124" s="509" t="s">
        <v>36</v>
      </c>
      <c r="G124"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4" s="510">
        <f>VLOOKUP(BUReporting[[#This Row],[Program]],'Program MW '!$A$35:$S$46,12,FALSE)</f>
        <v>0</v>
      </c>
    </row>
    <row r="125" spans="1:8" ht="16.5" thickTop="1" thickBot="1">
      <c r="A125" s="499">
        <v>6</v>
      </c>
      <c r="B125" s="497" t="s">
        <v>20</v>
      </c>
      <c r="C125" s="512" t="s">
        <v>18</v>
      </c>
      <c r="D125" s="497" t="s">
        <v>9</v>
      </c>
      <c r="E125" s="500">
        <v>10</v>
      </c>
      <c r="F125" s="509" t="s">
        <v>36</v>
      </c>
      <c r="G125"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5" s="510">
        <f>VLOOKUP(BUReporting[[#This Row],[Program]],'Program MW '!$A$35:$S$46,12,FALSE)</f>
        <v>0</v>
      </c>
    </row>
    <row r="126" spans="1:8" ht="16.5" thickTop="1" thickBot="1">
      <c r="A126" s="499">
        <v>7</v>
      </c>
      <c r="B126" s="497" t="s">
        <v>21</v>
      </c>
      <c r="C126" s="512" t="s">
        <v>22</v>
      </c>
      <c r="D126" s="497" t="s">
        <v>19</v>
      </c>
      <c r="E126" s="500">
        <v>10</v>
      </c>
      <c r="F126" s="509" t="s">
        <v>36</v>
      </c>
      <c r="G126"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6" s="510">
        <f>VLOOKUP(BUReporting[[#This Row],[Program]],'Program MW '!$A$35:$S$46,12,FALSE)</f>
        <v>0</v>
      </c>
    </row>
    <row r="127" spans="1:8" ht="16.5" thickTop="1" thickBot="1">
      <c r="A127" s="499">
        <v>8</v>
      </c>
      <c r="B127" s="497" t="s">
        <v>23</v>
      </c>
      <c r="C127" s="512" t="s">
        <v>22</v>
      </c>
      <c r="D127" s="497" t="s">
        <v>9</v>
      </c>
      <c r="E127" s="500">
        <v>10</v>
      </c>
      <c r="F127" s="509" t="s">
        <v>36</v>
      </c>
      <c r="G127"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7" s="510">
        <f>VLOOKUP(BUReporting[[#This Row],[Program]],'Program MW '!$A$35:$S$46,12,FALSE)</f>
        <v>0</v>
      </c>
    </row>
    <row r="128" spans="1:8" ht="16.5" thickTop="1" thickBot="1">
      <c r="A128" s="499">
        <v>9</v>
      </c>
      <c r="B128" s="497" t="s">
        <v>24</v>
      </c>
      <c r="C128" s="512"/>
      <c r="D128" s="497" t="s">
        <v>9</v>
      </c>
      <c r="E128" s="500">
        <v>10</v>
      </c>
      <c r="F128" s="509" t="s">
        <v>36</v>
      </c>
      <c r="G128"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8" s="510">
        <f>VLOOKUP(BUReporting[[#This Row],[Program]],'Program MW '!$A$35:$S$46,12,FALSE)</f>
        <v>0</v>
      </c>
    </row>
    <row r="129" spans="1:8" ht="16.5" thickTop="1" thickBot="1">
      <c r="A129" s="499">
        <v>10</v>
      </c>
      <c r="B129" s="497" t="s">
        <v>25</v>
      </c>
      <c r="C129" s="512"/>
      <c r="D129" s="497" t="s">
        <v>9</v>
      </c>
      <c r="E129" s="500">
        <v>10</v>
      </c>
      <c r="F129" s="509" t="s">
        <v>36</v>
      </c>
      <c r="G129"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29" s="510">
        <f>VLOOKUP(BUReporting[[#This Row],[Program]],'Program MW '!$A$35:$S$46,12,FALSE)</f>
        <v>0</v>
      </c>
    </row>
    <row r="130" spans="1:8" ht="16.5" thickTop="1" thickBot="1">
      <c r="A130" s="499">
        <v>11</v>
      </c>
      <c r="B130" s="497" t="s">
        <v>26</v>
      </c>
      <c r="C130" s="512"/>
      <c r="D130" s="497" t="s">
        <v>9</v>
      </c>
      <c r="E130" s="500">
        <v>10</v>
      </c>
      <c r="F130" s="509" t="s">
        <v>36</v>
      </c>
      <c r="G130"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0" s="510">
        <f>VLOOKUP(BUReporting[[#This Row],[Program]],'Program MW '!$A$35:$S$46,12,FALSE)</f>
        <v>0</v>
      </c>
    </row>
    <row r="131" spans="1:8" ht="14.25" thickTop="1" thickBot="1">
      <c r="A131" s="499">
        <v>12</v>
      </c>
      <c r="B131" s="497" t="s">
        <v>27</v>
      </c>
      <c r="C131" s="496"/>
      <c r="D131" s="497" t="s">
        <v>19</v>
      </c>
      <c r="E131" s="500">
        <v>10</v>
      </c>
      <c r="F131" s="509" t="s">
        <v>36</v>
      </c>
      <c r="G131" s="498">
        <f>IF(OR(BUReporting[[#This Row],[Period]]=1,OR(BUReporting[[#This Row],[Period]]=2,OR(BUReporting[[#This Row],[Period]]=3,OR(BUReporting[[#This Row],[Period]]=4,OR(BUReporting[[#This Row],[Period]]=5,BUReporting[[#This Row],[Period]]=6))))),VLOOKUP(BUReporting[[#This Row],[Program]],'Program MW '!$A$12:$S$23,11,FALSE),VLOOKUP(BUReporting[[#This Row],[Program]],'Program MW '!$A$35:$S$46,11,FALSE))</f>
        <v>0</v>
      </c>
      <c r="H131" s="510">
        <f>VLOOKUP(BUReporting[[#This Row],[Program]],'Program MW '!$A$35:$S$46,12,FALSE)</f>
        <v>0</v>
      </c>
    </row>
    <row r="132" spans="1:8" ht="16.5" thickTop="1" thickBot="1">
      <c r="A132" s="511">
        <v>0</v>
      </c>
      <c r="B132" s="89" t="s">
        <v>8</v>
      </c>
      <c r="C132" s="512"/>
      <c r="D132" s="502" t="s">
        <v>9</v>
      </c>
      <c r="E132" s="507">
        <v>11</v>
      </c>
      <c r="F132" s="508" t="s">
        <v>37</v>
      </c>
      <c r="G132" s="498">
        <f>IF(OR(BUReporting[[#This Row],[Period]]=1,OR(BUReporting[[#This Row],[Period]]=2,OR(BUReporting[[#This Row],[Period]]=2,OR(BUReporting[[#This Row],[Period]]=4,OR(BUReporting[[#This Row],[Period]]=5,BUReporting[[#This Row],[Period]]=6))))),VLOOKUP(BUReporting[[#This Row],[Program]],'Program MW '!$A$9:$S$9,14,FALSE),VLOOKUP(BUReporting[[#This Row],[Program]],'Program MW '!$A$32:$S$32,14,FALSE))</f>
        <v>0</v>
      </c>
      <c r="H132" s="510">
        <f>IF(OR(BUReporting[[#This Row],[Period]]=1,OR(BUReporting[[#This Row],[Period]]=2,OR(BUReporting[[#This Row],[Period]]=3,OR(BUReporting[[#This Row],[Period]]=4,OR(BUReporting[[#This Row],[Period]]=5,BUReporting[[#This Row],[Period]]=6))))),VLOOKUP(BUReporting[[#This Row],[Program]],'Program MW '!$A$9:$S$9,15,FALSE),VLOOKUP(BUReporting[[#This Row],[Program]],'Program MW '!$A$32:$S$32,15,FALSE))</f>
        <v>0</v>
      </c>
    </row>
    <row r="133" spans="1:8" ht="16.5" thickTop="1" thickBot="1">
      <c r="A133" s="499">
        <v>1</v>
      </c>
      <c r="B133" s="497" t="s">
        <v>11</v>
      </c>
      <c r="C133" s="512"/>
      <c r="D133" s="497" t="s">
        <v>9</v>
      </c>
      <c r="E133" s="500">
        <v>11</v>
      </c>
      <c r="F133" s="509" t="s">
        <v>37</v>
      </c>
      <c r="G133"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3" s="510">
        <f>VLOOKUP(BUReporting[[#This Row],[Program]],'Program MW '!$A$35:$S$46,15,FALSE)</f>
        <v>0</v>
      </c>
    </row>
    <row r="134" spans="1:8" ht="16.5" thickTop="1" thickBot="1">
      <c r="A134" s="499">
        <v>2</v>
      </c>
      <c r="B134" s="497" t="s">
        <v>12</v>
      </c>
      <c r="C134" s="512" t="s">
        <v>13</v>
      </c>
      <c r="D134" s="497" t="s">
        <v>9</v>
      </c>
      <c r="E134" s="500">
        <v>11</v>
      </c>
      <c r="F134" s="509" t="s">
        <v>37</v>
      </c>
      <c r="G134"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4" s="510" t="e">
        <f>VLOOKUP(BUReporting[[#This Row],[Program]],'Program MW '!$A$35:$S$46,15,FALSE)</f>
        <v>#N/A</v>
      </c>
    </row>
    <row r="135" spans="1:8" ht="16.5" thickTop="1" thickBot="1">
      <c r="A135" s="499">
        <v>3</v>
      </c>
      <c r="B135" s="497" t="s">
        <v>14</v>
      </c>
      <c r="C135" s="512"/>
      <c r="D135" s="497" t="s">
        <v>9</v>
      </c>
      <c r="E135" s="500">
        <v>11</v>
      </c>
      <c r="F135" s="509" t="s">
        <v>37</v>
      </c>
      <c r="G135"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5" s="510" t="e">
        <f>VLOOKUP(BUReporting[[#This Row],[Program]],'Program MW '!$A$35:$S$46,15,FALSE)</f>
        <v>#N/A</v>
      </c>
    </row>
    <row r="136" spans="1:8" ht="16.5" thickTop="1" thickBot="1">
      <c r="A136" s="499">
        <v>4</v>
      </c>
      <c r="B136" s="497" t="s">
        <v>15</v>
      </c>
      <c r="C136" s="512" t="s">
        <v>16</v>
      </c>
      <c r="D136" s="497" t="s">
        <v>9</v>
      </c>
      <c r="E136" s="500">
        <v>11</v>
      </c>
      <c r="F136" s="509" t="s">
        <v>37</v>
      </c>
      <c r="G136" s="498" t="e">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#N/A</v>
      </c>
      <c r="H136" s="510" t="e">
        <f>VLOOKUP(BUReporting[[#This Row],[Program]],'Program MW '!$A$35:$S$46,15,FALSE)</f>
        <v>#N/A</v>
      </c>
    </row>
    <row r="137" spans="1:8" ht="16.5" thickTop="1" thickBot="1">
      <c r="A137" s="499">
        <v>5</v>
      </c>
      <c r="B137" s="497" t="s">
        <v>17</v>
      </c>
      <c r="C137" s="512" t="s">
        <v>18</v>
      </c>
      <c r="D137" s="497" t="s">
        <v>19</v>
      </c>
      <c r="E137" s="500">
        <v>11</v>
      </c>
      <c r="F137" s="509" t="s">
        <v>37</v>
      </c>
      <c r="G137"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7" s="510">
        <f>VLOOKUP(BUReporting[[#This Row],[Program]],'Program MW '!$A$35:$S$46,15,FALSE)</f>
        <v>0</v>
      </c>
    </row>
    <row r="138" spans="1:8" ht="16.5" thickTop="1" thickBot="1">
      <c r="A138" s="499">
        <v>6</v>
      </c>
      <c r="B138" s="497" t="s">
        <v>20</v>
      </c>
      <c r="C138" s="512" t="s">
        <v>18</v>
      </c>
      <c r="D138" s="497" t="s">
        <v>9</v>
      </c>
      <c r="E138" s="500">
        <v>11</v>
      </c>
      <c r="F138" s="509" t="s">
        <v>37</v>
      </c>
      <c r="G138"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8" s="510">
        <f>VLOOKUP(BUReporting[[#This Row],[Program]],'Program MW '!$A$35:$S$46,15,FALSE)</f>
        <v>0</v>
      </c>
    </row>
    <row r="139" spans="1:8" ht="16.5" thickTop="1" thickBot="1">
      <c r="A139" s="499">
        <v>7</v>
      </c>
      <c r="B139" s="497" t="s">
        <v>21</v>
      </c>
      <c r="C139" s="512" t="s">
        <v>22</v>
      </c>
      <c r="D139" s="497" t="s">
        <v>19</v>
      </c>
      <c r="E139" s="500">
        <v>11</v>
      </c>
      <c r="F139" s="509" t="s">
        <v>37</v>
      </c>
      <c r="G139"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39" s="510">
        <f>VLOOKUP(BUReporting[[#This Row],[Program]],'Program MW '!$A$35:$S$46,15,FALSE)</f>
        <v>0</v>
      </c>
    </row>
    <row r="140" spans="1:8" ht="16.5" thickTop="1" thickBot="1">
      <c r="A140" s="499">
        <v>8</v>
      </c>
      <c r="B140" s="497" t="s">
        <v>23</v>
      </c>
      <c r="C140" s="512" t="s">
        <v>22</v>
      </c>
      <c r="D140" s="497" t="s">
        <v>9</v>
      </c>
      <c r="E140" s="500">
        <v>11</v>
      </c>
      <c r="F140" s="509" t="s">
        <v>37</v>
      </c>
      <c r="G140"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0" s="510">
        <f>VLOOKUP(BUReporting[[#This Row],[Program]],'Program MW '!$A$35:$S$46,15,FALSE)</f>
        <v>0</v>
      </c>
    </row>
    <row r="141" spans="1:8" ht="16.5" thickTop="1" thickBot="1">
      <c r="A141" s="499">
        <v>9</v>
      </c>
      <c r="B141" s="497" t="s">
        <v>24</v>
      </c>
      <c r="C141" s="512"/>
      <c r="D141" s="497" t="s">
        <v>9</v>
      </c>
      <c r="E141" s="500">
        <v>11</v>
      </c>
      <c r="F141" s="509" t="s">
        <v>37</v>
      </c>
      <c r="G141"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1" s="510">
        <f>VLOOKUP(BUReporting[[#This Row],[Program]],'Program MW '!$A$35:$S$46,15,FALSE)</f>
        <v>0</v>
      </c>
    </row>
    <row r="142" spans="1:8" ht="16.5" thickTop="1" thickBot="1">
      <c r="A142" s="499">
        <v>10</v>
      </c>
      <c r="B142" s="497" t="s">
        <v>25</v>
      </c>
      <c r="C142" s="512"/>
      <c r="D142" s="497" t="s">
        <v>9</v>
      </c>
      <c r="E142" s="500">
        <v>11</v>
      </c>
      <c r="F142" s="509" t="s">
        <v>37</v>
      </c>
      <c r="G142"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2" s="510">
        <f>VLOOKUP(BUReporting[[#This Row],[Program]],'Program MW '!$A$35:$S$46,15,FALSE)</f>
        <v>0</v>
      </c>
    </row>
    <row r="143" spans="1:8" ht="16.5" thickTop="1" thickBot="1">
      <c r="A143" s="499">
        <v>11</v>
      </c>
      <c r="B143" s="497" t="s">
        <v>26</v>
      </c>
      <c r="C143" s="512"/>
      <c r="D143" s="497" t="s">
        <v>9</v>
      </c>
      <c r="E143" s="500">
        <v>11</v>
      </c>
      <c r="F143" s="509" t="s">
        <v>37</v>
      </c>
      <c r="G143"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3" s="510">
        <f>VLOOKUP(BUReporting[[#This Row],[Program]],'Program MW '!$A$35:$S$46,15,FALSE)</f>
        <v>0</v>
      </c>
    </row>
    <row r="144" spans="1:8" ht="14.25" thickTop="1" thickBot="1">
      <c r="A144" s="499">
        <v>12</v>
      </c>
      <c r="B144" s="497" t="s">
        <v>27</v>
      </c>
      <c r="C144" s="496"/>
      <c r="D144" s="497" t="s">
        <v>19</v>
      </c>
      <c r="E144" s="500">
        <v>11</v>
      </c>
      <c r="F144" s="509" t="s">
        <v>37</v>
      </c>
      <c r="G144" s="498">
        <f>IF(OR(BUReporting[[#This Row],[Period]]=1,OR(BUReporting[[#This Row],[Period]]=2,OR(BUReporting[[#This Row],[Period]]=3,OR(BUReporting[[#This Row],[Period]]=4,OR(BUReporting[[#This Row],[Period]]=5,BUReporting[[#This Row],[Period]]=6))))),VLOOKUP(BUReporting[[#This Row],[Program]],'Program MW '!$A$12:$S$23,14,FALSE),VLOOKUP(BUReporting[[#This Row],[Program]],'Program MW '!$A$35:$S$46,14,FALSE))</f>
        <v>0</v>
      </c>
      <c r="H144" s="510">
        <f>VLOOKUP(BUReporting[[#This Row],[Program]],'Program MW '!$A$35:$S$46,15,FALSE)</f>
        <v>0</v>
      </c>
    </row>
    <row r="145" spans="1:8" ht="16.5" thickTop="1" thickBot="1">
      <c r="A145" s="511">
        <v>0</v>
      </c>
      <c r="B145" s="89" t="s">
        <v>8</v>
      </c>
      <c r="C145" s="512"/>
      <c r="D145" s="502" t="s">
        <v>9</v>
      </c>
      <c r="E145" s="507">
        <v>12</v>
      </c>
      <c r="F145" s="508" t="s">
        <v>38</v>
      </c>
      <c r="G145" s="498">
        <f>IF(OR(BUReporting[[#This Row],[Period]]=1,OR(BUReporting[[#This Row],[Period]]=2,OR(BUReporting[[#This Row],[Period]]=2,OR(BUReporting[[#This Row],[Period]]=4,OR(BUReporting[[#This Row],[Period]]=5,BUReporting[[#This Row],[Period]]=6))))),VLOOKUP(BUReporting[[#This Row],[Program]],'Program MW '!$A$9:$S$9,17,FALSE),VLOOKUP(BUReporting[[#This Row],[Program]],'Program MW '!$A$32:$S$32,17,FALSE))</f>
        <v>0</v>
      </c>
      <c r="H145" s="510">
        <f>IF(OR(BUReporting[[#This Row],[Period]]=1,OR(BUReporting[[#This Row],[Period]]=2,OR(BUReporting[[#This Row],[Period]]=3,OR(BUReporting[[#This Row],[Period]]=4,OR(BUReporting[[#This Row],[Period]]=5,BUReporting[[#This Row],[Period]]=6))))),VLOOKUP(BUReporting[[#This Row],[Program]],'Program MW '!$A$9:$S$9,18,FALSE),VLOOKUP(BUReporting[[#This Row],[Program]],'Program MW '!$A$32:$S$32,18,FALSE))</f>
        <v>0</v>
      </c>
    </row>
    <row r="146" spans="1:8" ht="16.5" thickTop="1" thickBot="1">
      <c r="A146" s="499">
        <v>1</v>
      </c>
      <c r="B146" s="497" t="s">
        <v>11</v>
      </c>
      <c r="C146" s="512"/>
      <c r="D146" s="497" t="s">
        <v>9</v>
      </c>
      <c r="E146" s="500">
        <v>12</v>
      </c>
      <c r="F146" s="509" t="s">
        <v>38</v>
      </c>
      <c r="G146"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46" s="510">
        <f>VLOOKUP(BUReporting[[#This Row],[Program]],'Program MW '!$A$35:$S$46,18,FALSE)</f>
        <v>0</v>
      </c>
    </row>
    <row r="147" spans="1:8" ht="16.5" thickTop="1" thickBot="1">
      <c r="A147" s="499">
        <v>2</v>
      </c>
      <c r="B147" s="497" t="s">
        <v>12</v>
      </c>
      <c r="C147" s="512" t="s">
        <v>13</v>
      </c>
      <c r="D147" s="497" t="s">
        <v>9</v>
      </c>
      <c r="E147" s="500">
        <v>12</v>
      </c>
      <c r="F147" s="509" t="s">
        <v>38</v>
      </c>
      <c r="G147"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7" s="510" t="e">
        <f>VLOOKUP(BUReporting[[#This Row],[Program]],'Program MW '!$A$35:$S$46,18,FALSE)</f>
        <v>#N/A</v>
      </c>
    </row>
    <row r="148" spans="1:8" ht="16.5" thickTop="1" thickBot="1">
      <c r="A148" s="499">
        <v>3</v>
      </c>
      <c r="B148" s="497" t="s">
        <v>14</v>
      </c>
      <c r="C148" s="512"/>
      <c r="D148" s="497" t="s">
        <v>9</v>
      </c>
      <c r="E148" s="500">
        <v>12</v>
      </c>
      <c r="F148" s="509" t="s">
        <v>38</v>
      </c>
      <c r="G148"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8" s="510" t="e">
        <f>VLOOKUP(BUReporting[[#This Row],[Program]],'Program MW '!$A$35:$S$46,18,FALSE)</f>
        <v>#N/A</v>
      </c>
    </row>
    <row r="149" spans="1:8" ht="16.5" thickTop="1" thickBot="1">
      <c r="A149" s="499">
        <v>4</v>
      </c>
      <c r="B149" s="497" t="s">
        <v>15</v>
      </c>
      <c r="C149" s="512" t="s">
        <v>16</v>
      </c>
      <c r="D149" s="497" t="s">
        <v>9</v>
      </c>
      <c r="E149" s="500">
        <v>12</v>
      </c>
      <c r="F149" s="509" t="s">
        <v>38</v>
      </c>
      <c r="G149" s="498" t="e">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#N/A</v>
      </c>
      <c r="H149" s="510" t="e">
        <f>VLOOKUP(BUReporting[[#This Row],[Program]],'Program MW '!$A$35:$S$46,18,FALSE)</f>
        <v>#N/A</v>
      </c>
    </row>
    <row r="150" spans="1:8" ht="16.5" thickTop="1" thickBot="1">
      <c r="A150" s="499">
        <v>5</v>
      </c>
      <c r="B150" s="497" t="s">
        <v>17</v>
      </c>
      <c r="C150" s="512" t="s">
        <v>18</v>
      </c>
      <c r="D150" s="497" t="s">
        <v>19</v>
      </c>
      <c r="E150" s="500">
        <v>12</v>
      </c>
      <c r="F150" s="509" t="s">
        <v>38</v>
      </c>
      <c r="G150"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0" s="510">
        <f>VLOOKUP(BUReporting[[#This Row],[Program]],'Program MW '!$A$35:$S$46,18,FALSE)</f>
        <v>0</v>
      </c>
    </row>
    <row r="151" spans="1:8" ht="16.5" thickTop="1" thickBot="1">
      <c r="A151" s="499">
        <v>6</v>
      </c>
      <c r="B151" s="497" t="s">
        <v>20</v>
      </c>
      <c r="C151" s="512" t="s">
        <v>18</v>
      </c>
      <c r="D151" s="497" t="s">
        <v>9</v>
      </c>
      <c r="E151" s="500">
        <v>12</v>
      </c>
      <c r="F151" s="509" t="s">
        <v>38</v>
      </c>
      <c r="G151"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1" s="510">
        <f>VLOOKUP(BUReporting[[#This Row],[Program]],'Program MW '!$A$35:$S$46,18,FALSE)</f>
        <v>0</v>
      </c>
    </row>
    <row r="152" spans="1:8" ht="16.5" thickTop="1" thickBot="1">
      <c r="A152" s="499">
        <v>7</v>
      </c>
      <c r="B152" s="497" t="s">
        <v>21</v>
      </c>
      <c r="C152" s="512" t="s">
        <v>22</v>
      </c>
      <c r="D152" s="497" t="s">
        <v>19</v>
      </c>
      <c r="E152" s="500">
        <v>12</v>
      </c>
      <c r="F152" s="509" t="s">
        <v>38</v>
      </c>
      <c r="G152"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2" s="510">
        <f>VLOOKUP(BUReporting[[#This Row],[Program]],'Program MW '!$A$35:$S$46,18,FALSE)</f>
        <v>0</v>
      </c>
    </row>
    <row r="153" spans="1:8" ht="16.5" thickTop="1" thickBot="1">
      <c r="A153" s="499">
        <v>8</v>
      </c>
      <c r="B153" s="497" t="s">
        <v>23</v>
      </c>
      <c r="C153" s="512" t="s">
        <v>22</v>
      </c>
      <c r="D153" s="497" t="s">
        <v>9</v>
      </c>
      <c r="E153" s="500">
        <v>12</v>
      </c>
      <c r="F153" s="509" t="s">
        <v>38</v>
      </c>
      <c r="G153"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3" s="510">
        <f>VLOOKUP(BUReporting[[#This Row],[Program]],'Program MW '!$A$35:$S$46,18,FALSE)</f>
        <v>0</v>
      </c>
    </row>
    <row r="154" spans="1:8" ht="16.5" thickTop="1" thickBot="1">
      <c r="A154" s="499">
        <v>9</v>
      </c>
      <c r="B154" s="497" t="s">
        <v>24</v>
      </c>
      <c r="C154" s="512"/>
      <c r="D154" s="497" t="s">
        <v>9</v>
      </c>
      <c r="E154" s="500">
        <v>12</v>
      </c>
      <c r="F154" s="509" t="s">
        <v>38</v>
      </c>
      <c r="G154"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4" s="510">
        <f>VLOOKUP(BUReporting[[#This Row],[Program]],'Program MW '!$A$35:$S$46,18,FALSE)</f>
        <v>0</v>
      </c>
    </row>
    <row r="155" spans="1:8" ht="16.5" thickTop="1" thickBot="1">
      <c r="A155" s="499">
        <v>10</v>
      </c>
      <c r="B155" s="497" t="s">
        <v>25</v>
      </c>
      <c r="C155" s="512"/>
      <c r="D155" s="497" t="s">
        <v>9</v>
      </c>
      <c r="E155" s="500">
        <v>12</v>
      </c>
      <c r="F155" s="509" t="s">
        <v>38</v>
      </c>
      <c r="G155"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5" s="510">
        <f>VLOOKUP(BUReporting[[#This Row],[Program]],'Program MW '!$A$35:$S$46,18,FALSE)</f>
        <v>0</v>
      </c>
    </row>
    <row r="156" spans="1:8" ht="16.5" thickTop="1" thickBot="1">
      <c r="A156" s="499">
        <v>11</v>
      </c>
      <c r="B156" s="497" t="s">
        <v>26</v>
      </c>
      <c r="C156" s="512"/>
      <c r="D156" s="497" t="s">
        <v>9</v>
      </c>
      <c r="E156" s="500">
        <v>12</v>
      </c>
      <c r="F156" s="509" t="s">
        <v>38</v>
      </c>
      <c r="G156"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6" s="510">
        <f>VLOOKUP(BUReporting[[#This Row],[Program]],'Program MW '!$A$35:$S$46,18,FALSE)</f>
        <v>0</v>
      </c>
    </row>
    <row r="157" spans="1:8" ht="13.5" thickTop="1">
      <c r="A157" s="499">
        <v>12</v>
      </c>
      <c r="B157" s="497" t="s">
        <v>27</v>
      </c>
      <c r="C157" s="496"/>
      <c r="D157" s="497" t="s">
        <v>19</v>
      </c>
      <c r="E157" s="500">
        <v>12</v>
      </c>
      <c r="F157" s="509" t="s">
        <v>38</v>
      </c>
      <c r="G157" s="498">
        <f>IF(OR(BUReporting[[#This Row],[Period]]=1,OR(BUReporting[[#This Row],[Period]]=2,OR(BUReporting[[#This Row],[Period]]=3,OR(BUReporting[[#This Row],[Period]]=4,OR(BUReporting[[#This Row],[Period]]=5,BUReporting[[#This Row],[Period]]=6))))),VLOOKUP(BUReporting[[#This Row],[Program]],'Program MW '!$A$12:$S$23,17,FALSE),VLOOKUP(BUReporting[[#This Row],[Program]],'Program MW '!$A$35:$S$46,17,FALSE))</f>
        <v>0</v>
      </c>
      <c r="H157" s="510">
        <f>VLOOKUP(BUReporting[[#This Row],[Program]],'Program MW '!$A$35:$S$46,18,FALSE)</f>
        <v>0</v>
      </c>
    </row>
  </sheetData>
  <pageMargins left="0.7" right="0.7" top="0.75" bottom="0.75" header="0.3" footer="0.3"/>
  <customProperties>
    <customPr name="_pios_id" r:id="rId1"/>
  </customPropertie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N30"/>
  <sheetViews>
    <sheetView zoomScaleNormal="100" zoomScaleSheetLayoutView="90" workbookViewId="0">
      <selection activeCell="D15" sqref="D15"/>
    </sheetView>
  </sheetViews>
  <sheetFormatPr defaultColWidth="9.28515625" defaultRowHeight="14.25" customHeight="1"/>
  <cols>
    <col min="1" max="1" width="56.7109375" style="421" customWidth="1"/>
    <col min="2" max="2" width="30" style="263" customWidth="1"/>
    <col min="3" max="3" width="15.7109375" style="423" customWidth="1"/>
    <col min="4" max="4" width="27" style="421" bestFit="1" customWidth="1"/>
    <col min="5" max="5" width="15.7109375" style="421" customWidth="1"/>
    <col min="6" max="6" width="22" style="421" customWidth="1"/>
    <col min="7" max="7" width="37" style="421" customWidth="1"/>
    <col min="8" max="16384" width="9.28515625" style="422"/>
  </cols>
  <sheetData>
    <row r="2" spans="1:14" ht="12.75">
      <c r="C2" s="264" t="s">
        <v>39</v>
      </c>
    </row>
    <row r="3" spans="1:14" ht="12.75">
      <c r="C3" s="264" t="s">
        <v>233</v>
      </c>
    </row>
    <row r="4" spans="1:14" ht="12.75">
      <c r="C4" s="513" t="str">
        <f>'Program MW '!H3</f>
        <v>June 2020</v>
      </c>
    </row>
    <row r="5" spans="1:14" ht="12.75">
      <c r="C5" s="264"/>
    </row>
    <row r="7" spans="1:14" ht="15.75">
      <c r="A7" s="688" t="s">
        <v>234</v>
      </c>
      <c r="B7" s="689"/>
      <c r="C7" s="689"/>
      <c r="D7" s="689"/>
      <c r="E7" s="689"/>
      <c r="F7" s="689"/>
      <c r="G7" s="690"/>
    </row>
    <row r="8" spans="1:14" ht="27">
      <c r="A8" s="484" t="s">
        <v>227</v>
      </c>
      <c r="B8" s="484" t="s">
        <v>235</v>
      </c>
      <c r="C8" s="485" t="s">
        <v>230</v>
      </c>
      <c r="D8" s="484" t="s">
        <v>236</v>
      </c>
      <c r="E8" s="486" t="s">
        <v>237</v>
      </c>
      <c r="F8" s="486" t="s">
        <v>238</v>
      </c>
      <c r="G8" s="486" t="s">
        <v>239</v>
      </c>
    </row>
    <row r="9" spans="1:14" ht="14.25" customHeight="1">
      <c r="A9" s="629" t="s">
        <v>240</v>
      </c>
      <c r="B9" s="487">
        <v>1</v>
      </c>
      <c r="C9" s="630">
        <v>43984</v>
      </c>
      <c r="D9" s="488" t="s">
        <v>241</v>
      </c>
      <c r="E9" s="631">
        <v>0.87294310536484865</v>
      </c>
      <c r="F9" s="632" t="s">
        <v>242</v>
      </c>
      <c r="G9" s="489">
        <v>2</v>
      </c>
    </row>
    <row r="10" spans="1:14" ht="14.25" customHeight="1">
      <c r="A10" s="629" t="s">
        <v>240</v>
      </c>
      <c r="B10" s="487">
        <v>2</v>
      </c>
      <c r="C10" s="630">
        <v>43985</v>
      </c>
      <c r="D10" s="488" t="s">
        <v>241</v>
      </c>
      <c r="E10" s="631">
        <v>1.6640008917675333</v>
      </c>
      <c r="F10" s="632" t="s">
        <v>242</v>
      </c>
      <c r="G10" s="489">
        <v>4</v>
      </c>
    </row>
    <row r="11" spans="1:14" ht="14.25" customHeight="1">
      <c r="A11" s="629" t="s">
        <v>243</v>
      </c>
      <c r="B11" s="487">
        <v>3</v>
      </c>
      <c r="C11" s="630">
        <v>43984</v>
      </c>
      <c r="D11" s="488" t="s">
        <v>244</v>
      </c>
      <c r="E11" s="631">
        <v>0.30500092296163572</v>
      </c>
      <c r="F11" s="632" t="s">
        <v>242</v>
      </c>
      <c r="G11" s="489">
        <v>2</v>
      </c>
    </row>
    <row r="12" spans="1:14" ht="14.25" customHeight="1">
      <c r="A12" s="629" t="s">
        <v>243</v>
      </c>
      <c r="B12" s="487">
        <v>4</v>
      </c>
      <c r="C12" s="630">
        <v>43985</v>
      </c>
      <c r="D12" s="488" t="s">
        <v>244</v>
      </c>
      <c r="E12" s="631">
        <v>0.36058606179688218</v>
      </c>
      <c r="F12" s="632" t="s">
        <v>242</v>
      </c>
      <c r="G12" s="489">
        <v>4</v>
      </c>
    </row>
    <row r="13" spans="1:14" ht="14.25" customHeight="1">
      <c r="A13" s="629" t="s">
        <v>245</v>
      </c>
      <c r="B13" s="487">
        <v>5</v>
      </c>
      <c r="C13" s="630">
        <v>43985</v>
      </c>
      <c r="D13" s="488" t="s">
        <v>244</v>
      </c>
      <c r="E13" s="631">
        <v>0.2</v>
      </c>
      <c r="F13" s="632" t="s">
        <v>246</v>
      </c>
      <c r="G13" s="489">
        <v>2</v>
      </c>
    </row>
    <row r="14" spans="1:14" ht="18" customHeight="1">
      <c r="A14" s="629" t="s">
        <v>247</v>
      </c>
      <c r="B14" s="487">
        <v>6</v>
      </c>
      <c r="C14" s="630">
        <v>43985</v>
      </c>
      <c r="D14" s="488" t="s">
        <v>248</v>
      </c>
      <c r="E14" s="631">
        <v>2.7172703166408931</v>
      </c>
      <c r="F14" s="632" t="s">
        <v>242</v>
      </c>
      <c r="G14" s="489">
        <v>2</v>
      </c>
      <c r="N14" s="422">
        <v>15648</v>
      </c>
    </row>
    <row r="15" spans="1:14" ht="18.75" customHeight="1">
      <c r="A15" s="629" t="s">
        <v>240</v>
      </c>
      <c r="B15" s="487">
        <v>7</v>
      </c>
      <c r="C15" s="630">
        <v>43992</v>
      </c>
      <c r="D15" s="488" t="s">
        <v>241</v>
      </c>
      <c r="E15" s="631">
        <v>0.76196803612685282</v>
      </c>
      <c r="F15" s="633" t="s">
        <v>242</v>
      </c>
      <c r="G15" s="489">
        <v>6</v>
      </c>
      <c r="N15" s="422">
        <v>972</v>
      </c>
    </row>
    <row r="16" spans="1:14" ht="14.25" customHeight="1">
      <c r="A16" s="629" t="s">
        <v>249</v>
      </c>
      <c r="B16" s="487">
        <v>8</v>
      </c>
      <c r="C16" s="630">
        <v>43992</v>
      </c>
      <c r="D16" s="488" t="s">
        <v>241</v>
      </c>
      <c r="E16" s="631">
        <v>5.3595040000000003</v>
      </c>
      <c r="F16" s="633" t="s">
        <v>242</v>
      </c>
      <c r="G16" s="489">
        <v>2</v>
      </c>
    </row>
    <row r="17" spans="1:7" ht="14.25" customHeight="1">
      <c r="A17" s="629" t="s">
        <v>250</v>
      </c>
      <c r="B17" s="487">
        <v>9</v>
      </c>
      <c r="C17" s="630">
        <v>43992</v>
      </c>
      <c r="D17" s="488" t="s">
        <v>241</v>
      </c>
      <c r="E17" s="634">
        <v>0.43282929999999997</v>
      </c>
      <c r="F17" s="633" t="s">
        <v>242</v>
      </c>
      <c r="G17" s="489">
        <v>2</v>
      </c>
    </row>
    <row r="18" spans="1:7" ht="14.25" customHeight="1">
      <c r="A18" s="635" t="s">
        <v>240</v>
      </c>
      <c r="B18" s="487">
        <v>10</v>
      </c>
      <c r="C18" s="636">
        <v>44004</v>
      </c>
      <c r="D18" s="488" t="s">
        <v>241</v>
      </c>
      <c r="E18" s="634">
        <v>0.75432594725687063</v>
      </c>
      <c r="F18" s="633" t="s">
        <v>251</v>
      </c>
      <c r="G18" s="489">
        <v>8</v>
      </c>
    </row>
    <row r="19" spans="1:7" ht="14.25" customHeight="1">
      <c r="A19" s="629" t="s">
        <v>249</v>
      </c>
      <c r="B19" s="487">
        <v>11</v>
      </c>
      <c r="C19" s="636">
        <v>44004</v>
      </c>
      <c r="D19" s="488" t="s">
        <v>241</v>
      </c>
      <c r="E19" s="631">
        <v>1.43</v>
      </c>
      <c r="F19" s="633" t="s">
        <v>251</v>
      </c>
      <c r="G19" s="489">
        <v>4</v>
      </c>
    </row>
    <row r="20" spans="1:7" ht="14.25" customHeight="1">
      <c r="A20" s="629" t="s">
        <v>250</v>
      </c>
      <c r="B20" s="487">
        <v>12</v>
      </c>
      <c r="C20" s="636">
        <v>44004</v>
      </c>
      <c r="D20" s="488" t="s">
        <v>241</v>
      </c>
      <c r="E20" s="631">
        <v>0.28000000000000003</v>
      </c>
      <c r="F20" s="633" t="s">
        <v>251</v>
      </c>
      <c r="G20" s="489">
        <v>4</v>
      </c>
    </row>
    <row r="21" spans="1:7" ht="14.25" customHeight="1">
      <c r="A21" s="490"/>
    </row>
    <row r="22" spans="1:7" ht="14.25" customHeight="1">
      <c r="A22" s="490"/>
    </row>
    <row r="23" spans="1:7" ht="14.25" customHeight="1">
      <c r="A23" s="495"/>
    </row>
    <row r="24" spans="1:7" ht="14.25" customHeight="1">
      <c r="A24" s="495"/>
    </row>
    <row r="25" spans="1:7" ht="14.25" customHeight="1">
      <c r="A25" s="491" t="s">
        <v>69</v>
      </c>
    </row>
    <row r="26" spans="1:7" ht="14.25" customHeight="1">
      <c r="A26" s="624" t="s">
        <v>252</v>
      </c>
    </row>
    <row r="27" spans="1:7" ht="14.25" customHeight="1">
      <c r="A27" s="591" t="s">
        <v>253</v>
      </c>
    </row>
    <row r="28" spans="1:7" ht="14.25" customHeight="1">
      <c r="A28" s="591"/>
    </row>
    <row r="29" spans="1:7" ht="14.25" customHeight="1">
      <c r="A29" s="592" t="s">
        <v>76</v>
      </c>
    </row>
    <row r="30" spans="1:7" ht="14.25" customHeight="1">
      <c r="A30" s="403"/>
    </row>
  </sheetData>
  <mergeCells count="1">
    <mergeCell ref="A7:G7"/>
  </mergeCells>
  <phoneticPr fontId="0" type="noConversion"/>
  <printOptions horizontalCentered="1"/>
  <pageMargins left="0" right="0" top="0.55000000000000004" bottom="0.17" header="0.3" footer="0.15"/>
  <pageSetup paperSize="5" scale="87" orientation="landscape" cellComments="atEnd" r:id="rId1"/>
  <headerFooter alignWithMargins="0">
    <oddHeader xml:space="preserve">&amp;C&amp;"Arial,Bold"
</oddHeader>
    <oddFooter>&amp;Rpage 8 of 11
&amp;A
&amp;D  &amp;T</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59"/>
  <sheetViews>
    <sheetView zoomScale="120" zoomScaleNormal="120" zoomScaleSheetLayoutView="75" workbookViewId="0">
      <selection activeCell="O1" sqref="O1:P1048576"/>
    </sheetView>
  </sheetViews>
  <sheetFormatPr defaultColWidth="17" defaultRowHeight="12"/>
  <cols>
    <col min="1" max="1" width="46.28515625" style="221" customWidth="1"/>
    <col min="2" max="3" width="11.7109375" style="221" customWidth="1"/>
    <col min="4" max="4" width="15.5703125" style="221" customWidth="1"/>
    <col min="5" max="7" width="11.7109375" style="221" customWidth="1"/>
    <col min="8" max="8" width="14.7109375" style="221" customWidth="1"/>
    <col min="9" max="9" width="11.7109375" style="221" customWidth="1"/>
    <col min="10" max="10" width="11.7109375" style="222" customWidth="1"/>
    <col min="11" max="11" width="11.7109375" style="221" customWidth="1"/>
    <col min="12" max="12" width="12.28515625" style="221" customWidth="1"/>
    <col min="13" max="13" width="11.7109375" style="221" customWidth="1"/>
    <col min="14" max="14" width="12.7109375" style="221" customWidth="1"/>
    <col min="15" max="16" width="0" style="221" hidden="1" customWidth="1"/>
    <col min="17" max="16384" width="17" style="221"/>
  </cols>
  <sheetData>
    <row r="1" spans="1:16">
      <c r="E1" s="219" t="s">
        <v>39</v>
      </c>
    </row>
    <row r="2" spans="1:16">
      <c r="E2" s="219" t="s">
        <v>254</v>
      </c>
    </row>
    <row r="3" spans="1:16">
      <c r="D3" s="223"/>
      <c r="E3" s="224" t="str">
        <f>'Program MW '!H3</f>
        <v>June 2020</v>
      </c>
      <c r="F3" s="223"/>
    </row>
    <row r="4" spans="1:16" ht="12.75" thickBot="1"/>
    <row r="5" spans="1:16">
      <c r="A5" s="225"/>
      <c r="B5" s="226"/>
      <c r="C5" s="226"/>
      <c r="D5" s="226"/>
      <c r="E5" s="226"/>
      <c r="F5" s="226"/>
      <c r="G5" s="226"/>
      <c r="H5" s="226"/>
      <c r="I5" s="226"/>
      <c r="J5" s="227"/>
      <c r="K5" s="226"/>
      <c r="L5" s="226"/>
      <c r="M5" s="226"/>
      <c r="N5" s="649"/>
    </row>
    <row r="6" spans="1:16" ht="24">
      <c r="A6" s="228" t="s">
        <v>255</v>
      </c>
      <c r="B6" s="615" t="s">
        <v>42</v>
      </c>
      <c r="C6" s="615" t="s">
        <v>43</v>
      </c>
      <c r="D6" s="615" t="s">
        <v>44</v>
      </c>
      <c r="E6" s="615" t="s">
        <v>45</v>
      </c>
      <c r="F6" s="615" t="s">
        <v>31</v>
      </c>
      <c r="G6" s="615" t="s">
        <v>46</v>
      </c>
      <c r="H6" s="615" t="s">
        <v>61</v>
      </c>
      <c r="I6" s="615" t="s">
        <v>78</v>
      </c>
      <c r="J6" s="616" t="s">
        <v>79</v>
      </c>
      <c r="K6" s="615" t="s">
        <v>64</v>
      </c>
      <c r="L6" s="615" t="s">
        <v>80</v>
      </c>
      <c r="M6" s="615" t="s">
        <v>66</v>
      </c>
      <c r="N6" s="650" t="s">
        <v>256</v>
      </c>
    </row>
    <row r="7" spans="1:16">
      <c r="A7" s="229"/>
      <c r="B7" s="230"/>
      <c r="C7" s="230"/>
      <c r="D7" s="230"/>
      <c r="E7" s="230"/>
      <c r="F7" s="230"/>
      <c r="G7" s="230"/>
      <c r="H7" s="608"/>
      <c r="I7" s="230"/>
      <c r="J7" s="231"/>
      <c r="K7" s="230"/>
      <c r="L7" s="230"/>
      <c r="M7" s="585"/>
      <c r="N7" s="651"/>
    </row>
    <row r="8" spans="1:16">
      <c r="A8" s="232" t="s">
        <v>257</v>
      </c>
      <c r="B8" s="230"/>
      <c r="C8" s="230"/>
      <c r="D8" s="230"/>
      <c r="E8" s="230"/>
      <c r="F8" s="230"/>
      <c r="G8" s="230"/>
      <c r="H8" s="608"/>
      <c r="I8" s="230"/>
      <c r="J8" s="231"/>
      <c r="K8" s="230"/>
      <c r="L8" s="230"/>
      <c r="M8" s="585"/>
      <c r="N8" s="652"/>
    </row>
    <row r="9" spans="1:16">
      <c r="A9" s="356" t="s">
        <v>258</v>
      </c>
      <c r="B9" s="434">
        <v>2.42</v>
      </c>
      <c r="C9" s="435">
        <v>4.0709999999999997</v>
      </c>
      <c r="D9" s="435">
        <v>10.975</v>
      </c>
      <c r="E9" s="435">
        <v>10.145</v>
      </c>
      <c r="F9" s="435">
        <v>10.202999999999999</v>
      </c>
      <c r="G9" s="435">
        <v>10.260999999999999</v>
      </c>
      <c r="H9" s="609">
        <v>0</v>
      </c>
      <c r="I9" s="435">
        <v>0</v>
      </c>
      <c r="J9" s="435">
        <v>0</v>
      </c>
      <c r="K9" s="435">
        <v>0</v>
      </c>
      <c r="L9" s="435">
        <v>0</v>
      </c>
      <c r="M9" s="435">
        <v>0</v>
      </c>
      <c r="N9" s="653">
        <f t="shared" ref="N9:N33" si="0">SUM(B9:M9)</f>
        <v>48.075000000000003</v>
      </c>
      <c r="O9" s="435">
        <v>0</v>
      </c>
      <c r="P9" s="435">
        <v>0</v>
      </c>
    </row>
    <row r="10" spans="1:16" ht="13.5">
      <c r="A10" s="356" t="s">
        <v>259</v>
      </c>
      <c r="B10" s="354">
        <v>40.151000000000003</v>
      </c>
      <c r="C10" s="432">
        <v>45.033000000000001</v>
      </c>
      <c r="D10" s="432">
        <v>46.11</v>
      </c>
      <c r="E10" s="432">
        <v>47.1</v>
      </c>
      <c r="F10" s="432">
        <v>13.055</v>
      </c>
      <c r="G10" s="432">
        <v>78.293999999999997</v>
      </c>
      <c r="H10" s="610">
        <v>0</v>
      </c>
      <c r="I10" s="432">
        <v>0</v>
      </c>
      <c r="J10" s="432">
        <v>0</v>
      </c>
      <c r="K10" s="432">
        <v>0</v>
      </c>
      <c r="L10" s="432">
        <v>0</v>
      </c>
      <c r="M10" s="432">
        <v>0</v>
      </c>
      <c r="N10" s="653">
        <f t="shared" si="0"/>
        <v>269.74299999999999</v>
      </c>
    </row>
    <row r="11" spans="1:16" ht="14.1" customHeight="1">
      <c r="A11" s="356" t="s">
        <v>260</v>
      </c>
      <c r="B11" s="354">
        <v>1.5580000000000001</v>
      </c>
      <c r="C11" s="432">
        <v>7.5540000000000003</v>
      </c>
      <c r="D11" s="432">
        <v>12.093</v>
      </c>
      <c r="E11" s="432">
        <v>10.016</v>
      </c>
      <c r="F11" s="432">
        <v>5.6139999999999999</v>
      </c>
      <c r="G11" s="432">
        <v>7.6859999999999999</v>
      </c>
      <c r="H11" s="610">
        <v>0</v>
      </c>
      <c r="I11" s="432">
        <v>0</v>
      </c>
      <c r="J11" s="432">
        <v>0</v>
      </c>
      <c r="K11" s="432">
        <v>0</v>
      </c>
      <c r="L11" s="432">
        <v>0</v>
      </c>
      <c r="M11" s="432">
        <v>0</v>
      </c>
      <c r="N11" s="653">
        <f t="shared" si="0"/>
        <v>44.520999999999994</v>
      </c>
    </row>
    <row r="12" spans="1:16">
      <c r="A12" s="356" t="s">
        <v>261</v>
      </c>
      <c r="B12" s="354">
        <v>0</v>
      </c>
      <c r="C12" s="432">
        <v>0</v>
      </c>
      <c r="D12" s="432">
        <v>0</v>
      </c>
      <c r="E12" s="432">
        <v>0</v>
      </c>
      <c r="F12" s="432">
        <v>0</v>
      </c>
      <c r="G12" s="432">
        <v>0</v>
      </c>
      <c r="H12" s="610">
        <v>0</v>
      </c>
      <c r="I12" s="432">
        <v>0</v>
      </c>
      <c r="J12" s="432">
        <v>0</v>
      </c>
      <c r="K12" s="432">
        <v>0</v>
      </c>
      <c r="L12" s="432">
        <v>0</v>
      </c>
      <c r="M12" s="432">
        <v>0</v>
      </c>
      <c r="N12" s="653">
        <f t="shared" si="0"/>
        <v>0</v>
      </c>
    </row>
    <row r="13" spans="1:16">
      <c r="A13" s="356" t="s">
        <v>262</v>
      </c>
      <c r="B13" s="354">
        <v>12.635999999999999</v>
      </c>
      <c r="C13" s="432">
        <v>12.25</v>
      </c>
      <c r="D13" s="432">
        <v>11.862</v>
      </c>
      <c r="E13" s="432">
        <v>12.1</v>
      </c>
      <c r="F13" s="432">
        <v>11.029</v>
      </c>
      <c r="G13" s="432">
        <v>10.164</v>
      </c>
      <c r="H13" s="610">
        <v>0</v>
      </c>
      <c r="I13" s="432">
        <v>0</v>
      </c>
      <c r="J13" s="432">
        <v>0</v>
      </c>
      <c r="K13" s="432">
        <v>0</v>
      </c>
      <c r="L13" s="432">
        <v>0</v>
      </c>
      <c r="M13" s="432">
        <v>0</v>
      </c>
      <c r="N13" s="653">
        <f t="shared" si="0"/>
        <v>70.040999999999997</v>
      </c>
    </row>
    <row r="14" spans="1:16">
      <c r="A14" s="356" t="s">
        <v>263</v>
      </c>
      <c r="B14" s="354">
        <v>4.7030000000000003</v>
      </c>
      <c r="C14" s="432">
        <v>2.9460000000000002</v>
      </c>
      <c r="D14" s="432">
        <v>3.258</v>
      </c>
      <c r="E14" s="432">
        <v>11.784000000000001</v>
      </c>
      <c r="F14" s="432">
        <v>3.01</v>
      </c>
      <c r="G14" s="432">
        <v>3.01</v>
      </c>
      <c r="H14" s="610">
        <v>0</v>
      </c>
      <c r="I14" s="432">
        <v>0</v>
      </c>
      <c r="J14" s="432">
        <v>0</v>
      </c>
      <c r="K14" s="432">
        <v>0</v>
      </c>
      <c r="L14" s="432">
        <v>0</v>
      </c>
      <c r="M14" s="432">
        <v>0</v>
      </c>
      <c r="N14" s="653">
        <f t="shared" si="0"/>
        <v>28.710999999999999</v>
      </c>
    </row>
    <row r="15" spans="1:16">
      <c r="A15" s="356" t="s">
        <v>264</v>
      </c>
      <c r="B15" s="354">
        <v>40.1</v>
      </c>
      <c r="C15" s="432">
        <v>64.043999999999997</v>
      </c>
      <c r="D15" s="432">
        <v>6.5949999999999998</v>
      </c>
      <c r="E15" s="432">
        <v>6.9660000000000002</v>
      </c>
      <c r="F15" s="432">
        <v>11.64</v>
      </c>
      <c r="G15" s="432">
        <v>67.468000000000004</v>
      </c>
      <c r="H15" s="610">
        <v>0</v>
      </c>
      <c r="I15" s="432">
        <v>0</v>
      </c>
      <c r="J15" s="432">
        <v>0</v>
      </c>
      <c r="K15" s="432">
        <v>0</v>
      </c>
      <c r="L15" s="432">
        <v>0</v>
      </c>
      <c r="M15" s="432">
        <v>0</v>
      </c>
      <c r="N15" s="653">
        <f t="shared" si="0"/>
        <v>196.81299999999999</v>
      </c>
    </row>
    <row r="16" spans="1:16">
      <c r="A16" s="356" t="s">
        <v>202</v>
      </c>
      <c r="B16" s="354">
        <v>12.237</v>
      </c>
      <c r="C16" s="432">
        <v>14.420999999999999</v>
      </c>
      <c r="D16" s="432">
        <v>18.376999999999999</v>
      </c>
      <c r="E16" s="432">
        <v>17.422999999999998</v>
      </c>
      <c r="F16" s="432">
        <v>15.94</v>
      </c>
      <c r="G16" s="432">
        <v>15.221</v>
      </c>
      <c r="H16" s="610">
        <v>0</v>
      </c>
      <c r="I16" s="432">
        <v>0</v>
      </c>
      <c r="J16" s="432">
        <v>0</v>
      </c>
      <c r="K16" s="432">
        <v>0</v>
      </c>
      <c r="L16" s="432">
        <v>0</v>
      </c>
      <c r="M16" s="432">
        <v>0</v>
      </c>
      <c r="N16" s="653">
        <f t="shared" si="0"/>
        <v>93.619</v>
      </c>
    </row>
    <row r="17" spans="1:15">
      <c r="A17" s="356" t="s">
        <v>203</v>
      </c>
      <c r="B17" s="354">
        <v>19.221</v>
      </c>
      <c r="C17" s="432">
        <v>19.606000000000002</v>
      </c>
      <c r="D17" s="432">
        <v>19.474</v>
      </c>
      <c r="E17" s="432">
        <v>98.066999999999993</v>
      </c>
      <c r="F17" s="432">
        <v>65.554000000000002</v>
      </c>
      <c r="G17" s="432">
        <v>16.420999999999999</v>
      </c>
      <c r="H17" s="610">
        <v>0</v>
      </c>
      <c r="I17" s="432">
        <v>0</v>
      </c>
      <c r="J17" s="432">
        <v>0</v>
      </c>
      <c r="K17" s="432">
        <v>0</v>
      </c>
      <c r="L17" s="432">
        <v>0</v>
      </c>
      <c r="M17" s="432">
        <v>0</v>
      </c>
      <c r="N17" s="653">
        <f t="shared" si="0"/>
        <v>238.34299999999999</v>
      </c>
    </row>
    <row r="18" spans="1:15">
      <c r="A18" s="356" t="s">
        <v>265</v>
      </c>
      <c r="B18" s="354">
        <v>0</v>
      </c>
      <c r="C18" s="432">
        <v>0</v>
      </c>
      <c r="D18" s="432">
        <v>0</v>
      </c>
      <c r="E18" s="432">
        <v>0</v>
      </c>
      <c r="F18" s="432">
        <v>0</v>
      </c>
      <c r="G18" s="432">
        <v>0</v>
      </c>
      <c r="H18" s="610">
        <v>0</v>
      </c>
      <c r="I18" s="432">
        <v>0</v>
      </c>
      <c r="J18" s="432">
        <v>0</v>
      </c>
      <c r="K18" s="432">
        <v>0</v>
      </c>
      <c r="L18" s="432">
        <v>0</v>
      </c>
      <c r="M18" s="432">
        <v>0</v>
      </c>
      <c r="N18" s="653">
        <f t="shared" si="0"/>
        <v>0</v>
      </c>
    </row>
    <row r="19" spans="1:15" ht="13.5">
      <c r="A19" s="356" t="s">
        <v>266</v>
      </c>
      <c r="B19" s="354">
        <v>1.411</v>
      </c>
      <c r="C19" s="432">
        <v>1.6040000000000001</v>
      </c>
      <c r="D19" s="432">
        <v>74.418999999999997</v>
      </c>
      <c r="E19" s="432">
        <v>3.1349999999999998</v>
      </c>
      <c r="F19" s="432">
        <v>3.7890000000000001</v>
      </c>
      <c r="G19" s="432">
        <v>3.9350000000000001</v>
      </c>
      <c r="H19" s="610">
        <v>0</v>
      </c>
      <c r="I19" s="432">
        <v>0</v>
      </c>
      <c r="J19" s="432">
        <v>0</v>
      </c>
      <c r="K19" s="432">
        <v>0</v>
      </c>
      <c r="L19" s="432">
        <v>0</v>
      </c>
      <c r="M19" s="432">
        <v>0</v>
      </c>
      <c r="N19" s="653">
        <f t="shared" si="0"/>
        <v>88.293000000000006</v>
      </c>
    </row>
    <row r="20" spans="1:15" s="223" customFormat="1">
      <c r="A20" s="529" t="s">
        <v>164</v>
      </c>
      <c r="B20" s="354">
        <v>0</v>
      </c>
      <c r="C20" s="432">
        <v>0</v>
      </c>
      <c r="D20" s="432">
        <v>0</v>
      </c>
      <c r="E20" s="432">
        <v>0</v>
      </c>
      <c r="F20" s="432">
        <v>0</v>
      </c>
      <c r="G20" s="432">
        <v>0</v>
      </c>
      <c r="H20" s="610">
        <v>0</v>
      </c>
      <c r="I20" s="432">
        <v>0</v>
      </c>
      <c r="J20" s="432">
        <v>0</v>
      </c>
      <c r="K20" s="432">
        <v>0</v>
      </c>
      <c r="L20" s="432">
        <v>0</v>
      </c>
      <c r="M20" s="432">
        <v>0</v>
      </c>
      <c r="N20" s="654">
        <f t="shared" si="0"/>
        <v>0</v>
      </c>
    </row>
    <row r="21" spans="1:15">
      <c r="A21" s="529" t="s">
        <v>267</v>
      </c>
      <c r="B21" s="354">
        <v>0</v>
      </c>
      <c r="C21" s="432">
        <v>0.25700000000000001</v>
      </c>
      <c r="D21" s="432">
        <v>2.1309999999999998</v>
      </c>
      <c r="E21" s="432">
        <v>1.9430000000000001</v>
      </c>
      <c r="F21" s="432">
        <v>1.67</v>
      </c>
      <c r="G21" s="432">
        <v>1.8460000000000001</v>
      </c>
      <c r="H21" s="610">
        <v>0</v>
      </c>
      <c r="I21" s="432">
        <v>0</v>
      </c>
      <c r="J21" s="432">
        <v>0</v>
      </c>
      <c r="K21" s="432">
        <v>0</v>
      </c>
      <c r="L21" s="432">
        <v>0</v>
      </c>
      <c r="M21" s="432">
        <v>0</v>
      </c>
      <c r="N21" s="653">
        <f t="shared" si="0"/>
        <v>7.8469999999999995</v>
      </c>
    </row>
    <row r="22" spans="1:15" ht="14.25">
      <c r="A22" s="356" t="s">
        <v>268</v>
      </c>
      <c r="B22" s="354">
        <v>5.6070000000000002</v>
      </c>
      <c r="C22" s="432">
        <v>5.0679999999999996</v>
      </c>
      <c r="D22" s="432">
        <v>-1.2949999999999999</v>
      </c>
      <c r="E22" s="432">
        <v>12.69</v>
      </c>
      <c r="F22" s="432">
        <v>31.27</v>
      </c>
      <c r="G22" s="432">
        <v>131.03100000000001</v>
      </c>
      <c r="H22" s="610">
        <v>0</v>
      </c>
      <c r="I22" s="432">
        <v>0</v>
      </c>
      <c r="J22" s="432">
        <v>0</v>
      </c>
      <c r="K22" s="432">
        <v>0</v>
      </c>
      <c r="L22" s="432">
        <v>0</v>
      </c>
      <c r="M22" s="432">
        <v>0</v>
      </c>
      <c r="N22" s="653">
        <f t="shared" si="0"/>
        <v>184.37100000000001</v>
      </c>
    </row>
    <row r="23" spans="1:15">
      <c r="A23" s="356" t="s">
        <v>269</v>
      </c>
      <c r="B23" s="354">
        <v>28.658000000000001</v>
      </c>
      <c r="C23" s="432">
        <v>29.536999999999999</v>
      </c>
      <c r="D23" s="432">
        <v>49.59</v>
      </c>
      <c r="E23" s="432">
        <v>50.043999999999997</v>
      </c>
      <c r="F23" s="432">
        <v>46.54</v>
      </c>
      <c r="G23" s="432">
        <v>48.784999999999997</v>
      </c>
      <c r="H23" s="610">
        <v>0</v>
      </c>
      <c r="I23" s="432">
        <v>0</v>
      </c>
      <c r="J23" s="432">
        <v>0</v>
      </c>
      <c r="K23" s="432">
        <v>0</v>
      </c>
      <c r="L23" s="432">
        <v>0</v>
      </c>
      <c r="M23" s="432">
        <v>0</v>
      </c>
      <c r="N23" s="653">
        <f t="shared" si="0"/>
        <v>253.154</v>
      </c>
    </row>
    <row r="24" spans="1:15" ht="13.5">
      <c r="A24" s="356" t="s">
        <v>270</v>
      </c>
      <c r="B24" s="354">
        <v>40.093000000000004</v>
      </c>
      <c r="C24" s="432">
        <v>309.64999999999998</v>
      </c>
      <c r="D24" s="432">
        <v>241.07599999999999</v>
      </c>
      <c r="E24" s="432">
        <v>-126.678</v>
      </c>
      <c r="F24" s="432">
        <v>120.194</v>
      </c>
      <c r="G24" s="432">
        <v>321.84899999999999</v>
      </c>
      <c r="H24" s="610">
        <v>0</v>
      </c>
      <c r="I24" s="432">
        <v>0</v>
      </c>
      <c r="J24" s="432">
        <v>0</v>
      </c>
      <c r="K24" s="432">
        <v>0</v>
      </c>
      <c r="L24" s="432">
        <v>0</v>
      </c>
      <c r="M24" s="432">
        <v>0</v>
      </c>
      <c r="N24" s="653">
        <f t="shared" si="0"/>
        <v>906.18399999999997</v>
      </c>
    </row>
    <row r="25" spans="1:15" ht="13.5">
      <c r="A25" s="356" t="s">
        <v>271</v>
      </c>
      <c r="B25" s="354">
        <v>76.793999999999997</v>
      </c>
      <c r="C25" s="432">
        <v>100.941</v>
      </c>
      <c r="D25" s="432">
        <v>74.772999999999996</v>
      </c>
      <c r="E25" s="432">
        <v>-10.866</v>
      </c>
      <c r="F25" s="432">
        <v>87.84</v>
      </c>
      <c r="G25" s="432">
        <v>32.978000000000002</v>
      </c>
      <c r="H25" s="610">
        <v>0</v>
      </c>
      <c r="I25" s="432">
        <v>0</v>
      </c>
      <c r="J25" s="432">
        <v>0</v>
      </c>
      <c r="K25" s="432">
        <v>0</v>
      </c>
      <c r="L25" s="432">
        <v>0</v>
      </c>
      <c r="M25" s="432">
        <v>0</v>
      </c>
      <c r="N25" s="653">
        <f t="shared" si="0"/>
        <v>362.46</v>
      </c>
    </row>
    <row r="26" spans="1:15" s="234" customFormat="1">
      <c r="A26" s="356" t="s">
        <v>218</v>
      </c>
      <c r="B26" s="354">
        <v>0</v>
      </c>
      <c r="C26" s="432">
        <v>0</v>
      </c>
      <c r="D26" s="432">
        <v>0</v>
      </c>
      <c r="E26" s="432">
        <v>22.346</v>
      </c>
      <c r="F26" s="432">
        <v>0</v>
      </c>
      <c r="G26" s="432">
        <v>0</v>
      </c>
      <c r="H26" s="610">
        <v>0</v>
      </c>
      <c r="I26" s="432">
        <v>0</v>
      </c>
      <c r="J26" s="432">
        <v>0</v>
      </c>
      <c r="K26" s="432">
        <v>0</v>
      </c>
      <c r="L26" s="432">
        <v>0</v>
      </c>
      <c r="M26" s="432">
        <v>0</v>
      </c>
      <c r="N26" s="653">
        <f t="shared" si="0"/>
        <v>22.346</v>
      </c>
      <c r="O26" s="221"/>
    </row>
    <row r="27" spans="1:15" s="234" customFormat="1">
      <c r="A27" s="547" t="s">
        <v>272</v>
      </c>
      <c r="B27" s="354">
        <v>0</v>
      </c>
      <c r="C27" s="432">
        <v>7.3730000000000002</v>
      </c>
      <c r="D27" s="432">
        <v>19.39</v>
      </c>
      <c r="E27" s="432">
        <v>7.3730000000000002</v>
      </c>
      <c r="F27" s="432">
        <v>9.2159999999999993</v>
      </c>
      <c r="G27" s="432">
        <v>12.901999999999999</v>
      </c>
      <c r="H27" s="610">
        <v>0</v>
      </c>
      <c r="I27" s="432">
        <v>0</v>
      </c>
      <c r="J27" s="432">
        <v>0</v>
      </c>
      <c r="K27" s="432">
        <v>0</v>
      </c>
      <c r="L27" s="432">
        <v>0</v>
      </c>
      <c r="M27" s="432">
        <v>0</v>
      </c>
      <c r="N27" s="653">
        <f t="shared" si="0"/>
        <v>56.254000000000005</v>
      </c>
      <c r="O27" s="221"/>
    </row>
    <row r="28" spans="1:15" s="234" customFormat="1" ht="14.45" customHeight="1">
      <c r="A28" s="356" t="s">
        <v>273</v>
      </c>
      <c r="B28" s="354">
        <v>-64.463999999999999</v>
      </c>
      <c r="C28" s="432">
        <v>16.844999999999999</v>
      </c>
      <c r="D28" s="432">
        <v>38.131</v>
      </c>
      <c r="E28" s="432">
        <v>1.5489999999999999</v>
      </c>
      <c r="F28" s="432">
        <v>3.161</v>
      </c>
      <c r="G28" s="432">
        <v>8.1129999999999995</v>
      </c>
      <c r="H28" s="610">
        <v>0</v>
      </c>
      <c r="I28" s="432">
        <v>0</v>
      </c>
      <c r="J28" s="432">
        <v>0</v>
      </c>
      <c r="K28" s="432">
        <v>0</v>
      </c>
      <c r="L28" s="432">
        <v>0</v>
      </c>
      <c r="M28" s="432">
        <v>0</v>
      </c>
      <c r="N28" s="653">
        <f t="shared" si="0"/>
        <v>3.3349999999999991</v>
      </c>
    </row>
    <row r="29" spans="1:15" s="234" customFormat="1" ht="13.5">
      <c r="A29" s="356" t="s">
        <v>274</v>
      </c>
      <c r="B29" s="354">
        <v>-40.746000000000002</v>
      </c>
      <c r="C29" s="432">
        <v>0</v>
      </c>
      <c r="D29" s="432">
        <v>0</v>
      </c>
      <c r="E29" s="432">
        <v>38.137999999999998</v>
      </c>
      <c r="F29" s="432">
        <v>0</v>
      </c>
      <c r="G29" s="432">
        <v>3.577</v>
      </c>
      <c r="H29" s="610">
        <v>0</v>
      </c>
      <c r="I29" s="432">
        <v>0</v>
      </c>
      <c r="J29" s="432">
        <v>0</v>
      </c>
      <c r="K29" s="432">
        <v>0</v>
      </c>
      <c r="L29" s="432">
        <v>0</v>
      </c>
      <c r="M29" s="432">
        <v>0</v>
      </c>
      <c r="N29" s="653">
        <f t="shared" si="0"/>
        <v>0.96899999999999586</v>
      </c>
    </row>
    <row r="30" spans="1:15" s="234" customFormat="1" ht="13.5">
      <c r="A30" s="356" t="s">
        <v>275</v>
      </c>
      <c r="B30" s="354">
        <v>0</v>
      </c>
      <c r="C30" s="432">
        <v>0</v>
      </c>
      <c r="D30" s="432">
        <v>0</v>
      </c>
      <c r="E30" s="432">
        <v>0</v>
      </c>
      <c r="F30" s="432">
        <v>0</v>
      </c>
      <c r="G30" s="432">
        <v>0</v>
      </c>
      <c r="H30" s="610">
        <v>0</v>
      </c>
      <c r="I30" s="432">
        <v>0</v>
      </c>
      <c r="J30" s="432">
        <v>0</v>
      </c>
      <c r="K30" s="432">
        <v>0</v>
      </c>
      <c r="L30" s="432">
        <v>0</v>
      </c>
      <c r="M30" s="432">
        <v>0</v>
      </c>
      <c r="N30" s="653">
        <f t="shared" si="0"/>
        <v>0</v>
      </c>
    </row>
    <row r="31" spans="1:15" s="234" customFormat="1">
      <c r="A31" s="356" t="s">
        <v>276</v>
      </c>
      <c r="B31" s="354">
        <v>14.26</v>
      </c>
      <c r="C31" s="432">
        <v>38.618000000000002</v>
      </c>
      <c r="D31" s="432">
        <v>65.924999999999997</v>
      </c>
      <c r="E31" s="432">
        <v>60.545999999999999</v>
      </c>
      <c r="F31" s="432">
        <v>28.181999999999999</v>
      </c>
      <c r="G31" s="432">
        <v>27.408999999999999</v>
      </c>
      <c r="H31" s="610">
        <v>0</v>
      </c>
      <c r="I31" s="432">
        <v>0</v>
      </c>
      <c r="J31" s="432">
        <v>0</v>
      </c>
      <c r="K31" s="432">
        <v>0</v>
      </c>
      <c r="L31" s="432">
        <v>0</v>
      </c>
      <c r="M31" s="432">
        <v>0</v>
      </c>
      <c r="N31" s="653">
        <f t="shared" si="0"/>
        <v>234.93999999999997</v>
      </c>
    </row>
    <row r="32" spans="1:15" s="234" customFormat="1" ht="13.5">
      <c r="A32" s="356" t="s">
        <v>277</v>
      </c>
      <c r="B32" s="354">
        <v>0</v>
      </c>
      <c r="C32" s="432">
        <v>0</v>
      </c>
      <c r="D32" s="432">
        <v>0</v>
      </c>
      <c r="E32" s="432">
        <v>29.76</v>
      </c>
      <c r="F32" s="432">
        <v>-0.66800000000000004</v>
      </c>
      <c r="G32" s="432">
        <v>80.459000000000003</v>
      </c>
      <c r="H32" s="610">
        <v>0</v>
      </c>
      <c r="I32" s="432">
        <v>0</v>
      </c>
      <c r="J32" s="432">
        <v>0</v>
      </c>
      <c r="K32" s="432">
        <v>0</v>
      </c>
      <c r="L32" s="432">
        <v>0</v>
      </c>
      <c r="M32" s="432">
        <v>0</v>
      </c>
      <c r="N32" s="653">
        <f t="shared" si="0"/>
        <v>109.551</v>
      </c>
    </row>
    <row r="33" spans="1:15" s="234" customFormat="1" ht="13.5">
      <c r="A33" s="356" t="s">
        <v>278</v>
      </c>
      <c r="B33" s="436">
        <v>8.4019999999999992</v>
      </c>
      <c r="C33" s="437">
        <v>108.336</v>
      </c>
      <c r="D33" s="437">
        <v>349.84399999999999</v>
      </c>
      <c r="E33" s="437">
        <v>-87.331000000000003</v>
      </c>
      <c r="F33" s="437">
        <v>62.57</v>
      </c>
      <c r="G33" s="437">
        <v>74.480999999999995</v>
      </c>
      <c r="H33" s="611">
        <v>0</v>
      </c>
      <c r="I33" s="437">
        <v>0</v>
      </c>
      <c r="J33" s="437">
        <v>0</v>
      </c>
      <c r="K33" s="437">
        <v>0</v>
      </c>
      <c r="L33" s="437">
        <v>0</v>
      </c>
      <c r="M33" s="437">
        <v>0</v>
      </c>
      <c r="N33" s="653">
        <f t="shared" si="0"/>
        <v>516.30199999999991</v>
      </c>
    </row>
    <row r="34" spans="1:15" ht="12.75" thickBot="1">
      <c r="A34" s="371" t="s">
        <v>279</v>
      </c>
      <c r="B34" s="548">
        <f t="shared" ref="B34:M34" si="1">SUM(B9:B33)</f>
        <v>203.04099999999997</v>
      </c>
      <c r="C34" s="549">
        <f t="shared" si="1"/>
        <v>788.15400000000011</v>
      </c>
      <c r="D34" s="549">
        <f t="shared" si="1"/>
        <v>1042.7279999999998</v>
      </c>
      <c r="E34" s="549">
        <f t="shared" si="1"/>
        <v>216.25</v>
      </c>
      <c r="F34" s="549">
        <f t="shared" si="1"/>
        <v>529.80899999999997</v>
      </c>
      <c r="G34" s="549">
        <f t="shared" si="1"/>
        <v>955.88999999999987</v>
      </c>
      <c r="H34" s="612">
        <f t="shared" si="1"/>
        <v>0</v>
      </c>
      <c r="I34" s="549">
        <f t="shared" si="1"/>
        <v>0</v>
      </c>
      <c r="J34" s="549">
        <f t="shared" si="1"/>
        <v>0</v>
      </c>
      <c r="K34" s="549">
        <f t="shared" si="1"/>
        <v>0</v>
      </c>
      <c r="L34" s="549">
        <f t="shared" si="1"/>
        <v>0</v>
      </c>
      <c r="M34" s="549">
        <f t="shared" si="1"/>
        <v>0</v>
      </c>
      <c r="N34" s="655">
        <f>SUM(N9:N33)</f>
        <v>3735.8720000000003</v>
      </c>
    </row>
    <row r="35" spans="1:15">
      <c r="A35" s="356"/>
      <c r="B35" s="354"/>
      <c r="C35" s="233"/>
      <c r="D35" s="233"/>
      <c r="E35" s="233"/>
      <c r="F35" s="233"/>
      <c r="G35" s="233"/>
      <c r="H35" s="613"/>
      <c r="I35" s="233"/>
      <c r="J35" s="233"/>
      <c r="K35" s="233"/>
      <c r="L35" s="233"/>
      <c r="M35" s="233"/>
      <c r="N35" s="653"/>
    </row>
    <row r="36" spans="1:15" s="234" customFormat="1">
      <c r="A36" s="355" t="s">
        <v>280</v>
      </c>
      <c r="B36" s="354"/>
      <c r="C36" s="233"/>
      <c r="D36" s="233"/>
      <c r="E36" s="233"/>
      <c r="F36" s="233"/>
      <c r="G36" s="233"/>
      <c r="H36" s="613"/>
      <c r="I36" s="233"/>
      <c r="J36" s="233"/>
      <c r="K36" s="233"/>
      <c r="L36" s="233"/>
      <c r="M36" s="233"/>
      <c r="N36" s="656"/>
      <c r="O36" s="221"/>
    </row>
    <row r="37" spans="1:15">
      <c r="A37" s="356" t="s">
        <v>258</v>
      </c>
      <c r="B37" s="434">
        <v>0</v>
      </c>
      <c r="C37" s="435">
        <v>0</v>
      </c>
      <c r="D37" s="435">
        <v>0</v>
      </c>
      <c r="E37" s="435">
        <v>0</v>
      </c>
      <c r="F37" s="435">
        <v>0</v>
      </c>
      <c r="G37" s="628">
        <v>0.02</v>
      </c>
      <c r="H37" s="609">
        <v>0</v>
      </c>
      <c r="I37" s="435">
        <v>0</v>
      </c>
      <c r="J37" s="435">
        <v>0</v>
      </c>
      <c r="K37" s="435">
        <v>0</v>
      </c>
      <c r="L37" s="435">
        <v>0</v>
      </c>
      <c r="M37" s="435">
        <v>0</v>
      </c>
      <c r="N37" s="653">
        <f t="shared" ref="N37:N46" si="2">SUM(B37:M37)</f>
        <v>0.02</v>
      </c>
    </row>
    <row r="38" spans="1:15" s="223" customFormat="1" ht="14.25">
      <c r="A38" s="357" t="s">
        <v>281</v>
      </c>
      <c r="B38" s="552">
        <v>4.1000000000000002E-2</v>
      </c>
      <c r="C38" s="432">
        <v>0.68400000000000005</v>
      </c>
      <c r="D38" s="432">
        <v>0</v>
      </c>
      <c r="E38" s="432">
        <v>0</v>
      </c>
      <c r="F38" s="432">
        <v>0</v>
      </c>
      <c r="G38" s="432">
        <v>0</v>
      </c>
      <c r="H38" s="610">
        <v>0</v>
      </c>
      <c r="I38" s="432">
        <v>0</v>
      </c>
      <c r="J38" s="432">
        <v>0</v>
      </c>
      <c r="K38" s="432">
        <v>0</v>
      </c>
      <c r="L38" s="432">
        <v>0</v>
      </c>
      <c r="M38" s="432">
        <v>0</v>
      </c>
      <c r="N38" s="653">
        <f t="shared" si="2"/>
        <v>0.72500000000000009</v>
      </c>
    </row>
    <row r="39" spans="1:15">
      <c r="A39" s="356" t="s">
        <v>191</v>
      </c>
      <c r="B39" s="354">
        <v>7.4930000000000003</v>
      </c>
      <c r="C39" s="432">
        <v>9.1129999999999995</v>
      </c>
      <c r="D39" s="432">
        <v>8.7270000000000003</v>
      </c>
      <c r="E39" s="432">
        <v>5.1609999999999996</v>
      </c>
      <c r="F39" s="432">
        <v>5.5590000000000002</v>
      </c>
      <c r="G39" s="432">
        <v>5.8609999999999998</v>
      </c>
      <c r="H39" s="610">
        <v>0</v>
      </c>
      <c r="I39" s="432">
        <v>0</v>
      </c>
      <c r="J39" s="432">
        <v>0</v>
      </c>
      <c r="K39" s="432">
        <v>0</v>
      </c>
      <c r="L39" s="432">
        <v>0</v>
      </c>
      <c r="M39" s="432">
        <v>0</v>
      </c>
      <c r="N39" s="653">
        <f t="shared" si="2"/>
        <v>41.913999999999994</v>
      </c>
    </row>
    <row r="40" spans="1:15">
      <c r="A40" s="356" t="s">
        <v>282</v>
      </c>
      <c r="B40" s="354">
        <v>0</v>
      </c>
      <c r="C40" s="432">
        <v>0</v>
      </c>
      <c r="D40" s="432">
        <v>0</v>
      </c>
      <c r="E40" s="432">
        <v>0</v>
      </c>
      <c r="F40" s="432">
        <v>0</v>
      </c>
      <c r="G40" s="432">
        <v>0</v>
      </c>
      <c r="H40" s="610">
        <v>0</v>
      </c>
      <c r="I40" s="432">
        <v>0</v>
      </c>
      <c r="J40" s="432">
        <v>0</v>
      </c>
      <c r="K40" s="432">
        <v>0</v>
      </c>
      <c r="L40" s="432">
        <v>0</v>
      </c>
      <c r="M40" s="432">
        <v>0</v>
      </c>
      <c r="N40" s="653">
        <f t="shared" si="2"/>
        <v>0</v>
      </c>
    </row>
    <row r="41" spans="1:15">
      <c r="A41" s="356" t="str">
        <f>A14</f>
        <v>Demand Response Auction Mechanism (DRAM)</v>
      </c>
      <c r="B41" s="354">
        <v>20.731999999999999</v>
      </c>
      <c r="C41" s="432">
        <v>137.51900000000001</v>
      </c>
      <c r="D41" s="432">
        <v>154.41499999999999</v>
      </c>
      <c r="E41" s="432">
        <v>135.97900000000001</v>
      </c>
      <c r="F41" s="432">
        <v>12.586</v>
      </c>
      <c r="G41" s="432">
        <v>37.682000000000002</v>
      </c>
      <c r="H41" s="610">
        <v>0</v>
      </c>
      <c r="I41" s="432">
        <v>0</v>
      </c>
      <c r="J41" s="432">
        <v>0</v>
      </c>
      <c r="K41" s="432">
        <v>0</v>
      </c>
      <c r="L41" s="432">
        <v>0</v>
      </c>
      <c r="M41" s="432">
        <v>0</v>
      </c>
      <c r="N41" s="653">
        <f t="shared" si="2"/>
        <v>498.91300000000001</v>
      </c>
    </row>
    <row r="42" spans="1:15">
      <c r="A42" s="357" t="s">
        <v>283</v>
      </c>
      <c r="B42" s="354">
        <v>20</v>
      </c>
      <c r="C42" s="432">
        <v>20.3</v>
      </c>
      <c r="D42" s="432">
        <v>5.65</v>
      </c>
      <c r="E42" s="432">
        <v>12.8</v>
      </c>
      <c r="F42" s="432">
        <v>26.1</v>
      </c>
      <c r="G42" s="432">
        <v>30.75</v>
      </c>
      <c r="H42" s="610">
        <v>0</v>
      </c>
      <c r="I42" s="432">
        <v>0</v>
      </c>
      <c r="J42" s="432">
        <v>0</v>
      </c>
      <c r="K42" s="432">
        <v>0</v>
      </c>
      <c r="L42" s="432">
        <v>0</v>
      </c>
      <c r="M42" s="432">
        <v>0</v>
      </c>
      <c r="N42" s="653">
        <f t="shared" si="2"/>
        <v>115.6</v>
      </c>
    </row>
    <row r="43" spans="1:15">
      <c r="A43" s="356" t="s">
        <v>203</v>
      </c>
      <c r="B43" s="354">
        <v>0</v>
      </c>
      <c r="C43" s="432">
        <v>0.27600000000000002</v>
      </c>
      <c r="D43" s="432">
        <v>0</v>
      </c>
      <c r="E43" s="432">
        <v>0</v>
      </c>
      <c r="F43" s="432">
        <v>0</v>
      </c>
      <c r="G43" s="432">
        <v>0</v>
      </c>
      <c r="H43" s="610">
        <v>0</v>
      </c>
      <c r="I43" s="432">
        <v>0</v>
      </c>
      <c r="J43" s="432">
        <v>0</v>
      </c>
      <c r="K43" s="432">
        <v>0</v>
      </c>
      <c r="L43" s="432">
        <v>0</v>
      </c>
      <c r="M43" s="432">
        <v>0</v>
      </c>
      <c r="N43" s="653">
        <f t="shared" si="2"/>
        <v>0.27600000000000002</v>
      </c>
    </row>
    <row r="44" spans="1:15">
      <c r="A44" s="356" t="s">
        <v>265</v>
      </c>
      <c r="B44" s="354">
        <v>0</v>
      </c>
      <c r="C44" s="432">
        <v>0</v>
      </c>
      <c r="D44" s="432">
        <v>0</v>
      </c>
      <c r="E44" s="432">
        <v>0</v>
      </c>
      <c r="F44" s="432">
        <v>0</v>
      </c>
      <c r="G44" s="432">
        <v>0</v>
      </c>
      <c r="H44" s="610">
        <v>0</v>
      </c>
      <c r="I44" s="432">
        <v>0</v>
      </c>
      <c r="J44" s="432">
        <v>0</v>
      </c>
      <c r="K44" s="432">
        <v>0</v>
      </c>
      <c r="L44" s="432">
        <v>0</v>
      </c>
      <c r="M44" s="432">
        <v>0</v>
      </c>
      <c r="N44" s="653">
        <f t="shared" si="2"/>
        <v>0</v>
      </c>
    </row>
    <row r="45" spans="1:15">
      <c r="A45" s="529" t="s">
        <v>284</v>
      </c>
      <c r="B45" s="354">
        <v>0</v>
      </c>
      <c r="C45" s="432">
        <v>0</v>
      </c>
      <c r="D45" s="432">
        <v>0</v>
      </c>
      <c r="E45" s="432">
        <v>0</v>
      </c>
      <c r="F45" s="432">
        <v>0</v>
      </c>
      <c r="G45" s="432">
        <v>0</v>
      </c>
      <c r="H45" s="610">
        <v>0</v>
      </c>
      <c r="I45" s="432">
        <v>0</v>
      </c>
      <c r="J45" s="432">
        <v>0</v>
      </c>
      <c r="K45" s="432">
        <v>0</v>
      </c>
      <c r="L45" s="432">
        <v>0</v>
      </c>
      <c r="M45" s="432">
        <v>0</v>
      </c>
      <c r="N45" s="653">
        <f t="shared" si="2"/>
        <v>0</v>
      </c>
    </row>
    <row r="46" spans="1:15">
      <c r="A46" s="356" t="s">
        <v>285</v>
      </c>
      <c r="B46" s="354">
        <v>0</v>
      </c>
      <c r="C46" s="432">
        <v>0</v>
      </c>
      <c r="D46" s="432">
        <v>0</v>
      </c>
      <c r="E46" s="432">
        <v>0</v>
      </c>
      <c r="F46" s="432">
        <v>0</v>
      </c>
      <c r="G46" s="432">
        <v>0</v>
      </c>
      <c r="H46" s="610">
        <v>0</v>
      </c>
      <c r="I46" s="432">
        <v>0</v>
      </c>
      <c r="J46" s="432">
        <v>0</v>
      </c>
      <c r="K46" s="432">
        <v>0</v>
      </c>
      <c r="L46" s="432">
        <v>0</v>
      </c>
      <c r="M46" s="432">
        <v>0</v>
      </c>
      <c r="N46" s="653">
        <f t="shared" si="2"/>
        <v>0</v>
      </c>
    </row>
    <row r="47" spans="1:15">
      <c r="A47" s="550" t="s">
        <v>286</v>
      </c>
      <c r="B47" s="660">
        <f t="shared" ref="B47:M47" si="3">SUM(B37:B46)</f>
        <v>48.265999999999998</v>
      </c>
      <c r="C47" s="661">
        <f t="shared" si="3"/>
        <v>167.89200000000002</v>
      </c>
      <c r="D47" s="661">
        <f t="shared" si="3"/>
        <v>168.792</v>
      </c>
      <c r="E47" s="661">
        <f t="shared" si="3"/>
        <v>153.94000000000003</v>
      </c>
      <c r="F47" s="661">
        <f t="shared" si="3"/>
        <v>44.245000000000005</v>
      </c>
      <c r="G47" s="661">
        <f t="shared" si="3"/>
        <v>74.313000000000002</v>
      </c>
      <c r="H47" s="662">
        <f t="shared" si="3"/>
        <v>0</v>
      </c>
      <c r="I47" s="661">
        <f t="shared" si="3"/>
        <v>0</v>
      </c>
      <c r="J47" s="661">
        <f t="shared" si="3"/>
        <v>0</v>
      </c>
      <c r="K47" s="661">
        <f t="shared" si="3"/>
        <v>0</v>
      </c>
      <c r="L47" s="661">
        <f t="shared" si="3"/>
        <v>0</v>
      </c>
      <c r="M47" s="661">
        <f t="shared" si="3"/>
        <v>0</v>
      </c>
      <c r="N47" s="663">
        <f>SUM(N37:N46)</f>
        <v>657.44799999999998</v>
      </c>
    </row>
    <row r="48" spans="1:15" ht="20.25" customHeight="1" thickBot="1">
      <c r="A48" s="235" t="s">
        <v>287</v>
      </c>
      <c r="B48" s="664">
        <f t="shared" ref="B48:M48" si="4">B47+B34</f>
        <v>251.30699999999996</v>
      </c>
      <c r="C48" s="665">
        <f t="shared" si="4"/>
        <v>956.04600000000016</v>
      </c>
      <c r="D48" s="665">
        <f t="shared" si="4"/>
        <v>1211.5199999999998</v>
      </c>
      <c r="E48" s="665">
        <f t="shared" si="4"/>
        <v>370.19000000000005</v>
      </c>
      <c r="F48" s="665">
        <f t="shared" si="4"/>
        <v>574.05399999999997</v>
      </c>
      <c r="G48" s="665">
        <f t="shared" si="4"/>
        <v>1030.203</v>
      </c>
      <c r="H48" s="666">
        <f t="shared" si="4"/>
        <v>0</v>
      </c>
      <c r="I48" s="665">
        <f t="shared" si="4"/>
        <v>0</v>
      </c>
      <c r="J48" s="665">
        <f t="shared" si="4"/>
        <v>0</v>
      </c>
      <c r="K48" s="665">
        <f t="shared" si="4"/>
        <v>0</v>
      </c>
      <c r="L48" s="665">
        <f t="shared" si="4"/>
        <v>0</v>
      </c>
      <c r="M48" s="665">
        <f t="shared" si="4"/>
        <v>0</v>
      </c>
      <c r="N48" s="667">
        <f>N47+N34</f>
        <v>4393.3200000000006</v>
      </c>
    </row>
    <row r="49" spans="1:14" ht="16.5" customHeight="1">
      <c r="A49" s="236"/>
      <c r="B49" s="358"/>
      <c r="C49" s="358"/>
      <c r="D49" s="358"/>
      <c r="E49" s="358"/>
      <c r="F49" s="358"/>
      <c r="G49" s="358"/>
      <c r="H49" s="612"/>
      <c r="I49" s="358"/>
      <c r="J49" s="659"/>
      <c r="K49" s="358"/>
      <c r="L49" s="358"/>
      <c r="M49" s="358"/>
      <c r="N49" s="657"/>
    </row>
    <row r="50" spans="1:14" ht="30.75" customHeight="1" thickBot="1">
      <c r="A50" s="237" t="s">
        <v>288</v>
      </c>
      <c r="B50" s="238">
        <f>B48+0.2</f>
        <v>251.50699999999995</v>
      </c>
      <c r="C50" s="239">
        <f>C48+0.961</f>
        <v>957.00700000000018</v>
      </c>
      <c r="D50" s="239">
        <f>D48+2.359</f>
        <v>1213.8789999999997</v>
      </c>
      <c r="E50" s="400">
        <f>E48+3.129</f>
        <v>373.31900000000007</v>
      </c>
      <c r="F50" s="239">
        <f>F48+2.518</f>
        <v>576.572</v>
      </c>
      <c r="G50" s="239">
        <f>G48+0.907</f>
        <v>1031.1099999999999</v>
      </c>
      <c r="H50" s="614">
        <v>0</v>
      </c>
      <c r="I50" s="239">
        <v>0</v>
      </c>
      <c r="J50" s="239">
        <v>0</v>
      </c>
      <c r="K50" s="239">
        <v>0</v>
      </c>
      <c r="L50" s="239">
        <v>0</v>
      </c>
      <c r="M50" s="239">
        <v>0</v>
      </c>
      <c r="N50" s="658">
        <f>SUM(B50:M50)</f>
        <v>4403.3940000000002</v>
      </c>
    </row>
    <row r="51" spans="1:14" ht="12.75" customHeight="1">
      <c r="A51" s="271"/>
      <c r="B51" s="272"/>
      <c r="C51" s="272"/>
      <c r="D51" s="272"/>
      <c r="E51" s="272"/>
      <c r="F51" s="272"/>
      <c r="G51" s="272"/>
      <c r="H51" s="272"/>
      <c r="I51" s="272"/>
      <c r="J51" s="272"/>
      <c r="K51" s="272"/>
      <c r="L51" s="272"/>
      <c r="M51" s="272"/>
      <c r="N51" s="273"/>
    </row>
    <row r="52" spans="1:14" ht="12.75" customHeight="1">
      <c r="A52" s="561" t="s">
        <v>101</v>
      </c>
      <c r="B52" s="272"/>
      <c r="C52" s="272"/>
      <c r="D52" s="272"/>
      <c r="E52" s="272"/>
      <c r="F52" s="272"/>
      <c r="G52" s="272"/>
      <c r="H52" s="272"/>
      <c r="I52" s="272"/>
      <c r="J52" s="272"/>
      <c r="K52" s="272"/>
      <c r="L52" s="272"/>
      <c r="M52" s="272"/>
      <c r="N52" s="273"/>
    </row>
    <row r="53" spans="1:14" s="234" customFormat="1" ht="16.5">
      <c r="A53" s="515" t="s">
        <v>289</v>
      </c>
      <c r="G53" s="233"/>
      <c r="H53" s="233"/>
      <c r="J53" s="306"/>
    </row>
    <row r="54" spans="1:14" s="234" customFormat="1" ht="16.5" customHeight="1">
      <c r="A54" s="368" t="s">
        <v>180</v>
      </c>
      <c r="G54" s="233"/>
      <c r="H54" s="233"/>
      <c r="J54" s="306"/>
    </row>
    <row r="55" spans="1:14" s="234" customFormat="1" ht="16.5" customHeight="1">
      <c r="A55" s="368" t="s">
        <v>290</v>
      </c>
      <c r="G55" s="233"/>
      <c r="H55" s="233"/>
      <c r="J55" s="306"/>
    </row>
    <row r="56" spans="1:14" s="621" customFormat="1" ht="16.5">
      <c r="A56" s="368" t="s">
        <v>291</v>
      </c>
      <c r="J56" s="622"/>
    </row>
    <row r="57" spans="1:14" ht="16.5">
      <c r="A57" s="368" t="s">
        <v>292</v>
      </c>
      <c r="B57" s="134"/>
      <c r="C57" s="134"/>
      <c r="D57" s="134"/>
      <c r="E57" s="134"/>
      <c r="F57" s="134"/>
    </row>
    <row r="58" spans="1:14" s="223" customFormat="1" ht="16.5">
      <c r="A58" s="625" t="s">
        <v>293</v>
      </c>
      <c r="B58" s="206"/>
      <c r="C58" s="206"/>
      <c r="D58" s="206"/>
      <c r="E58" s="206"/>
      <c r="F58" s="206"/>
      <c r="J58" s="626"/>
    </row>
    <row r="59" spans="1:14" ht="15">
      <c r="A59" s="249" t="s">
        <v>76</v>
      </c>
    </row>
  </sheetData>
  <printOptions horizontalCentered="1"/>
  <pageMargins left="0" right="0" top="0.55000000000000004" bottom="0" header="0.3" footer="0.15"/>
  <pageSetup paperSize="5" scale="77" orientation="landscape" cellComments="atEnd" r:id="rId1"/>
  <headerFooter alignWithMargins="0">
    <oddHeader xml:space="preserve">&amp;C&amp;"Arial,Bold"
</oddHeader>
    <oddFooter>&amp;Rpage 9 of 11
&amp;A
&amp;D  &amp;T</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showGridLines="0" zoomScaleNormal="100" zoomScaleSheetLayoutView="75" workbookViewId="0">
      <selection activeCell="J33" sqref="J33"/>
    </sheetView>
  </sheetViews>
  <sheetFormatPr defaultColWidth="9.28515625" defaultRowHeight="12.75"/>
  <cols>
    <col min="1" max="1" width="39.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3" width="11" style="20" customWidth="1"/>
    <col min="14" max="14" width="15.7109375" style="20" bestFit="1" customWidth="1"/>
    <col min="15" max="15" width="9.7109375" style="20" bestFit="1" customWidth="1"/>
    <col min="16" max="16" width="9.28515625" style="20"/>
    <col min="17" max="17" width="22.28515625" style="20" customWidth="1"/>
    <col min="18" max="16384" width="9.28515625" style="20"/>
  </cols>
  <sheetData>
    <row r="2" spans="1:14">
      <c r="E2" s="154" t="s">
        <v>39</v>
      </c>
    </row>
    <row r="3" spans="1:14">
      <c r="C3" s="166"/>
      <c r="D3" s="166"/>
      <c r="E3" s="167" t="s">
        <v>294</v>
      </c>
      <c r="F3" s="166"/>
      <c r="G3" s="166"/>
    </row>
    <row r="4" spans="1:14">
      <c r="A4" s="26"/>
      <c r="D4" s="166"/>
      <c r="E4" s="157" t="str">
        <f>'Program MW '!H3</f>
        <v>June 2020</v>
      </c>
      <c r="F4" s="166"/>
    </row>
    <row r="5" spans="1:14">
      <c r="A5" s="553"/>
      <c r="E5" s="157"/>
    </row>
    <row r="6" spans="1:14" ht="13.5" thickBot="1">
      <c r="A6" s="26"/>
      <c r="E6" s="157"/>
    </row>
    <row r="7" spans="1:14" ht="32.25" customHeight="1">
      <c r="A7" s="27" t="s">
        <v>255</v>
      </c>
      <c r="B7" s="28" t="s">
        <v>42</v>
      </c>
      <c r="C7" s="28" t="s">
        <v>43</v>
      </c>
      <c r="D7" s="28" t="s">
        <v>44</v>
      </c>
      <c r="E7" s="28" t="s">
        <v>45</v>
      </c>
      <c r="F7" s="28" t="s">
        <v>31</v>
      </c>
      <c r="G7" s="28" t="s">
        <v>46</v>
      </c>
      <c r="H7" s="28" t="s">
        <v>61</v>
      </c>
      <c r="I7" s="28" t="s">
        <v>78</v>
      </c>
      <c r="J7" s="28" t="s">
        <v>79</v>
      </c>
      <c r="K7" s="28" t="s">
        <v>64</v>
      </c>
      <c r="L7" s="28" t="s">
        <v>80</v>
      </c>
      <c r="M7" s="28" t="s">
        <v>66</v>
      </c>
      <c r="N7" s="642" t="s">
        <v>295</v>
      </c>
    </row>
    <row r="8" spans="1:14" ht="16.5">
      <c r="A8" s="29" t="s">
        <v>296</v>
      </c>
      <c r="N8" s="375"/>
    </row>
    <row r="9" spans="1:14" ht="6" customHeight="1">
      <c r="A9" s="30"/>
      <c r="N9" s="375"/>
    </row>
    <row r="10" spans="1:14">
      <c r="A10" s="30" t="s">
        <v>257</v>
      </c>
      <c r="N10" s="375"/>
    </row>
    <row r="11" spans="1:14" ht="14.25" customHeight="1">
      <c r="A11" s="31" t="s">
        <v>297</v>
      </c>
      <c r="B11" s="250">
        <v>2.2410000000000001</v>
      </c>
      <c r="C11" s="250">
        <v>2.25</v>
      </c>
      <c r="D11" s="250">
        <v>2.7269999999999999</v>
      </c>
      <c r="E11" s="250">
        <v>2.7210000000000001</v>
      </c>
      <c r="F11" s="250">
        <v>2.5259999999999998</v>
      </c>
      <c r="G11" s="250">
        <v>2.597</v>
      </c>
      <c r="H11" s="250">
        <v>0</v>
      </c>
      <c r="I11" s="250">
        <v>0</v>
      </c>
      <c r="J11" s="250">
        <v>0</v>
      </c>
      <c r="K11" s="250">
        <v>0</v>
      </c>
      <c r="L11" s="250">
        <v>0</v>
      </c>
      <c r="M11" s="250">
        <v>0</v>
      </c>
      <c r="N11" s="644">
        <f>SUM(B11:M11)</f>
        <v>15.061999999999999</v>
      </c>
    </row>
    <row r="12" spans="1:14">
      <c r="A12" s="31" t="s">
        <v>114</v>
      </c>
      <c r="B12" s="250">
        <v>0</v>
      </c>
      <c r="C12" s="250">
        <v>0</v>
      </c>
      <c r="D12" s="250">
        <v>0</v>
      </c>
      <c r="E12" s="250">
        <v>0</v>
      </c>
      <c r="F12" s="250">
        <v>0</v>
      </c>
      <c r="G12" s="250">
        <v>0</v>
      </c>
      <c r="H12" s="250">
        <v>0</v>
      </c>
      <c r="I12" s="250">
        <v>0</v>
      </c>
      <c r="J12" s="250">
        <v>0</v>
      </c>
      <c r="K12" s="250">
        <v>0</v>
      </c>
      <c r="L12" s="250">
        <v>0</v>
      </c>
      <c r="M12" s="250">
        <v>0</v>
      </c>
      <c r="N12" s="644">
        <f>SUM(B12:M12)</f>
        <v>0</v>
      </c>
    </row>
    <row r="13" spans="1:14">
      <c r="A13" s="31" t="s">
        <v>298</v>
      </c>
      <c r="B13" s="250">
        <v>0</v>
      </c>
      <c r="C13" s="250">
        <v>0</v>
      </c>
      <c r="D13" s="250">
        <v>0</v>
      </c>
      <c r="E13" s="250">
        <v>0</v>
      </c>
      <c r="F13" s="250">
        <v>0</v>
      </c>
      <c r="G13" s="250">
        <v>0</v>
      </c>
      <c r="H13" s="250">
        <v>0</v>
      </c>
      <c r="I13" s="250">
        <v>0</v>
      </c>
      <c r="J13" s="250">
        <v>0</v>
      </c>
      <c r="K13" s="250">
        <v>0</v>
      </c>
      <c r="L13" s="250">
        <v>0</v>
      </c>
      <c r="M13" s="250">
        <v>0</v>
      </c>
      <c r="N13" s="644">
        <f>SUM(B13:M13)</f>
        <v>0</v>
      </c>
    </row>
    <row r="14" spans="1:14">
      <c r="A14" s="24" t="s">
        <v>299</v>
      </c>
      <c r="B14" s="251">
        <f t="shared" ref="B14:M14" si="0">SUM(B11:B13)</f>
        <v>2.2410000000000001</v>
      </c>
      <c r="C14" s="251">
        <f t="shared" si="0"/>
        <v>2.25</v>
      </c>
      <c r="D14" s="251">
        <f t="shared" si="0"/>
        <v>2.7269999999999999</v>
      </c>
      <c r="E14" s="251">
        <f t="shared" si="0"/>
        <v>2.7210000000000001</v>
      </c>
      <c r="F14" s="251">
        <f t="shared" si="0"/>
        <v>2.5259999999999998</v>
      </c>
      <c r="G14" s="251">
        <f t="shared" si="0"/>
        <v>2.597</v>
      </c>
      <c r="H14" s="251">
        <f t="shared" si="0"/>
        <v>0</v>
      </c>
      <c r="I14" s="251">
        <f t="shared" si="0"/>
        <v>0</v>
      </c>
      <c r="J14" s="251">
        <f t="shared" si="0"/>
        <v>0</v>
      </c>
      <c r="K14" s="251">
        <f t="shared" si="0"/>
        <v>0</v>
      </c>
      <c r="L14" s="251">
        <f t="shared" si="0"/>
        <v>0</v>
      </c>
      <c r="M14" s="251">
        <f t="shared" si="0"/>
        <v>0</v>
      </c>
      <c r="N14" s="645">
        <f>SUM(B14:M14)</f>
        <v>15.061999999999999</v>
      </c>
    </row>
    <row r="15" spans="1:14">
      <c r="A15" s="31"/>
      <c r="B15" s="250"/>
      <c r="C15" s="250"/>
      <c r="D15" s="250"/>
      <c r="E15" s="250"/>
      <c r="F15" s="250"/>
      <c r="G15" s="250"/>
      <c r="H15" s="250"/>
      <c r="I15" s="250"/>
      <c r="J15" s="250"/>
      <c r="K15" s="250"/>
      <c r="L15" s="250"/>
      <c r="M15" s="250"/>
      <c r="N15" s="644"/>
    </row>
    <row r="16" spans="1:14">
      <c r="A16" s="30" t="s">
        <v>300</v>
      </c>
      <c r="B16" s="250"/>
      <c r="C16" s="250"/>
      <c r="D16" s="250"/>
      <c r="E16" s="250"/>
      <c r="F16" s="250"/>
      <c r="G16" s="250"/>
      <c r="H16" s="250"/>
      <c r="I16" s="250"/>
      <c r="J16" s="250"/>
      <c r="K16" s="250"/>
      <c r="L16" s="250"/>
      <c r="M16" s="250"/>
      <c r="N16" s="644"/>
    </row>
    <row r="17" spans="1:19" ht="14.25">
      <c r="A17" s="31" t="s">
        <v>301</v>
      </c>
      <c r="B17" s="250">
        <v>0</v>
      </c>
      <c r="C17" s="250">
        <v>0</v>
      </c>
      <c r="D17" s="250">
        <v>0</v>
      </c>
      <c r="E17" s="250">
        <v>0</v>
      </c>
      <c r="F17" s="250">
        <v>0</v>
      </c>
      <c r="G17" s="250">
        <v>0</v>
      </c>
      <c r="H17" s="256">
        <v>0</v>
      </c>
      <c r="I17" s="256">
        <v>0</v>
      </c>
      <c r="J17" s="256">
        <v>0</v>
      </c>
      <c r="K17" s="256">
        <v>0</v>
      </c>
      <c r="L17" s="256">
        <v>0</v>
      </c>
      <c r="M17" s="256">
        <v>0</v>
      </c>
      <c r="N17" s="644">
        <f>SUM(B17:M17)</f>
        <v>0</v>
      </c>
    </row>
    <row r="18" spans="1:19">
      <c r="A18" s="24" t="s">
        <v>302</v>
      </c>
      <c r="B18" s="251">
        <f t="shared" ref="B18:M18" si="1">SUM(B17:B17)</f>
        <v>0</v>
      </c>
      <c r="C18" s="251">
        <f t="shared" si="1"/>
        <v>0</v>
      </c>
      <c r="D18" s="251">
        <f t="shared" si="1"/>
        <v>0</v>
      </c>
      <c r="E18" s="251">
        <f t="shared" si="1"/>
        <v>0</v>
      </c>
      <c r="F18" s="251">
        <f t="shared" si="1"/>
        <v>0</v>
      </c>
      <c r="G18" s="251">
        <f t="shared" si="1"/>
        <v>0</v>
      </c>
      <c r="H18" s="251">
        <f t="shared" si="1"/>
        <v>0</v>
      </c>
      <c r="I18" s="251">
        <f t="shared" si="1"/>
        <v>0</v>
      </c>
      <c r="J18" s="251">
        <f t="shared" si="1"/>
        <v>0</v>
      </c>
      <c r="K18" s="251">
        <f t="shared" si="1"/>
        <v>0</v>
      </c>
      <c r="L18" s="251">
        <f t="shared" si="1"/>
        <v>0</v>
      </c>
      <c r="M18" s="251">
        <f t="shared" si="1"/>
        <v>0</v>
      </c>
      <c r="N18" s="645">
        <f>SUM(B18:M18)</f>
        <v>0</v>
      </c>
    </row>
    <row r="19" spans="1:19">
      <c r="A19" s="33"/>
      <c r="B19" s="250"/>
      <c r="C19" s="250"/>
      <c r="D19" s="250"/>
      <c r="E19" s="250"/>
      <c r="F19" s="250"/>
      <c r="G19" s="250"/>
      <c r="H19" s="250"/>
      <c r="I19" s="250"/>
      <c r="J19" s="250"/>
      <c r="K19" s="250"/>
      <c r="L19" s="250"/>
      <c r="M19" s="250"/>
      <c r="N19" s="644"/>
    </row>
    <row r="20" spans="1:19">
      <c r="A20" s="30" t="s">
        <v>303</v>
      </c>
      <c r="B20" s="250" t="s">
        <v>58</v>
      </c>
      <c r="C20" s="250" t="s">
        <v>58</v>
      </c>
      <c r="D20" s="250" t="s">
        <v>58</v>
      </c>
      <c r="E20" s="250"/>
      <c r="F20" s="250" t="s">
        <v>58</v>
      </c>
      <c r="G20" s="257"/>
      <c r="H20" s="250" t="s">
        <v>58</v>
      </c>
      <c r="I20" s="250" t="s">
        <v>58</v>
      </c>
      <c r="J20" s="250" t="s">
        <v>58</v>
      </c>
      <c r="K20" s="250" t="s">
        <v>58</v>
      </c>
      <c r="L20" s="250" t="s">
        <v>58</v>
      </c>
      <c r="M20" s="250" t="s">
        <v>58</v>
      </c>
      <c r="N20" s="644" t="s">
        <v>58</v>
      </c>
    </row>
    <row r="21" spans="1:19">
      <c r="A21" s="31" t="s">
        <v>304</v>
      </c>
      <c r="B21" s="250">
        <v>0</v>
      </c>
      <c r="C21" s="250">
        <v>0</v>
      </c>
      <c r="D21" s="250">
        <v>0</v>
      </c>
      <c r="E21" s="250">
        <v>0</v>
      </c>
      <c r="F21" s="250">
        <v>0</v>
      </c>
      <c r="G21" s="250">
        <v>0</v>
      </c>
      <c r="H21" s="256">
        <v>0</v>
      </c>
      <c r="I21" s="256">
        <v>0</v>
      </c>
      <c r="J21" s="256">
        <v>0</v>
      </c>
      <c r="K21" s="256">
        <v>0</v>
      </c>
      <c r="L21" s="256">
        <v>0</v>
      </c>
      <c r="M21" s="256">
        <v>0</v>
      </c>
      <c r="N21" s="644">
        <f>SUM(B21:M21)</f>
        <v>0</v>
      </c>
    </row>
    <row r="22" spans="1:19">
      <c r="A22" s="217" t="s">
        <v>305</v>
      </c>
      <c r="B22" s="251">
        <f t="shared" ref="B22:M22" si="2">SUM(B21:B21)</f>
        <v>0</v>
      </c>
      <c r="C22" s="251">
        <f t="shared" si="2"/>
        <v>0</v>
      </c>
      <c r="D22" s="251">
        <f t="shared" si="2"/>
        <v>0</v>
      </c>
      <c r="E22" s="251">
        <f t="shared" si="2"/>
        <v>0</v>
      </c>
      <c r="F22" s="251">
        <f t="shared" si="2"/>
        <v>0</v>
      </c>
      <c r="G22" s="251">
        <f t="shared" si="2"/>
        <v>0</v>
      </c>
      <c r="H22" s="251">
        <f t="shared" si="2"/>
        <v>0</v>
      </c>
      <c r="I22" s="251">
        <f t="shared" si="2"/>
        <v>0</v>
      </c>
      <c r="J22" s="251">
        <f t="shared" si="2"/>
        <v>0</v>
      </c>
      <c r="K22" s="251">
        <f t="shared" si="2"/>
        <v>0</v>
      </c>
      <c r="L22" s="251">
        <f t="shared" si="2"/>
        <v>0</v>
      </c>
      <c r="M22" s="251">
        <f t="shared" si="2"/>
        <v>0</v>
      </c>
      <c r="N22" s="645">
        <f>SUM(B22:M22)</f>
        <v>0</v>
      </c>
    </row>
    <row r="23" spans="1:19">
      <c r="A23" s="35"/>
      <c r="B23" s="250"/>
      <c r="C23" s="250"/>
      <c r="D23" s="250"/>
      <c r="E23" s="250"/>
      <c r="F23" s="250"/>
      <c r="G23" s="252"/>
      <c r="H23" s="250"/>
      <c r="I23" s="252"/>
      <c r="J23" s="250"/>
      <c r="K23" s="250"/>
      <c r="L23" s="252"/>
      <c r="M23" s="250"/>
      <c r="N23" s="644"/>
    </row>
    <row r="24" spans="1:19">
      <c r="A24" s="36" t="s">
        <v>280</v>
      </c>
      <c r="B24" s="250"/>
      <c r="C24" s="250"/>
      <c r="D24" s="250"/>
      <c r="E24" s="250"/>
      <c r="F24" s="250"/>
      <c r="G24" s="250"/>
      <c r="H24" s="250"/>
      <c r="I24" s="250"/>
      <c r="J24" s="250"/>
      <c r="K24" s="250"/>
      <c r="L24" s="250"/>
      <c r="M24" s="250"/>
      <c r="N24" s="644"/>
    </row>
    <row r="25" spans="1:19">
      <c r="A25" s="31" t="s">
        <v>113</v>
      </c>
      <c r="B25" s="250">
        <v>0</v>
      </c>
      <c r="C25" s="250">
        <v>0</v>
      </c>
      <c r="D25" s="250">
        <v>0</v>
      </c>
      <c r="E25" s="250">
        <v>0</v>
      </c>
      <c r="F25" s="250">
        <v>0</v>
      </c>
      <c r="G25" s="250">
        <v>0</v>
      </c>
      <c r="H25" s="256">
        <v>0</v>
      </c>
      <c r="I25" s="256">
        <v>0</v>
      </c>
      <c r="J25" s="256">
        <v>0</v>
      </c>
      <c r="K25" s="256">
        <v>0</v>
      </c>
      <c r="L25" s="256">
        <v>0</v>
      </c>
      <c r="M25" s="256">
        <v>0</v>
      </c>
      <c r="N25" s="644">
        <f>SUM(B25:M25)</f>
        <v>0</v>
      </c>
    </row>
    <row r="26" spans="1:19">
      <c r="A26" s="31" t="s">
        <v>114</v>
      </c>
      <c r="B26" s="250">
        <v>0</v>
      </c>
      <c r="C26" s="250">
        <v>0</v>
      </c>
      <c r="D26" s="250">
        <v>0</v>
      </c>
      <c r="E26" s="250">
        <v>0</v>
      </c>
      <c r="F26" s="250">
        <v>0</v>
      </c>
      <c r="G26" s="250">
        <v>0</v>
      </c>
      <c r="H26" s="256">
        <v>0</v>
      </c>
      <c r="I26" s="256">
        <v>0</v>
      </c>
      <c r="J26" s="256">
        <v>0</v>
      </c>
      <c r="K26" s="256">
        <v>0</v>
      </c>
      <c r="L26" s="256">
        <v>0</v>
      </c>
      <c r="M26" s="256">
        <v>0</v>
      </c>
      <c r="N26" s="644">
        <f>SUM(B26:M26)</f>
        <v>0</v>
      </c>
    </row>
    <row r="27" spans="1:19">
      <c r="A27" s="31" t="s">
        <v>298</v>
      </c>
      <c r="B27" s="250">
        <v>0</v>
      </c>
      <c r="C27" s="250">
        <v>0</v>
      </c>
      <c r="D27" s="250">
        <v>0</v>
      </c>
      <c r="E27" s="250">
        <v>0</v>
      </c>
      <c r="F27" s="250">
        <v>0</v>
      </c>
      <c r="G27" s="250">
        <v>0</v>
      </c>
      <c r="H27" s="256">
        <v>0</v>
      </c>
      <c r="I27" s="256">
        <v>0</v>
      </c>
      <c r="J27" s="256">
        <v>0</v>
      </c>
      <c r="K27" s="256">
        <v>0</v>
      </c>
      <c r="L27" s="256">
        <v>0</v>
      </c>
      <c r="M27" s="258">
        <v>0</v>
      </c>
      <c r="N27" s="644">
        <f>SUM(B27:M27)</f>
        <v>0</v>
      </c>
    </row>
    <row r="28" spans="1:19">
      <c r="A28" s="37" t="s">
        <v>286</v>
      </c>
      <c r="B28" s="251">
        <f t="shared" ref="B28:H28" si="3">SUM(B25:B27)</f>
        <v>0</v>
      </c>
      <c r="C28" s="251">
        <f t="shared" si="3"/>
        <v>0</v>
      </c>
      <c r="D28" s="251">
        <f t="shared" si="3"/>
        <v>0</v>
      </c>
      <c r="E28" s="251">
        <f t="shared" si="3"/>
        <v>0</v>
      </c>
      <c r="F28" s="251">
        <f t="shared" si="3"/>
        <v>0</v>
      </c>
      <c r="G28" s="251">
        <f t="shared" si="3"/>
        <v>0</v>
      </c>
      <c r="H28" s="251">
        <f t="shared" si="3"/>
        <v>0</v>
      </c>
      <c r="I28" s="251">
        <f>SUM(I24:I27)</f>
        <v>0</v>
      </c>
      <c r="J28" s="251">
        <f>SUM(J25:J27)</f>
        <v>0</v>
      </c>
      <c r="K28" s="251">
        <f>SUM(K25:K27)</f>
        <v>0</v>
      </c>
      <c r="L28" s="251">
        <f>SUM(L25:L27)</f>
        <v>0</v>
      </c>
      <c r="M28" s="251">
        <f>SUM(M25:M27)</f>
        <v>0</v>
      </c>
      <c r="N28" s="645">
        <f>SUM(B28:M28)</f>
        <v>0</v>
      </c>
      <c r="O28" s="32"/>
    </row>
    <row r="29" spans="1:19" ht="10.5" customHeight="1">
      <c r="A29" s="38"/>
      <c r="B29" s="252"/>
      <c r="C29" s="252"/>
      <c r="D29" s="252"/>
      <c r="E29" s="252"/>
      <c r="F29" s="252"/>
      <c r="G29" s="252"/>
      <c r="H29" s="252"/>
      <c r="I29" s="252"/>
      <c r="J29" s="252"/>
      <c r="K29" s="252"/>
      <c r="L29" s="252"/>
      <c r="M29" s="252"/>
      <c r="N29" s="646"/>
    </row>
    <row r="30" spans="1:19" ht="15" customHeight="1">
      <c r="A30" s="24" t="s">
        <v>306</v>
      </c>
      <c r="B30" s="253">
        <v>0</v>
      </c>
      <c r="C30" s="253">
        <v>0</v>
      </c>
      <c r="D30" s="253">
        <v>0</v>
      </c>
      <c r="E30" s="253">
        <v>0</v>
      </c>
      <c r="F30" s="253">
        <v>0</v>
      </c>
      <c r="G30" s="253">
        <v>0</v>
      </c>
      <c r="H30" s="253">
        <v>0</v>
      </c>
      <c r="I30" s="253">
        <v>0</v>
      </c>
      <c r="J30" s="251">
        <v>0</v>
      </c>
      <c r="K30" s="251">
        <v>0</v>
      </c>
      <c r="L30" s="253">
        <v>0</v>
      </c>
      <c r="M30" s="253">
        <v>0</v>
      </c>
      <c r="N30" s="647">
        <f>SUM(B30:M30)</f>
        <v>0</v>
      </c>
      <c r="O30" s="34"/>
      <c r="P30" s="34"/>
      <c r="Q30" s="34"/>
      <c r="R30" s="34"/>
      <c r="S30" s="39"/>
    </row>
    <row r="31" spans="1:19" ht="28.5" customHeight="1" thickBot="1">
      <c r="A31" s="25" t="s">
        <v>307</v>
      </c>
      <c r="B31" s="254">
        <f t="shared" ref="B31:M31" si="4">B14+B18+B22+B28+B30</f>
        <v>2.2410000000000001</v>
      </c>
      <c r="C31" s="254">
        <f t="shared" si="4"/>
        <v>2.25</v>
      </c>
      <c r="D31" s="254">
        <f t="shared" si="4"/>
        <v>2.7269999999999999</v>
      </c>
      <c r="E31" s="254">
        <f t="shared" si="4"/>
        <v>2.7210000000000001</v>
      </c>
      <c r="F31" s="254">
        <f t="shared" si="4"/>
        <v>2.5259999999999998</v>
      </c>
      <c r="G31" s="254">
        <f t="shared" si="4"/>
        <v>2.597</v>
      </c>
      <c r="H31" s="254">
        <f t="shared" si="4"/>
        <v>0</v>
      </c>
      <c r="I31" s="254">
        <f t="shared" si="4"/>
        <v>0</v>
      </c>
      <c r="J31" s="254">
        <f t="shared" si="4"/>
        <v>0</v>
      </c>
      <c r="K31" s="254">
        <f t="shared" si="4"/>
        <v>0</v>
      </c>
      <c r="L31" s="254">
        <f t="shared" si="4"/>
        <v>0</v>
      </c>
      <c r="M31" s="254">
        <f t="shared" si="4"/>
        <v>0</v>
      </c>
      <c r="N31" s="648">
        <f>SUM(B31:M31)</f>
        <v>15.061999999999999</v>
      </c>
      <c r="O31" s="32"/>
    </row>
    <row r="32" spans="1:19" ht="12" customHeight="1">
      <c r="A32" s="40"/>
      <c r="B32" s="41"/>
      <c r="C32" s="41"/>
      <c r="D32" s="255"/>
      <c r="E32" s="41"/>
      <c r="F32" s="41"/>
      <c r="G32" s="41"/>
      <c r="H32" s="41"/>
      <c r="I32" s="255"/>
      <c r="J32" s="255"/>
      <c r="K32" s="255"/>
      <c r="L32" s="255"/>
      <c r="M32" s="255"/>
      <c r="N32" s="41"/>
    </row>
    <row r="33" spans="1:14" ht="14.25">
      <c r="A33" s="593"/>
    </row>
    <row r="34" spans="1:14" ht="12" customHeight="1">
      <c r="A34" s="249" t="s">
        <v>76</v>
      </c>
      <c r="B34" s="32"/>
      <c r="C34" s="32"/>
      <c r="D34" s="32"/>
      <c r="E34" s="32"/>
      <c r="F34" s="32"/>
      <c r="G34" s="32"/>
      <c r="H34" s="32"/>
      <c r="I34" s="32"/>
      <c r="J34" s="32"/>
      <c r="K34" s="32"/>
      <c r="L34" s="32"/>
      <c r="M34" s="32"/>
      <c r="N34" s="32"/>
    </row>
    <row r="35" spans="1:14" ht="14.25" customHeight="1">
      <c r="A35" s="691"/>
      <c r="B35" s="691"/>
      <c r="C35" s="691"/>
      <c r="D35" s="691"/>
      <c r="E35" s="691"/>
      <c r="F35" s="691"/>
      <c r="G35" s="691"/>
      <c r="H35" s="691"/>
      <c r="I35" s="691"/>
      <c r="J35" s="691"/>
      <c r="K35" s="691"/>
      <c r="L35" s="691"/>
      <c r="M35" s="691"/>
      <c r="N35" s="691"/>
    </row>
    <row r="38" spans="1:14">
      <c r="H38" s="32"/>
    </row>
  </sheetData>
  <mergeCells count="1">
    <mergeCell ref="A35:N35"/>
  </mergeCells>
  <printOptions horizontalCentered="1"/>
  <pageMargins left="0" right="0" top="0.55000000000000004" bottom="0.17" header="0.3" footer="0.15"/>
  <pageSetup paperSize="5" scale="93" orientation="landscape" cellComments="atEnd" r:id="rId1"/>
  <headerFooter alignWithMargins="0">
    <oddHeader xml:space="preserve">&amp;C&amp;"Arial,Bold"
</oddHeader>
    <oddFooter>&amp;Rpage 10 of 11
&amp;A
&amp;D  &amp;T</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S46"/>
  <sheetViews>
    <sheetView showGridLines="0" zoomScaleNormal="100" zoomScaleSheetLayoutView="75" workbookViewId="0">
      <selection activeCell="A24" sqref="A24"/>
    </sheetView>
  </sheetViews>
  <sheetFormatPr defaultColWidth="9.28515625" defaultRowHeight="12.75"/>
  <cols>
    <col min="1" max="1" width="53.42578125" style="20" customWidth="1"/>
    <col min="2" max="2" width="11" style="20" customWidth="1"/>
    <col min="3" max="3" width="9.7109375" style="20" customWidth="1"/>
    <col min="4" max="4" width="15.5703125" style="20" customWidth="1"/>
    <col min="5" max="5" width="11.7109375" style="20" customWidth="1"/>
    <col min="6" max="8" width="11" style="20" customWidth="1"/>
    <col min="9" max="9" width="10.28515625" style="20" bestFit="1" customWidth="1"/>
    <col min="10" max="10" width="11" style="20" customWidth="1"/>
    <col min="11" max="11" width="11.5703125" style="20" customWidth="1"/>
    <col min="12" max="12" width="11" style="20" customWidth="1"/>
    <col min="13" max="13" width="12.28515625" style="20" bestFit="1" customWidth="1"/>
    <col min="14" max="14" width="15.7109375" style="20" bestFit="1" customWidth="1"/>
    <col min="15" max="15" width="9.7109375" style="20" bestFit="1" customWidth="1"/>
    <col min="16" max="16" width="22.7109375" style="20" bestFit="1" customWidth="1"/>
    <col min="17" max="17" width="22.28515625" style="20" customWidth="1"/>
    <col min="18" max="16384" width="9.28515625" style="20"/>
  </cols>
  <sheetData>
    <row r="3" spans="1:16">
      <c r="E3" s="154" t="s">
        <v>39</v>
      </c>
    </row>
    <row r="4" spans="1:16">
      <c r="C4" s="166"/>
      <c r="D4" s="166"/>
      <c r="E4" s="167" t="s">
        <v>308</v>
      </c>
      <c r="F4" s="166"/>
      <c r="G4" s="166"/>
    </row>
    <row r="5" spans="1:16">
      <c r="D5" s="166"/>
      <c r="E5" s="157" t="str">
        <f>'Program MW '!H3</f>
        <v>June 2020</v>
      </c>
      <c r="F5" s="166"/>
    </row>
    <row r="6" spans="1:16">
      <c r="E6" s="157"/>
    </row>
    <row r="7" spans="1:16" ht="13.5" thickBot="1">
      <c r="A7" s="26"/>
    </row>
    <row r="8" spans="1:16" ht="32.25" customHeight="1" thickBot="1">
      <c r="A8" s="425" t="s">
        <v>255</v>
      </c>
      <c r="B8" s="383" t="s">
        <v>42</v>
      </c>
      <c r="C8" s="28" t="s">
        <v>43</v>
      </c>
      <c r="D8" s="28" t="s">
        <v>44</v>
      </c>
      <c r="E8" s="28" t="s">
        <v>45</v>
      </c>
      <c r="F8" s="28" t="s">
        <v>31</v>
      </c>
      <c r="G8" s="28" t="s">
        <v>46</v>
      </c>
      <c r="H8" s="28" t="s">
        <v>61</v>
      </c>
      <c r="I8" s="28" t="s">
        <v>78</v>
      </c>
      <c r="J8" s="28" t="s">
        <v>79</v>
      </c>
      <c r="K8" s="28" t="s">
        <v>64</v>
      </c>
      <c r="L8" s="28" t="s">
        <v>80</v>
      </c>
      <c r="M8" s="28" t="s">
        <v>66</v>
      </c>
      <c r="N8" s="642" t="s">
        <v>295</v>
      </c>
    </row>
    <row r="9" spans="1:16" ht="25.5">
      <c r="A9" s="426" t="s">
        <v>309</v>
      </c>
      <c r="B9" s="596"/>
      <c r="C9" s="257"/>
      <c r="M9" s="424"/>
      <c r="N9" s="643"/>
      <c r="P9" s="424"/>
    </row>
    <row r="10" spans="1:16" ht="6" customHeight="1">
      <c r="A10" s="372"/>
      <c r="B10" s="596"/>
      <c r="C10" s="257"/>
      <c r="M10" s="424"/>
      <c r="N10" s="375"/>
    </row>
    <row r="11" spans="1:16">
      <c r="A11" s="372" t="s">
        <v>257</v>
      </c>
      <c r="B11" s="596"/>
      <c r="C11" s="257"/>
      <c r="M11" s="424"/>
      <c r="N11" s="375"/>
    </row>
    <row r="12" spans="1:16" ht="14.25">
      <c r="A12" s="373" t="s">
        <v>310</v>
      </c>
      <c r="B12" s="597">
        <v>0.624</v>
      </c>
      <c r="C12" s="597">
        <v>0</v>
      </c>
      <c r="D12" s="557">
        <v>9.1020000000000003</v>
      </c>
      <c r="E12" s="557">
        <v>-15.545</v>
      </c>
      <c r="F12" s="557">
        <v>6.4119999999999999</v>
      </c>
      <c r="G12" s="557">
        <v>0</v>
      </c>
      <c r="H12" s="557">
        <v>0</v>
      </c>
      <c r="I12" s="557">
        <v>0</v>
      </c>
      <c r="J12" s="557">
        <v>0</v>
      </c>
      <c r="K12" s="557">
        <v>0</v>
      </c>
      <c r="L12" s="557">
        <v>0</v>
      </c>
      <c r="M12" s="557">
        <v>0</v>
      </c>
      <c r="N12" s="644">
        <f t="shared" ref="N12:N17" si="0">SUM(B12:M12)</f>
        <v>0.59300000000000086</v>
      </c>
    </row>
    <row r="13" spans="1:16" ht="14.25">
      <c r="A13" s="373" t="s">
        <v>311</v>
      </c>
      <c r="B13" s="597">
        <v>41.542999999999999</v>
      </c>
      <c r="C13" s="597">
        <v>81.834000000000003</v>
      </c>
      <c r="D13" s="557">
        <v>59.106999999999999</v>
      </c>
      <c r="E13" s="557">
        <v>70.947999999999993</v>
      </c>
      <c r="F13" s="557">
        <v>83.474000000000004</v>
      </c>
      <c r="G13" s="557">
        <v>54.384</v>
      </c>
      <c r="H13" s="557">
        <v>0</v>
      </c>
      <c r="I13" s="557">
        <v>0</v>
      </c>
      <c r="J13" s="557">
        <v>0</v>
      </c>
      <c r="K13" s="557">
        <v>0</v>
      </c>
      <c r="L13" s="557">
        <v>0</v>
      </c>
      <c r="M13" s="557">
        <v>0</v>
      </c>
      <c r="N13" s="644">
        <f t="shared" si="0"/>
        <v>391.29</v>
      </c>
    </row>
    <row r="14" spans="1:16">
      <c r="A14" s="373" t="s">
        <v>312</v>
      </c>
      <c r="B14" s="597">
        <v>0</v>
      </c>
      <c r="C14" s="597">
        <v>0</v>
      </c>
      <c r="D14" s="557">
        <v>0</v>
      </c>
      <c r="E14" s="557">
        <v>0</v>
      </c>
      <c r="F14" s="557">
        <v>0</v>
      </c>
      <c r="G14" s="557">
        <v>10.582000000000001</v>
      </c>
      <c r="H14" s="557">
        <v>0</v>
      </c>
      <c r="I14" s="557">
        <v>0</v>
      </c>
      <c r="J14" s="557">
        <v>0</v>
      </c>
      <c r="K14" s="557">
        <v>0</v>
      </c>
      <c r="L14" s="557">
        <v>0</v>
      </c>
      <c r="M14" s="557">
        <v>0</v>
      </c>
      <c r="N14" s="644">
        <f t="shared" si="0"/>
        <v>10.582000000000001</v>
      </c>
    </row>
    <row r="15" spans="1:16" ht="14.25">
      <c r="A15" s="373" t="s">
        <v>313</v>
      </c>
      <c r="B15" s="597">
        <v>0</v>
      </c>
      <c r="C15" s="597">
        <v>0</v>
      </c>
      <c r="D15" s="557">
        <v>0</v>
      </c>
      <c r="E15" s="557">
        <v>21.759</v>
      </c>
      <c r="F15" s="557">
        <v>0</v>
      </c>
      <c r="G15" s="557">
        <v>0</v>
      </c>
      <c r="H15" s="557">
        <v>0</v>
      </c>
      <c r="I15" s="557">
        <v>0</v>
      </c>
      <c r="J15" s="557">
        <v>0</v>
      </c>
      <c r="K15" s="557">
        <v>0</v>
      </c>
      <c r="L15" s="557">
        <v>0</v>
      </c>
      <c r="M15" s="557">
        <v>0</v>
      </c>
      <c r="N15" s="644">
        <f t="shared" si="0"/>
        <v>21.759</v>
      </c>
    </row>
    <row r="16" spans="1:16" ht="14.25">
      <c r="A16" s="427" t="s">
        <v>314</v>
      </c>
      <c r="B16" s="597">
        <v>0</v>
      </c>
      <c r="C16" s="597">
        <v>0</v>
      </c>
      <c r="D16" s="557">
        <v>0</v>
      </c>
      <c r="E16" s="557">
        <v>0</v>
      </c>
      <c r="F16" s="557">
        <v>7.0780000000000003</v>
      </c>
      <c r="G16" s="557">
        <v>33.576999999999998</v>
      </c>
      <c r="H16" s="557">
        <v>0</v>
      </c>
      <c r="I16" s="557">
        <v>0</v>
      </c>
      <c r="J16" s="557">
        <v>0</v>
      </c>
      <c r="K16" s="557">
        <v>0</v>
      </c>
      <c r="L16" s="557">
        <v>0</v>
      </c>
      <c r="M16" s="557">
        <v>0</v>
      </c>
      <c r="N16" s="644">
        <f t="shared" si="0"/>
        <v>40.655000000000001</v>
      </c>
      <c r="O16" s="32"/>
    </row>
    <row r="17" spans="1:16">
      <c r="A17" s="551" t="s">
        <v>299</v>
      </c>
      <c r="B17" s="598">
        <f t="shared" ref="B17:M17" si="1">SUM(B12:B16)</f>
        <v>42.167000000000002</v>
      </c>
      <c r="C17" s="599">
        <f t="shared" si="1"/>
        <v>81.834000000000003</v>
      </c>
      <c r="D17" s="251">
        <f t="shared" si="1"/>
        <v>68.209000000000003</v>
      </c>
      <c r="E17" s="251">
        <f t="shared" si="1"/>
        <v>77.161999999999992</v>
      </c>
      <c r="F17" s="251">
        <f t="shared" si="1"/>
        <v>96.964000000000013</v>
      </c>
      <c r="G17" s="251">
        <f t="shared" si="1"/>
        <v>98.543000000000006</v>
      </c>
      <c r="H17" s="251">
        <f t="shared" si="1"/>
        <v>0</v>
      </c>
      <c r="I17" s="251">
        <f t="shared" si="1"/>
        <v>0</v>
      </c>
      <c r="J17" s="251">
        <f t="shared" si="1"/>
        <v>0</v>
      </c>
      <c r="K17" s="251">
        <f t="shared" si="1"/>
        <v>0</v>
      </c>
      <c r="L17" s="251">
        <f t="shared" si="1"/>
        <v>0</v>
      </c>
      <c r="M17" s="251">
        <f t="shared" si="1"/>
        <v>0</v>
      </c>
      <c r="N17" s="645">
        <f t="shared" si="0"/>
        <v>464.87900000000002</v>
      </c>
    </row>
    <row r="18" spans="1:16">
      <c r="A18" s="375"/>
      <c r="B18" s="600"/>
      <c r="C18" s="34"/>
      <c r="D18" s="250"/>
      <c r="E18" s="250"/>
      <c r="F18" s="250"/>
      <c r="G18" s="250"/>
      <c r="H18" s="250"/>
      <c r="I18" s="250"/>
      <c r="J18" s="250" t="s">
        <v>58</v>
      </c>
      <c r="K18" s="250"/>
      <c r="L18" s="250"/>
      <c r="M18" s="557"/>
      <c r="N18" s="644"/>
      <c r="P18" s="420"/>
    </row>
    <row r="19" spans="1:16">
      <c r="A19" s="372" t="s">
        <v>315</v>
      </c>
      <c r="B19" s="600"/>
      <c r="C19" s="34"/>
      <c r="D19" s="250"/>
      <c r="E19" s="250"/>
      <c r="F19" s="250"/>
      <c r="G19" s="250"/>
      <c r="H19" s="250"/>
      <c r="I19" s="250"/>
      <c r="J19" s="250"/>
      <c r="K19" s="250"/>
      <c r="L19" s="250"/>
      <c r="M19" s="557"/>
      <c r="N19" s="644"/>
      <c r="P19" s="420"/>
    </row>
    <row r="20" spans="1:16">
      <c r="A20" s="373" t="s">
        <v>316</v>
      </c>
      <c r="B20" s="600">
        <v>43.341999999999999</v>
      </c>
      <c r="C20" s="34">
        <v>43.341999999999999</v>
      </c>
      <c r="D20" s="250">
        <v>43.341999999999999</v>
      </c>
      <c r="E20" s="250">
        <v>43.359000000000002</v>
      </c>
      <c r="F20" s="250">
        <v>43.359000000000002</v>
      </c>
      <c r="G20" s="250">
        <v>43.359000000000002</v>
      </c>
      <c r="H20" s="250">
        <v>0</v>
      </c>
      <c r="I20" s="250">
        <v>0</v>
      </c>
      <c r="J20" s="250">
        <v>0</v>
      </c>
      <c r="K20" s="250">
        <v>0</v>
      </c>
      <c r="L20" s="250">
        <v>0</v>
      </c>
      <c r="M20" s="557">
        <v>0</v>
      </c>
      <c r="N20" s="644">
        <f>SUM(B20:M20)</f>
        <v>260.10300000000001</v>
      </c>
      <c r="P20" s="420"/>
    </row>
    <row r="21" spans="1:16">
      <c r="A21" s="373" t="s">
        <v>317</v>
      </c>
      <c r="B21" s="600">
        <v>19.079000000000001</v>
      </c>
      <c r="C21" s="34">
        <v>19.116</v>
      </c>
      <c r="D21" s="250">
        <v>19.033999999999999</v>
      </c>
      <c r="E21" s="250">
        <v>18.96</v>
      </c>
      <c r="F21" s="250">
        <v>18.879000000000001</v>
      </c>
      <c r="G21" s="250">
        <v>18.797000000000001</v>
      </c>
      <c r="H21" s="250">
        <v>0</v>
      </c>
      <c r="I21" s="250">
        <v>0</v>
      </c>
      <c r="J21" s="250">
        <v>0</v>
      </c>
      <c r="K21" s="250">
        <v>0</v>
      </c>
      <c r="L21" s="250">
        <v>0</v>
      </c>
      <c r="M21" s="557">
        <v>0</v>
      </c>
      <c r="N21" s="644">
        <f t="shared" ref="N21:N22" si="2">SUM(B21:M21)</f>
        <v>113.86499999999999</v>
      </c>
      <c r="P21" s="420"/>
    </row>
    <row r="22" spans="1:16">
      <c r="A22" s="373" t="s">
        <v>318</v>
      </c>
      <c r="B22" s="600">
        <v>2.4089999999999998</v>
      </c>
      <c r="C22" s="34">
        <v>2.4089999999999998</v>
      </c>
      <c r="D22" s="250">
        <v>2.4089999999999998</v>
      </c>
      <c r="E22" s="250">
        <v>2.4089999999999998</v>
      </c>
      <c r="F22" s="250">
        <v>2.4089999999999998</v>
      </c>
      <c r="G22" s="250">
        <v>2.4089999999999998</v>
      </c>
      <c r="H22" s="250">
        <v>0</v>
      </c>
      <c r="I22" s="250">
        <v>0</v>
      </c>
      <c r="J22" s="250">
        <v>0</v>
      </c>
      <c r="K22" s="250">
        <v>0</v>
      </c>
      <c r="L22" s="250">
        <v>0</v>
      </c>
      <c r="M22" s="557">
        <v>0</v>
      </c>
      <c r="N22" s="644">
        <f t="shared" si="2"/>
        <v>14.453999999999997</v>
      </c>
      <c r="P22" s="420"/>
    </row>
    <row r="23" spans="1:16">
      <c r="A23" s="376" t="s">
        <v>319</v>
      </c>
      <c r="B23" s="600">
        <v>8.3109999999999999</v>
      </c>
      <c r="C23" s="34">
        <v>8.0380000000000003</v>
      </c>
      <c r="D23" s="250">
        <v>7.7649999999999997</v>
      </c>
      <c r="E23" s="250">
        <v>7.4930000000000003</v>
      </c>
      <c r="F23" s="250">
        <v>7.22</v>
      </c>
      <c r="G23" s="250">
        <v>6.9470000000000001</v>
      </c>
      <c r="H23" s="250">
        <v>0</v>
      </c>
      <c r="I23" s="250">
        <v>0</v>
      </c>
      <c r="J23" s="250">
        <v>0</v>
      </c>
      <c r="K23" s="250">
        <v>0</v>
      </c>
      <c r="L23" s="250">
        <v>0</v>
      </c>
      <c r="M23" s="557">
        <v>0</v>
      </c>
      <c r="N23" s="644">
        <f>SUM(B23:M23)</f>
        <v>45.774000000000001</v>
      </c>
      <c r="P23" s="420"/>
    </row>
    <row r="24" spans="1:16">
      <c r="A24" s="374" t="s">
        <v>302</v>
      </c>
      <c r="B24" s="601">
        <f>SUM(B20:B23)</f>
        <v>73.140999999999991</v>
      </c>
      <c r="C24" s="599">
        <f t="shared" ref="C24:M24" si="3">SUM(C20:C23)</f>
        <v>72.905000000000001</v>
      </c>
      <c r="D24" s="251">
        <f t="shared" si="3"/>
        <v>72.55</v>
      </c>
      <c r="E24" s="251">
        <f t="shared" si="3"/>
        <v>72.221000000000004</v>
      </c>
      <c r="F24" s="251">
        <f t="shared" si="3"/>
        <v>71.867000000000004</v>
      </c>
      <c r="G24" s="251">
        <f t="shared" si="3"/>
        <v>71.512000000000015</v>
      </c>
      <c r="H24" s="251">
        <f t="shared" si="3"/>
        <v>0</v>
      </c>
      <c r="I24" s="251">
        <f t="shared" si="3"/>
        <v>0</v>
      </c>
      <c r="J24" s="251">
        <f t="shared" si="3"/>
        <v>0</v>
      </c>
      <c r="K24" s="251">
        <f t="shared" si="3"/>
        <v>0</v>
      </c>
      <c r="L24" s="251">
        <f t="shared" si="3"/>
        <v>0</v>
      </c>
      <c r="M24" s="251">
        <f t="shared" si="3"/>
        <v>0</v>
      </c>
      <c r="N24" s="645">
        <f>SUM(B24:M24)</f>
        <v>434.19600000000003</v>
      </c>
      <c r="P24" s="420"/>
    </row>
    <row r="25" spans="1:16">
      <c r="A25" s="376"/>
      <c r="B25" s="600"/>
      <c r="C25" s="34"/>
      <c r="D25" s="250"/>
      <c r="E25" s="250"/>
      <c r="F25" s="250"/>
      <c r="G25" s="250"/>
      <c r="H25" s="250"/>
      <c r="I25" s="250"/>
      <c r="J25" s="250"/>
      <c r="K25" s="250"/>
      <c r="L25" s="250"/>
      <c r="M25" s="557"/>
      <c r="N25" s="644"/>
      <c r="P25" s="420"/>
    </row>
    <row r="26" spans="1:16">
      <c r="A26" s="372"/>
      <c r="B26" s="600" t="s">
        <v>58</v>
      </c>
      <c r="C26" s="34" t="s">
        <v>58</v>
      </c>
      <c r="D26" s="250" t="s">
        <v>58</v>
      </c>
      <c r="E26" s="250"/>
      <c r="F26" s="250" t="s">
        <v>58</v>
      </c>
      <c r="G26" s="257"/>
      <c r="H26" s="256" t="s">
        <v>58</v>
      </c>
      <c r="I26" s="256" t="s">
        <v>58</v>
      </c>
      <c r="J26" s="256" t="s">
        <v>58</v>
      </c>
      <c r="K26" s="256" t="s">
        <v>58</v>
      </c>
      <c r="L26" s="256" t="s">
        <v>58</v>
      </c>
      <c r="M26" s="641" t="s">
        <v>58</v>
      </c>
      <c r="N26" s="644" t="s">
        <v>58</v>
      </c>
      <c r="P26" s="420"/>
    </row>
    <row r="27" spans="1:16">
      <c r="A27" s="372" t="s">
        <v>303</v>
      </c>
      <c r="B27" s="600">
        <v>0</v>
      </c>
      <c r="C27" s="34">
        <v>0</v>
      </c>
      <c r="D27" s="250">
        <v>0</v>
      </c>
      <c r="E27" s="250">
        <v>0</v>
      </c>
      <c r="F27" s="250">
        <v>0</v>
      </c>
      <c r="G27" s="250">
        <v>0</v>
      </c>
      <c r="H27" s="256">
        <v>0</v>
      </c>
      <c r="I27" s="256">
        <v>0</v>
      </c>
      <c r="J27" s="256">
        <v>0</v>
      </c>
      <c r="K27" s="256">
        <v>0</v>
      </c>
      <c r="L27" s="256">
        <v>0</v>
      </c>
      <c r="M27" s="641">
        <v>0</v>
      </c>
      <c r="N27" s="644">
        <f>SUM(B27:M27)</f>
        <v>0</v>
      </c>
      <c r="P27" s="420"/>
    </row>
    <row r="28" spans="1:16">
      <c r="A28" s="377" t="s">
        <v>305</v>
      </c>
      <c r="B28" s="601">
        <f t="shared" ref="B28:H28" si="4">SUM(B27:B27)</f>
        <v>0</v>
      </c>
      <c r="C28" s="599">
        <f t="shared" si="4"/>
        <v>0</v>
      </c>
      <c r="D28" s="251">
        <f t="shared" si="4"/>
        <v>0</v>
      </c>
      <c r="E28" s="251">
        <f>SUM(E27:E27)</f>
        <v>0</v>
      </c>
      <c r="F28" s="251">
        <f t="shared" si="4"/>
        <v>0</v>
      </c>
      <c r="G28" s="251">
        <f t="shared" si="4"/>
        <v>0</v>
      </c>
      <c r="H28" s="251">
        <f t="shared" si="4"/>
        <v>0</v>
      </c>
      <c r="I28" s="251">
        <f>SUM(I27:I27)</f>
        <v>0</v>
      </c>
      <c r="J28" s="251">
        <f>SUM(J27:J27)</f>
        <v>0</v>
      </c>
      <c r="K28" s="251">
        <f>SUM(K27:K27)</f>
        <v>0</v>
      </c>
      <c r="L28" s="251">
        <f>SUM(L27:L27)</f>
        <v>0</v>
      </c>
      <c r="M28" s="251">
        <f>SUM(M27:M27)</f>
        <v>0</v>
      </c>
      <c r="N28" s="645">
        <f>SUM(B28:M28)</f>
        <v>0</v>
      </c>
      <c r="P28" s="420"/>
    </row>
    <row r="29" spans="1:16">
      <c r="A29" s="378"/>
      <c r="B29" s="600"/>
      <c r="C29" s="34"/>
      <c r="D29" s="250"/>
      <c r="E29" s="250"/>
      <c r="F29" s="250"/>
      <c r="G29" s="252"/>
      <c r="H29" s="250"/>
      <c r="I29" s="252"/>
      <c r="J29" s="250"/>
      <c r="K29" s="250"/>
      <c r="L29" s="252"/>
      <c r="M29" s="557"/>
      <c r="N29" s="644"/>
    </row>
    <row r="30" spans="1:16">
      <c r="A30" s="379"/>
      <c r="B30" s="600"/>
      <c r="C30" s="34"/>
      <c r="D30" s="250"/>
      <c r="E30" s="250"/>
      <c r="F30" s="250"/>
      <c r="G30" s="250"/>
      <c r="H30" s="250"/>
      <c r="I30" s="250"/>
      <c r="J30" s="250"/>
      <c r="K30" s="250"/>
      <c r="L30" s="250"/>
      <c r="M30" s="557"/>
      <c r="N30" s="644"/>
    </row>
    <row r="31" spans="1:16">
      <c r="A31" s="379" t="s">
        <v>280</v>
      </c>
      <c r="B31" s="600">
        <v>0</v>
      </c>
      <c r="C31" s="34">
        <v>0</v>
      </c>
      <c r="D31" s="250">
        <v>0</v>
      </c>
      <c r="E31" s="250">
        <v>0</v>
      </c>
      <c r="F31" s="250">
        <v>0</v>
      </c>
      <c r="G31" s="250">
        <v>0</v>
      </c>
      <c r="H31" s="256">
        <v>0</v>
      </c>
      <c r="I31" s="256">
        <v>0</v>
      </c>
      <c r="J31" s="256">
        <v>0</v>
      </c>
      <c r="K31" s="256">
        <v>0</v>
      </c>
      <c r="L31" s="256">
        <v>0</v>
      </c>
      <c r="M31" s="641">
        <v>0</v>
      </c>
      <c r="N31" s="644">
        <f>SUM(B31:M31)</f>
        <v>0</v>
      </c>
    </row>
    <row r="32" spans="1:16">
      <c r="A32" s="375"/>
      <c r="B32" s="600"/>
      <c r="C32" s="34"/>
      <c r="D32" s="250"/>
      <c r="E32" s="250"/>
      <c r="F32" s="250"/>
      <c r="G32" s="250"/>
      <c r="H32" s="256"/>
      <c r="I32" s="256"/>
      <c r="J32" s="256"/>
      <c r="K32" s="256"/>
      <c r="L32" s="256"/>
      <c r="M32" s="258"/>
      <c r="N32" s="644" t="s">
        <v>58</v>
      </c>
    </row>
    <row r="33" spans="1:19">
      <c r="A33" s="380" t="s">
        <v>286</v>
      </c>
      <c r="B33" s="601">
        <f t="shared" ref="B33:H33" si="5">SUM(B31:B32)</f>
        <v>0</v>
      </c>
      <c r="C33" s="599">
        <f t="shared" si="5"/>
        <v>0</v>
      </c>
      <c r="D33" s="251">
        <f t="shared" si="5"/>
        <v>0</v>
      </c>
      <c r="E33" s="251">
        <f t="shared" si="5"/>
        <v>0</v>
      </c>
      <c r="F33" s="251">
        <f t="shared" si="5"/>
        <v>0</v>
      </c>
      <c r="G33" s="251">
        <f t="shared" si="5"/>
        <v>0</v>
      </c>
      <c r="H33" s="251">
        <f t="shared" si="5"/>
        <v>0</v>
      </c>
      <c r="I33" s="251">
        <f>SUM(I30:I32)</f>
        <v>0</v>
      </c>
      <c r="J33" s="251">
        <f>SUM(J31:J32)</f>
        <v>0</v>
      </c>
      <c r="K33" s="251">
        <f>SUM(K31:K32)</f>
        <v>0</v>
      </c>
      <c r="L33" s="251">
        <f>SUM(L31:L32)</f>
        <v>0</v>
      </c>
      <c r="M33" s="251">
        <f>SUM(M31:M32)</f>
        <v>0</v>
      </c>
      <c r="N33" s="645">
        <f>SUM(B33:M33)</f>
        <v>0</v>
      </c>
      <c r="O33" s="32"/>
    </row>
    <row r="34" spans="1:19" ht="10.5" customHeight="1">
      <c r="A34" s="381"/>
      <c r="B34" s="602"/>
      <c r="C34" s="603"/>
      <c r="D34" s="252"/>
      <c r="E34" s="252"/>
      <c r="F34" s="252"/>
      <c r="G34" s="252"/>
      <c r="H34" s="252"/>
      <c r="I34" s="252"/>
      <c r="J34" s="252"/>
      <c r="K34" s="252"/>
      <c r="L34" s="252"/>
      <c r="M34" s="252"/>
      <c r="N34" s="646"/>
    </row>
    <row r="35" spans="1:19" ht="15" customHeight="1">
      <c r="A35" s="374" t="s">
        <v>306</v>
      </c>
      <c r="B35" s="604">
        <v>0</v>
      </c>
      <c r="C35" s="605">
        <v>0</v>
      </c>
      <c r="D35" s="253">
        <v>0</v>
      </c>
      <c r="E35" s="253">
        <v>0</v>
      </c>
      <c r="F35" s="253">
        <v>0</v>
      </c>
      <c r="G35" s="253">
        <v>0</v>
      </c>
      <c r="H35" s="253">
        <v>0</v>
      </c>
      <c r="I35" s="253">
        <v>0</v>
      </c>
      <c r="J35" s="251">
        <v>0</v>
      </c>
      <c r="K35" s="251">
        <v>0</v>
      </c>
      <c r="L35" s="253">
        <v>0</v>
      </c>
      <c r="M35" s="253">
        <v>0</v>
      </c>
      <c r="N35" s="647">
        <f>SUM(B35:M35)</f>
        <v>0</v>
      </c>
      <c r="O35" s="34"/>
      <c r="P35" s="34"/>
      <c r="Q35" s="34"/>
      <c r="R35" s="34"/>
      <c r="S35" s="39"/>
    </row>
    <row r="36" spans="1:19" ht="15" customHeight="1" thickBot="1">
      <c r="A36" s="382" t="s">
        <v>320</v>
      </c>
      <c r="B36" s="606">
        <f t="shared" ref="B36:L36" si="6">B17+B24+B28+B33+B35</f>
        <v>115.30799999999999</v>
      </c>
      <c r="C36" s="607">
        <f t="shared" si="6"/>
        <v>154.739</v>
      </c>
      <c r="D36" s="254">
        <f t="shared" si="6"/>
        <v>140.75900000000001</v>
      </c>
      <c r="E36" s="254">
        <f t="shared" si="6"/>
        <v>149.38299999999998</v>
      </c>
      <c r="F36" s="254">
        <f t="shared" si="6"/>
        <v>168.83100000000002</v>
      </c>
      <c r="G36" s="254">
        <f t="shared" si="6"/>
        <v>170.05500000000001</v>
      </c>
      <c r="H36" s="254">
        <f>H17+H24+H28+H33+H35</f>
        <v>0</v>
      </c>
      <c r="I36" s="254">
        <f t="shared" si="6"/>
        <v>0</v>
      </c>
      <c r="J36" s="254">
        <f t="shared" si="6"/>
        <v>0</v>
      </c>
      <c r="K36" s="254">
        <f t="shared" si="6"/>
        <v>0</v>
      </c>
      <c r="L36" s="254">
        <f t="shared" si="6"/>
        <v>0</v>
      </c>
      <c r="M36" s="254">
        <f>M17+M24+M28+M33+M35</f>
        <v>0</v>
      </c>
      <c r="N36" s="648">
        <f>SUM(B36:M36)</f>
        <v>899.07500000000005</v>
      </c>
      <c r="O36" s="34"/>
      <c r="P36" s="34"/>
      <c r="Q36" s="34"/>
      <c r="R36" s="34"/>
      <c r="S36" s="39"/>
    </row>
    <row r="37" spans="1:19" ht="26.25" customHeight="1" thickBot="1">
      <c r="A37" s="382" t="s">
        <v>321</v>
      </c>
      <c r="B37" s="606">
        <f>B36+0.082</f>
        <v>115.38999999999999</v>
      </c>
      <c r="C37" s="607">
        <f>C36+0.254</f>
        <v>154.99299999999999</v>
      </c>
      <c r="D37" s="254">
        <f>D36+0.443</f>
        <v>141.20200000000003</v>
      </c>
      <c r="E37" s="254">
        <f>E36+0.584</f>
        <v>149.96699999999998</v>
      </c>
      <c r="F37" s="254">
        <f>F36+0.528</f>
        <v>169.35900000000001</v>
      </c>
      <c r="G37" s="254">
        <f>G36+0.19</f>
        <v>170.245</v>
      </c>
      <c r="H37" s="254">
        <v>0</v>
      </c>
      <c r="I37" s="254">
        <v>0</v>
      </c>
      <c r="J37" s="254">
        <v>0</v>
      </c>
      <c r="K37" s="254">
        <v>0</v>
      </c>
      <c r="L37" s="254">
        <v>0</v>
      </c>
      <c r="M37" s="254">
        <v>0</v>
      </c>
      <c r="N37" s="648">
        <f>SUM(B37:M37)</f>
        <v>901.15600000000006</v>
      </c>
      <c r="O37" s="32"/>
    </row>
    <row r="38" spans="1:19">
      <c r="A38" s="40"/>
      <c r="B38" s="41"/>
      <c r="C38" s="41"/>
      <c r="D38" s="41"/>
      <c r="E38" s="41"/>
      <c r="F38" s="41"/>
      <c r="G38" s="41"/>
      <c r="H38" s="41"/>
      <c r="I38" s="41"/>
      <c r="J38" s="41"/>
      <c r="K38" s="41"/>
      <c r="L38" s="41"/>
      <c r="M38" s="41"/>
      <c r="N38" s="41"/>
    </row>
    <row r="39" spans="1:19" ht="15">
      <c r="A39" s="563" t="s">
        <v>69</v>
      </c>
      <c r="B39" s="562"/>
      <c r="C39" s="562"/>
      <c r="D39" s="562"/>
      <c r="E39" s="562"/>
      <c r="F39" s="562"/>
      <c r="G39" s="562"/>
      <c r="H39" s="562"/>
      <c r="I39" s="562"/>
      <c r="J39" s="562"/>
      <c r="K39" s="562"/>
      <c r="L39" s="562"/>
      <c r="M39" s="562"/>
      <c r="N39" s="562"/>
    </row>
    <row r="40" spans="1:19" ht="17.25">
      <c r="A40" s="517" t="s">
        <v>322</v>
      </c>
      <c r="B40" s="518"/>
      <c r="C40" s="518"/>
      <c r="D40" s="518"/>
      <c r="E40" s="518"/>
      <c r="F40" s="518"/>
      <c r="G40" s="518"/>
      <c r="H40" s="518"/>
      <c r="I40" s="518"/>
      <c r="J40" s="518"/>
      <c r="K40" s="518"/>
      <c r="L40" s="518"/>
      <c r="M40" s="518"/>
      <c r="N40" s="518"/>
    </row>
    <row r="41" spans="1:19" ht="15" customHeight="1">
      <c r="A41" s="692" t="s">
        <v>323</v>
      </c>
      <c r="B41" s="692"/>
      <c r="C41" s="692"/>
      <c r="D41" s="692"/>
      <c r="E41" s="692"/>
      <c r="F41" s="692"/>
      <c r="G41" s="692"/>
      <c r="H41" s="692"/>
      <c r="I41" s="692"/>
      <c r="J41" s="692"/>
      <c r="K41" s="692"/>
      <c r="L41" s="692"/>
      <c r="M41" s="692"/>
      <c r="N41" s="692"/>
    </row>
    <row r="42" spans="1:19" ht="15" customHeight="1">
      <c r="A42" s="519" t="s">
        <v>324</v>
      </c>
      <c r="B42" s="640"/>
      <c r="C42" s="640"/>
      <c r="D42" s="640"/>
      <c r="E42" s="640"/>
      <c r="F42" s="640"/>
      <c r="G42" s="640"/>
      <c r="H42" s="640"/>
      <c r="I42" s="640"/>
      <c r="J42" s="640"/>
      <c r="K42" s="640"/>
      <c r="L42" s="640"/>
      <c r="M42" s="640"/>
      <c r="N42" s="640"/>
    </row>
    <row r="43" spans="1:19" ht="15" customHeight="1">
      <c r="A43" s="623" t="s">
        <v>325</v>
      </c>
      <c r="B43" s="640"/>
      <c r="C43" s="640"/>
      <c r="D43" s="640"/>
      <c r="E43" s="640"/>
      <c r="F43" s="640"/>
      <c r="G43" s="640"/>
      <c r="H43" s="640"/>
      <c r="I43" s="640"/>
      <c r="J43" s="640"/>
      <c r="K43" s="640"/>
      <c r="L43" s="640"/>
      <c r="M43" s="640"/>
      <c r="N43" s="640"/>
    </row>
    <row r="44" spans="1:19" ht="15" customHeight="1">
      <c r="A44" s="519"/>
      <c r="B44" s="640"/>
      <c r="C44" s="640"/>
      <c r="D44" s="640"/>
      <c r="E44" s="640"/>
      <c r="F44" s="640"/>
      <c r="G44" s="640"/>
      <c r="H44" s="640"/>
      <c r="I44" s="640"/>
      <c r="J44" s="640"/>
      <c r="K44" s="640"/>
      <c r="L44" s="640"/>
      <c r="M44" s="640"/>
      <c r="N44" s="640"/>
    </row>
    <row r="45" spans="1:19" ht="15">
      <c r="A45" s="249" t="s">
        <v>76</v>
      </c>
      <c r="E45" s="127"/>
    </row>
    <row r="46" spans="1:19">
      <c r="H46" s="32"/>
    </row>
  </sheetData>
  <mergeCells count="1">
    <mergeCell ref="A41:N41"/>
  </mergeCells>
  <printOptions horizontalCentered="1"/>
  <pageMargins left="0" right="0" top="0.55000000000000004" bottom="0.17" header="0.3" footer="0.15"/>
  <pageSetup paperSize="5" scale="86" orientation="landscape" cellComments="atEnd" r:id="rId1"/>
  <headerFooter alignWithMargins="0">
    <oddHeader xml:space="preserve">&amp;C&amp;"Arial,Bold"
</oddHeader>
    <oddFooter>&amp;Rpage 11 of 11
&amp;A
&amp;D  &amp;T</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E57"/>
  <sheetViews>
    <sheetView showGridLines="0" tabSelected="1" showRuler="0" topLeftCell="B1" zoomScaleNormal="100" zoomScaleSheetLayoutView="80" workbookViewId="0">
      <selection activeCell="I10" sqref="I10"/>
    </sheetView>
  </sheetViews>
  <sheetFormatPr defaultColWidth="9.28515625" defaultRowHeight="12.75"/>
  <cols>
    <col min="1" max="1" width="41.7109375" style="10" customWidth="1"/>
    <col min="2" max="2" width="11.28515625" style="10" customWidth="1"/>
    <col min="3" max="3" width="12.28515625" style="10" customWidth="1"/>
    <col min="4" max="4" width="12.7109375" style="10" customWidth="1"/>
    <col min="5" max="5" width="19.7109375" style="10" customWidth="1"/>
    <col min="6" max="6" width="10.28515625" style="10" customWidth="1"/>
    <col min="7" max="7" width="9.7109375" style="10" bestFit="1" customWidth="1"/>
    <col min="8" max="8" width="11.42578125" style="10" customWidth="1"/>
    <col min="9" max="9" width="11.5703125" style="10" bestFit="1" customWidth="1"/>
    <col min="10" max="10" width="10.7109375" style="10" customWidth="1"/>
    <col min="11" max="14" width="12.5703125" style="10" customWidth="1"/>
    <col min="15" max="15" width="12.42578125" style="10" customWidth="1"/>
    <col min="16" max="16" width="12.5703125" style="10" customWidth="1"/>
    <col min="17" max="17" width="10.7109375" style="10" customWidth="1"/>
    <col min="18" max="18" width="11" style="10" customWidth="1"/>
    <col min="19" max="19" width="11.28515625" style="10" customWidth="1"/>
    <col min="20" max="20" width="14.28515625" style="10" hidden="1" customWidth="1"/>
    <col min="21" max="21" width="9.7109375" style="10" customWidth="1"/>
    <col min="22" max="22" width="11.42578125" style="10" customWidth="1"/>
    <col min="23" max="23" width="11" style="10" customWidth="1"/>
    <col min="24" max="25" width="9.7109375" style="10" customWidth="1"/>
    <col min="26" max="26" width="12.7109375" style="10" customWidth="1"/>
    <col min="27" max="27" width="8.7109375" style="10" bestFit="1" customWidth="1"/>
    <col min="28" max="28" width="10.5703125" style="10" customWidth="1"/>
    <col min="29" max="29" width="9.7109375" style="10" bestFit="1" customWidth="1"/>
    <col min="30" max="30" width="11.28515625" style="10" customWidth="1"/>
    <col min="31" max="31" width="9.7109375" style="10" bestFit="1" customWidth="1"/>
    <col min="32" max="32" width="10.7109375" style="10" customWidth="1"/>
    <col min="33" max="33" width="12.28515625" style="10" bestFit="1" customWidth="1"/>
    <col min="34" max="34" width="12.28515625" style="10" customWidth="1"/>
    <col min="35" max="35" width="9.5703125" style="10" bestFit="1" customWidth="1"/>
    <col min="36" max="36" width="11.28515625" style="10" customWidth="1"/>
    <col min="37" max="37" width="11.7109375" style="10" bestFit="1" customWidth="1"/>
    <col min="38" max="38" width="11.7109375" style="10" customWidth="1"/>
    <col min="39" max="16384" width="9.28515625" style="10"/>
  </cols>
  <sheetData>
    <row r="1" spans="1:31">
      <c r="H1" s="154" t="s">
        <v>39</v>
      </c>
    </row>
    <row r="2" spans="1:31">
      <c r="H2" s="154" t="s">
        <v>40</v>
      </c>
      <c r="Q2" s="12"/>
      <c r="R2" s="90"/>
    </row>
    <row r="3" spans="1:31">
      <c r="C3" s="158"/>
      <c r="E3" s="158"/>
      <c r="G3" s="158"/>
      <c r="H3" s="157" t="s">
        <v>41</v>
      </c>
      <c r="I3" s="158"/>
    </row>
    <row r="4" spans="1:31" hidden="1">
      <c r="C4" s="10">
        <v>2</v>
      </c>
      <c r="D4" s="10">
        <f>C4</f>
        <v>2</v>
      </c>
      <c r="F4" s="10">
        <f>C4+1</f>
        <v>3</v>
      </c>
      <c r="G4" s="10">
        <f>F4</f>
        <v>3</v>
      </c>
      <c r="I4" s="10">
        <f>F4+1</f>
        <v>4</v>
      </c>
      <c r="J4" s="10">
        <f>I4</f>
        <v>4</v>
      </c>
      <c r="L4" s="10">
        <f>I4+1</f>
        <v>5</v>
      </c>
      <c r="M4" s="10">
        <f>L4</f>
        <v>5</v>
      </c>
      <c r="O4" s="10">
        <f>L4+1</f>
        <v>6</v>
      </c>
      <c r="P4" s="10">
        <f>O4</f>
        <v>6</v>
      </c>
      <c r="R4" s="10">
        <f>O4+1</f>
        <v>7</v>
      </c>
      <c r="S4" s="10">
        <f>R4</f>
        <v>7</v>
      </c>
    </row>
    <row r="5" spans="1:31">
      <c r="C5" s="91"/>
    </row>
    <row r="6" spans="1:31">
      <c r="A6" s="92"/>
      <c r="B6" s="93"/>
      <c r="C6" s="567" t="s">
        <v>42</v>
      </c>
      <c r="D6" s="93"/>
      <c r="E6" s="93"/>
      <c r="F6" s="93" t="s">
        <v>43</v>
      </c>
      <c r="G6" s="93"/>
      <c r="H6" s="93"/>
      <c r="I6" s="93" t="s">
        <v>44</v>
      </c>
      <c r="J6" s="93"/>
      <c r="K6" s="93"/>
      <c r="L6" s="93" t="s">
        <v>45</v>
      </c>
      <c r="M6" s="93"/>
      <c r="N6" s="93"/>
      <c r="O6" s="93" t="s">
        <v>31</v>
      </c>
      <c r="P6" s="93"/>
      <c r="Q6" s="93"/>
      <c r="R6" s="93" t="s">
        <v>46</v>
      </c>
      <c r="S6" s="93"/>
      <c r="T6" s="182"/>
    </row>
    <row r="7" spans="1:31" ht="42">
      <c r="A7" s="183" t="s">
        <v>47</v>
      </c>
      <c r="B7" s="204" t="s">
        <v>48</v>
      </c>
      <c r="C7" s="185" t="s">
        <v>49</v>
      </c>
      <c r="D7" s="175" t="s">
        <v>50</v>
      </c>
      <c r="E7" s="184" t="s">
        <v>48</v>
      </c>
      <c r="F7" s="185" t="s">
        <v>49</v>
      </c>
      <c r="G7" s="175" t="s">
        <v>50</v>
      </c>
      <c r="H7" s="186" t="s">
        <v>48</v>
      </c>
      <c r="I7" s="185" t="s">
        <v>49</v>
      </c>
      <c r="J7" s="175" t="s">
        <v>50</v>
      </c>
      <c r="K7" s="187" t="s">
        <v>6</v>
      </c>
      <c r="L7" s="185" t="s">
        <v>49</v>
      </c>
      <c r="M7" s="175" t="s">
        <v>50</v>
      </c>
      <c r="N7" s="187" t="s">
        <v>48</v>
      </c>
      <c r="O7" s="185" t="s">
        <v>49</v>
      </c>
      <c r="P7" s="175" t="s">
        <v>50</v>
      </c>
      <c r="Q7" s="186" t="s">
        <v>6</v>
      </c>
      <c r="R7" s="185" t="s">
        <v>49</v>
      </c>
      <c r="S7" s="175" t="s">
        <v>50</v>
      </c>
      <c r="T7" s="175" t="s">
        <v>51</v>
      </c>
    </row>
    <row r="8" spans="1:31">
      <c r="A8" s="168" t="s">
        <v>52</v>
      </c>
      <c r="B8" s="188"/>
      <c r="C8" s="188"/>
      <c r="D8" s="189"/>
      <c r="E8" s="190"/>
      <c r="F8" s="188"/>
      <c r="G8" s="189"/>
      <c r="H8" s="190"/>
      <c r="I8" s="188"/>
      <c r="J8" s="188"/>
      <c r="K8" s="190"/>
      <c r="L8" s="188"/>
      <c r="M8" s="191"/>
      <c r="N8" s="190"/>
      <c r="O8" s="188"/>
      <c r="P8" s="191"/>
      <c r="Q8" s="190"/>
      <c r="R8" s="188"/>
      <c r="S8" s="191"/>
      <c r="T8" s="192"/>
    </row>
    <row r="9" spans="1:31">
      <c r="A9" s="89" t="s">
        <v>8</v>
      </c>
      <c r="B9" s="106">
        <v>4</v>
      </c>
      <c r="C9" s="391">
        <f>B9*(INDEX('Ex ante LI &amp; Eligibility Stats'!$A:$M,MATCH('Program MW '!$A9,'Ex ante LI &amp; Eligibility Stats'!$A:$A,0),MATCH('Program MW '!C$6,'Ex ante LI &amp; Eligibility Stats'!$A$8:$M$8,0))/1000)</f>
        <v>0.64924000000000004</v>
      </c>
      <c r="D9" s="387">
        <f>B9*(INDEX('Ex post LI &amp; Eligibility Stats'!$A:$N,MATCH($A9,'Ex post LI &amp; Eligibility Stats'!$A:$A,0),MATCH('Program MW '!C$6,'Ex post LI &amp; Eligibility Stats'!$A$8:$N$8,0))/1000)</f>
        <v>1.51572</v>
      </c>
      <c r="E9" s="14">
        <v>4</v>
      </c>
      <c r="F9" s="387">
        <f>E9*(INDEX('Ex ante LI &amp; Eligibility Stats'!$A:$M,MATCH('Program MW '!$A9,'Ex ante LI &amp; Eligibility Stats'!$A:$A,0),MATCH('Program MW '!F$6,'Ex ante LI &amp; Eligibility Stats'!$A$8:$M$8,0))/1000)</f>
        <v>0.43383999999999995</v>
      </c>
      <c r="G9" s="387">
        <f>E9*(INDEX('Ex post LI &amp; Eligibility Stats'!$A:$N,MATCH($A9,'Ex post LI &amp; Eligibility Stats'!$A:$A,0),MATCH('Program MW '!F$6,'Ex post LI &amp; Eligibility Stats'!$A$8:$N$8,0))/1000)</f>
        <v>1.51572</v>
      </c>
      <c r="H9" s="14">
        <v>4</v>
      </c>
      <c r="I9" s="387">
        <f>H9*(INDEX('Ex ante LI &amp; Eligibility Stats'!$A:$M,MATCH('Program MW '!$A9,'Ex ante LI &amp; Eligibility Stats'!$A:$A,0),MATCH('Program MW '!I$6,'Ex ante LI &amp; Eligibility Stats'!$A$8:$M$8,0))/1000)</f>
        <v>0.72393133544921873</v>
      </c>
      <c r="J9" s="387">
        <f>H9*(INDEX('Ex post LI &amp; Eligibility Stats'!$A:$N,MATCH($A9,'Ex post LI &amp; Eligibility Stats'!$A:$A,0),MATCH('Program MW '!I$6,'Ex post LI &amp; Eligibility Stats'!$A$8:$N$8,0))/1000)</f>
        <v>2.2938640136718749</v>
      </c>
      <c r="K9" s="14">
        <v>4</v>
      </c>
      <c r="L9" s="387">
        <f>K9*(INDEX('Ex ante LI &amp; Eligibility Stats'!$A:$M,MATCH('Program MW '!$A9,'Ex ante LI &amp; Eligibility Stats'!$A:$A,0),MATCH('Program MW '!L$6,'Ex ante LI &amp; Eligibility Stats'!$A$8:$M$8,0))/1000)</f>
        <v>0.64798333740234371</v>
      </c>
      <c r="M9" s="387">
        <f>K9*(INDEX('Ex post LI &amp; Eligibility Stats'!$A:$N,MATCH($A9,'Ex post LI &amp; Eligibility Stats'!$A:$A,0),MATCH('Program MW '!L$6,'Ex post LI &amp; Eligibility Stats'!$A$8:$N$8,0))/1000)</f>
        <v>2.2938640136718749</v>
      </c>
      <c r="N9" s="14">
        <v>4</v>
      </c>
      <c r="O9" s="387">
        <f>N9*(INDEX('Ex ante LI &amp; Eligibility Stats'!$A:$M,MATCH('Program MW '!$A9,'Ex ante LI &amp; Eligibility Stats'!$A:$A,0),MATCH('Program MW '!O$6,'Ex ante LI &amp; Eligibility Stats'!$A$8:$M$8,0))/1000)</f>
        <v>0.62296343994140624</v>
      </c>
      <c r="P9" s="387">
        <f>N9*(INDEX('Ex post LI &amp; Eligibility Stats'!$A:$N,MATCH($A9,'Ex post LI &amp; Eligibility Stats'!$A:$A,0),MATCH('Program MW '!O$6,'Ex post LI &amp; Eligibility Stats'!$A$8:$N$8,0))/1000)</f>
        <v>2.2938640136718749</v>
      </c>
      <c r="Q9" s="128">
        <v>4</v>
      </c>
      <c r="R9" s="387">
        <f>Q9*(INDEX('Ex ante LI &amp; Eligibility Stats'!$A:$M,MATCH('Program MW '!$A9,'Ex ante LI &amp; Eligibility Stats'!$A:$A,0),MATCH('Program MW '!R$6,'Ex ante LI &amp; Eligibility Stats'!$A$8:$M$8,0))/1000)</f>
        <v>0.76944903564453127</v>
      </c>
      <c r="S9" s="387">
        <f>Q9*(INDEX('Ex post LI &amp; Eligibility Stats'!$A:$N,MATCH($A9,'Ex post LI &amp; Eligibility Stats'!$A:$A,0),MATCH('Program MW '!R$6,'Ex post LI &amp; Eligibility Stats'!$A$8:$N$8,0))/1000)</f>
        <v>2.2938640136718749</v>
      </c>
      <c r="T9" s="4">
        <v>5276</v>
      </c>
    </row>
    <row r="10" spans="1:31" ht="13.5" thickBot="1">
      <c r="A10" s="193" t="s">
        <v>53</v>
      </c>
      <c r="B10" s="160">
        <f t="shared" ref="B10:Q10" si="0">SUM(B9:B9)</f>
        <v>4</v>
      </c>
      <c r="C10" s="177">
        <f t="shared" si="0"/>
        <v>0.64924000000000004</v>
      </c>
      <c r="D10" s="177">
        <f t="shared" si="0"/>
        <v>1.51572</v>
      </c>
      <c r="E10" s="1">
        <f t="shared" si="0"/>
        <v>4</v>
      </c>
      <c r="F10" s="240">
        <f t="shared" si="0"/>
        <v>0.43383999999999995</v>
      </c>
      <c r="G10" s="240">
        <f t="shared" si="0"/>
        <v>1.51572</v>
      </c>
      <c r="H10" s="1">
        <f t="shared" si="0"/>
        <v>4</v>
      </c>
      <c r="I10" s="240">
        <f t="shared" si="0"/>
        <v>0.72393133544921873</v>
      </c>
      <c r="J10" s="240">
        <f t="shared" si="0"/>
        <v>2.2938640136718749</v>
      </c>
      <c r="K10" s="1">
        <f>SUM(K9)</f>
        <v>4</v>
      </c>
      <c r="L10" s="240">
        <f t="shared" ref="L10:M10" si="1">SUM(L9:L9)</f>
        <v>0.64798333740234371</v>
      </c>
      <c r="M10" s="240">
        <f t="shared" si="1"/>
        <v>2.2938640136718749</v>
      </c>
      <c r="N10" s="1">
        <f t="shared" si="0"/>
        <v>4</v>
      </c>
      <c r="O10" s="240">
        <f t="shared" si="0"/>
        <v>0.62296343994140624</v>
      </c>
      <c r="P10" s="240">
        <f t="shared" si="0"/>
        <v>2.2938640136718749</v>
      </c>
      <c r="Q10" s="129">
        <f t="shared" si="0"/>
        <v>4</v>
      </c>
      <c r="R10" s="240">
        <f t="shared" ref="R10:S10" si="2">SUM(R9:R9)</f>
        <v>0.76944903564453127</v>
      </c>
      <c r="S10" s="240">
        <f t="shared" si="2"/>
        <v>2.2938640136718749</v>
      </c>
      <c r="T10" s="5"/>
    </row>
    <row r="11" spans="1:31" ht="13.5" thickTop="1">
      <c r="A11" s="168" t="s">
        <v>54</v>
      </c>
      <c r="B11" s="178"/>
      <c r="C11" s="176"/>
      <c r="D11" s="179"/>
      <c r="E11" s="194"/>
      <c r="F11" s="195"/>
      <c r="G11" s="196"/>
      <c r="H11" s="194"/>
      <c r="I11" s="197"/>
      <c r="J11" s="196"/>
      <c r="K11" s="194"/>
      <c r="L11" s="197"/>
      <c r="M11" s="196"/>
      <c r="N11" s="194"/>
      <c r="O11" s="395"/>
      <c r="P11" s="396"/>
      <c r="Q11" s="198"/>
      <c r="R11" s="197"/>
      <c r="S11" s="199"/>
      <c r="T11" s="192"/>
      <c r="Y11" s="6"/>
      <c r="Z11" s="6"/>
      <c r="AA11" s="6"/>
      <c r="AB11" s="6"/>
      <c r="AC11" s="6"/>
      <c r="AD11" s="6"/>
      <c r="AE11" s="6"/>
    </row>
    <row r="12" spans="1:31">
      <c r="A12" s="46" t="s">
        <v>11</v>
      </c>
      <c r="B12" s="164">
        <v>14325</v>
      </c>
      <c r="C12" s="387">
        <f>B12*(INDEX('Ex ante LI &amp; Eligibility Stats'!$A:$M,MATCH($A12,'Ex ante LI &amp; Eligibility Stats'!$A:$A,0),MATCH('Program MW '!C$6,'Ex ante LI &amp; Eligibility Stats'!$A$8:$M$8,0))/1000)</f>
        <v>0</v>
      </c>
      <c r="D12" s="386">
        <f>B12*(INDEX('Ex post LI &amp; Eligibility Stats'!$A:$N,MATCH($A12,'Ex post LI &amp; Eligibility Stats'!$A:$A,0),MATCH('Program MW '!C$6,'Ex post LI &amp; Eligibility Stats'!$A$8:$N$8,0))/1000)</f>
        <v>10.45725</v>
      </c>
      <c r="E12" s="164">
        <v>14319</v>
      </c>
      <c r="F12" s="385">
        <f>E12*(INDEX('Ex ante LI &amp; Eligibility Stats'!$A:$M,MATCH($A12,'Ex ante LI &amp; Eligibility Stats'!$A:$A,0),MATCH('Program MW '!F$6,'Ex ante LI &amp; Eligibility Stats'!$A$8:$M$8,0))/1000)</f>
        <v>0</v>
      </c>
      <c r="G12" s="386">
        <f>E12*(INDEX('Ex post LI &amp; Eligibility Stats'!$A:$N,MATCH($A12,'Ex post LI &amp; Eligibility Stats'!$A:$A,0),MATCH('Program MW '!F$6,'Ex post LI &amp; Eligibility Stats'!$A$8:$N$8,0))/1000)</f>
        <v>10.452869999999999</v>
      </c>
      <c r="H12" s="164">
        <v>14282</v>
      </c>
      <c r="I12" s="387">
        <f>H12*(INDEX('Ex ante LI &amp; Eligibility Stats'!$A:$M,MATCH('Program MW '!$A12,'Ex ante LI &amp; Eligibility Stats'!$A:$A,0),MATCH('Program MW '!I$6,'Ex ante LI &amp; Eligibility Stats'!$A$8:$M$8,0))/1000)</f>
        <v>2.0273027641999999</v>
      </c>
      <c r="J12" s="386">
        <f>H12*(INDEX('Ex post LI &amp; Eligibility Stats'!$A:$N,MATCH($A12,'Ex post LI &amp; Eligibility Stats'!$A:$A,0),MATCH('Program MW '!I$6,'Ex post LI &amp; Eligibility Stats'!$A$8:$N$8,0))/1000)</f>
        <v>10.42586</v>
      </c>
      <c r="K12" s="164">
        <v>14248</v>
      </c>
      <c r="L12" s="387">
        <f>K12*(INDEX('Ex ante LI &amp; Eligibility Stats'!$A:$M,MATCH('Program MW '!$A12,'Ex ante LI &amp; Eligibility Stats'!$A:$A,0),MATCH('Program MW '!L$6,'Ex ante LI &amp; Eligibility Stats'!$A$8:$M$8,0))/1000)</f>
        <v>1.9754780759999999</v>
      </c>
      <c r="M12" s="386">
        <f>K12*(INDEX('Ex post LI &amp; Eligibility Stats'!$A:$N,MATCH($A12,'Ex post LI &amp; Eligibility Stats'!$A:$A,0),MATCH('Program MW '!L$6,'Ex post LI &amp; Eligibility Stats'!$A$8:$N$8,0))/1000)</f>
        <v>10.40104</v>
      </c>
      <c r="N12" s="164">
        <v>14178</v>
      </c>
      <c r="O12" s="387">
        <f>N12*(INDEX('Ex ante LI &amp; Eligibility Stats'!$A:$M,MATCH('Program MW '!$A12,'Ex ante LI &amp; Eligibility Stats'!$A:$A,0),MATCH('Program MW '!O$6,'Ex ante LI &amp; Eligibility Stats'!$A$8:$M$8,0))/1000)</f>
        <v>1.9550086733999998</v>
      </c>
      <c r="P12" s="386">
        <f>N12*(INDEX('Ex post LI &amp; Eligibility Stats'!$A:$N,MATCH($A12,'Ex post LI &amp; Eligibility Stats'!$A:$A,0),MATCH('Program MW '!O$6,'Ex post LI &amp; Eligibility Stats'!$A$8:$N$8,0))/1000)</f>
        <v>10.34994</v>
      </c>
      <c r="Q12" s="164">
        <v>14095</v>
      </c>
      <c r="R12" s="387">
        <f>Q12*(INDEX('Ex ante LI &amp; Eligibility Stats'!$A:$M,MATCH('Program MW '!$A12,'Ex ante LI &amp; Eligibility Stats'!$A:$A,0),MATCH('Program MW '!R$6,'Ex ante LI &amp; Eligibility Stats'!$A$8:$M$8,0))/1000)</f>
        <v>1.9500192885000003</v>
      </c>
      <c r="S12" s="386">
        <f>Q12*(INDEX('Ex post LI &amp; Eligibility Stats'!$A:$N,MATCH($A12,'Ex post LI &amp; Eligibility Stats'!$A:$A,0),MATCH('Program MW '!R$6,'Ex post LI &amp; Eligibility Stats'!$A$8:$N$8,0))/1000)</f>
        <v>10.289349999999999</v>
      </c>
      <c r="T12" s="7">
        <v>138123</v>
      </c>
      <c r="U12" s="6"/>
      <c r="V12" s="6"/>
      <c r="W12" s="6"/>
      <c r="X12" s="6"/>
      <c r="Y12" s="6"/>
      <c r="Z12" s="6"/>
      <c r="AA12" s="6"/>
      <c r="AB12" s="6"/>
      <c r="AC12" s="6"/>
      <c r="AD12" s="6"/>
      <c r="AE12" s="6"/>
    </row>
    <row r="13" spans="1:31" ht="13.5">
      <c r="A13" s="215" t="s">
        <v>55</v>
      </c>
      <c r="B13" s="216">
        <v>0</v>
      </c>
      <c r="C13" s="387">
        <v>0</v>
      </c>
      <c r="D13" s="388">
        <v>0</v>
      </c>
      <c r="E13" s="216">
        <v>0</v>
      </c>
      <c r="F13" s="387">
        <v>0</v>
      </c>
      <c r="G13" s="388">
        <v>0</v>
      </c>
      <c r="H13" s="216">
        <v>0</v>
      </c>
      <c r="I13" s="387">
        <v>0</v>
      </c>
      <c r="J13" s="388">
        <v>0</v>
      </c>
      <c r="K13" s="216">
        <v>0</v>
      </c>
      <c r="L13" s="387">
        <v>0</v>
      </c>
      <c r="M13" s="388">
        <v>0</v>
      </c>
      <c r="N13" s="216">
        <v>0</v>
      </c>
      <c r="O13" s="387">
        <v>0</v>
      </c>
      <c r="P13" s="388">
        <v>0</v>
      </c>
      <c r="Q13" s="216">
        <v>0</v>
      </c>
      <c r="R13" s="387">
        <v>0</v>
      </c>
      <c r="S13" s="388">
        <v>0</v>
      </c>
      <c r="T13" s="4"/>
      <c r="U13" s="6"/>
      <c r="V13" s="6"/>
      <c r="W13" s="6"/>
      <c r="X13" s="6"/>
      <c r="Y13" s="6"/>
      <c r="Z13" s="6"/>
      <c r="AA13" s="6"/>
      <c r="AB13" s="6"/>
      <c r="AC13" s="6"/>
      <c r="AD13" s="6"/>
      <c r="AE13" s="6"/>
    </row>
    <row r="14" spans="1:31" ht="14.25">
      <c r="A14" s="169" t="s">
        <v>56</v>
      </c>
      <c r="B14" s="165">
        <v>1</v>
      </c>
      <c r="C14" s="387">
        <v>0</v>
      </c>
      <c r="D14" s="388">
        <v>0</v>
      </c>
      <c r="E14" s="165">
        <v>1</v>
      </c>
      <c r="F14" s="387">
        <v>0</v>
      </c>
      <c r="G14" s="388">
        <v>0</v>
      </c>
      <c r="H14" s="165">
        <v>2</v>
      </c>
      <c r="I14" s="387">
        <f>H14*(INDEX('Ex ante LI &amp; Eligibility Stats'!$A:$M,MATCH('Program MW '!$A14,'Ex ante LI &amp; Eligibility Stats'!$A:$A,0),MATCH('Program MW '!I$6,'Ex ante LI &amp; Eligibility Stats'!$A$8:$M$8,0))/1000)</f>
        <v>0</v>
      </c>
      <c r="J14" s="388">
        <f>H14*(INDEX('Ex post LI &amp; Eligibility Stats'!$A:$N,MATCH($A14,'Ex post LI &amp; Eligibility Stats'!$A:$A,0),MATCH('Program MW '!I$6,'Ex post LI &amp; Eligibility Stats'!$A$8:$N$8,0))/1000)</f>
        <v>2.632E-2</v>
      </c>
      <c r="K14" s="165">
        <v>2</v>
      </c>
      <c r="L14" s="387">
        <f>K14*(INDEX('Ex ante LI &amp; Eligibility Stats'!$A:$M,MATCH('Program MW '!$A14,'Ex ante LI &amp; Eligibility Stats'!$A:$A,0),MATCH('Program MW '!L$6,'Ex ante LI &amp; Eligibility Stats'!$A$8:$M$8,0))/1000)</f>
        <v>0</v>
      </c>
      <c r="M14" s="388">
        <f>K14*(INDEX('Ex post LI &amp; Eligibility Stats'!$A:$N,MATCH($A14,'Ex post LI &amp; Eligibility Stats'!$A:$A,0),MATCH('Program MW '!L$6,'Ex post LI &amp; Eligibility Stats'!$A$8:$N$8,0))/1000)</f>
        <v>2.632E-2</v>
      </c>
      <c r="N14" s="165">
        <v>2</v>
      </c>
      <c r="O14" s="387">
        <f>N14*(INDEX('Ex ante LI &amp; Eligibility Stats'!$A:$M,MATCH('Program MW '!$A14,'Ex ante LI &amp; Eligibility Stats'!$A:$A,0),MATCH('Program MW '!O$6,'Ex ante LI &amp; Eligibility Stats'!$A$8:$M$8,0))/1000)</f>
        <v>2.632E-2</v>
      </c>
      <c r="P14" s="388">
        <f>N14*(INDEX('Ex post LI &amp; Eligibility Stats'!$A:$N,MATCH($A14,'Ex post LI &amp; Eligibility Stats'!$A:$A,0),MATCH('Program MW '!O$6,'Ex post LI &amp; Eligibility Stats'!$A$8:$N$8,0))/1000)</f>
        <v>2.632E-2</v>
      </c>
      <c r="Q14" s="165">
        <v>2</v>
      </c>
      <c r="R14" s="387">
        <f>Q14*(INDEX('Ex ante LI &amp; Eligibility Stats'!$A:$M,MATCH('Program MW '!$A14,'Ex ante LI &amp; Eligibility Stats'!$A:$A,0),MATCH('Program MW '!R$6,'Ex ante LI &amp; Eligibility Stats'!$A$8:$M$8,0))/1000)</f>
        <v>2.632E-2</v>
      </c>
      <c r="S14" s="388">
        <f>Q14*(INDEX('Ex post LI &amp; Eligibility Stats'!$A:$N,MATCH($A14,'Ex post LI &amp; Eligibility Stats'!$A:$A,0),MATCH('Program MW '!R$6,'Ex post LI &amp; Eligibility Stats'!$A$8:$N$8,0))/1000)</f>
        <v>2.632E-2</v>
      </c>
      <c r="T14" s="4"/>
      <c r="U14" s="6"/>
      <c r="V14" s="6"/>
      <c r="W14" s="6"/>
      <c r="X14" s="6"/>
      <c r="Y14" s="6"/>
      <c r="Z14" s="6"/>
      <c r="AA14" s="6"/>
      <c r="AB14" s="6"/>
      <c r="AC14" s="6"/>
      <c r="AD14" s="6"/>
      <c r="AE14" s="6"/>
    </row>
    <row r="15" spans="1:31">
      <c r="A15" s="300" t="s">
        <v>17</v>
      </c>
      <c r="B15" s="165">
        <v>19267</v>
      </c>
      <c r="C15" s="387">
        <f>B15*(INDEX('Ex ante LI &amp; Eligibility Stats'!$A:$M,MATCH($A15,'Ex ante LI &amp; Eligibility Stats'!$A:$A,0),MATCH('Program MW '!C$6,'Ex ante LI &amp; Eligibility Stats'!$A$8:$M$8,0))/1000)</f>
        <v>0</v>
      </c>
      <c r="D15" s="388">
        <f>B15*(INDEX('Ex post LI &amp; Eligibility Stats'!$A:$N,MATCH($A15,'Ex post LI &amp; Eligibility Stats'!$A:$A,0),MATCH('Program MW '!C$6,'Ex post LI &amp; Eligibility Stats'!$A$8:$N$8,0))/1000)</f>
        <v>3.0827200000000001</v>
      </c>
      <c r="E15" s="165">
        <v>19389</v>
      </c>
      <c r="F15" s="387">
        <f>E15*(INDEX('Ex ante LI &amp; Eligibility Stats'!$A:$M,MATCH($A15,'Ex ante LI &amp; Eligibility Stats'!$A:$A,0),MATCH('Program MW '!F$6,'Ex ante LI &amp; Eligibility Stats'!$A$8:$M$8,0))/1000)</f>
        <v>0</v>
      </c>
      <c r="G15" s="388">
        <f>E15*(INDEX('Ex post LI &amp; Eligibility Stats'!$A:$N,MATCH($A15,'Ex post LI &amp; Eligibility Stats'!$A:$A,0),MATCH('Program MW '!F$6,'Ex post LI &amp; Eligibility Stats'!$A$8:$N$8,0))/1000)</f>
        <v>3.1022400000000001</v>
      </c>
      <c r="H15" s="165">
        <v>19514</v>
      </c>
      <c r="I15" s="387">
        <f>H15*(INDEX('Ex ante LI &amp; Eligibility Stats'!$A:$M,MATCH('Program MW '!$A15,'Ex ante LI &amp; Eligibility Stats'!$A:$A,0),MATCH('Program MW '!I$6,'Ex ante LI &amp; Eligibility Stats'!$A$8:$M$8,0))/1000)</f>
        <v>8.363872844347498E-4</v>
      </c>
      <c r="J15" s="388">
        <f>H15*(INDEX('Ex post LI &amp; Eligibility Stats'!$A:$N,MATCH($A15,'Ex post LI &amp; Eligibility Stats'!$A:$A,0),MATCH('Program MW '!I$6,'Ex post LI &amp; Eligibility Stats'!$A$8:$N$8,0))/1000)</f>
        <v>4.2930799999999998</v>
      </c>
      <c r="K15" s="165">
        <v>15350</v>
      </c>
      <c r="L15" s="387">
        <f>K15*(INDEX('Ex ante LI &amp; Eligibility Stats'!$A:$M,MATCH('Program MW '!$A15,'Ex ante LI &amp; Eligibility Stats'!$A:$A,0),MATCH('Program MW '!L$6,'Ex ante LI &amp; Eligibility Stats'!$A$8:$M$8,0))/1000)</f>
        <v>1.2928511034697294</v>
      </c>
      <c r="M15" s="388">
        <f>K15*(INDEX('Ex post LI &amp; Eligibility Stats'!$A:$N,MATCH($A15,'Ex post LI &amp; Eligibility Stats'!$A:$A,0),MATCH('Program MW '!L$6,'Ex post LI &amp; Eligibility Stats'!$A$8:$N$8,0))/1000)</f>
        <v>3.3770000000000002</v>
      </c>
      <c r="N15" s="216">
        <v>15648</v>
      </c>
      <c r="O15" s="387">
        <f>N15*(INDEX('Ex ante LI &amp; Eligibility Stats'!$A:$M,MATCH('Program MW '!$A15,'Ex ante LI &amp; Eligibility Stats'!$A:$A,0),MATCH('Program MW '!O$6,'Ex ante LI &amp; Eligibility Stats'!$A$8:$M$8,0))/1000)</f>
        <v>2.1029281368255615</v>
      </c>
      <c r="P15" s="388">
        <f>N15*(INDEX('Ex post LI &amp; Eligibility Stats'!$A:$N,MATCH($A15,'Ex post LI &amp; Eligibility Stats'!$A:$A,0),MATCH('Program MW '!O$6,'Ex post LI &amp; Eligibility Stats'!$A$8:$N$8,0))/1000)</f>
        <v>3.4425600000000003</v>
      </c>
      <c r="Q15" s="165">
        <v>14944</v>
      </c>
      <c r="R15" s="387">
        <f>Q15*(INDEX('Ex ante LI &amp; Eligibility Stats'!$A:$M,MATCH('Program MW '!$A15,'Ex ante LI &amp; Eligibility Stats'!$A:$A,0),MATCH('Program MW '!R$6,'Ex ante LI &amp; Eligibility Stats'!$A$8:$M$8,0))/1000)</f>
        <v>1.7535013246536255</v>
      </c>
      <c r="S15" s="388">
        <f>Q15*(INDEX('Ex post LI &amp; Eligibility Stats'!$A:$N,MATCH($A15,'Ex post LI &amp; Eligibility Stats'!$A:$A,0),MATCH('Program MW '!R$6,'Ex post LI &amp; Eligibility Stats'!$A$8:$N$8,0))/1000)</f>
        <v>3.2876799999999999</v>
      </c>
      <c r="T15" s="4">
        <v>663393.5</v>
      </c>
      <c r="U15" s="6"/>
      <c r="V15" s="6"/>
      <c r="W15" s="6"/>
      <c r="X15" s="6"/>
      <c r="Y15" s="6"/>
      <c r="Z15" s="6"/>
      <c r="AA15" s="6"/>
      <c r="AB15" s="6"/>
      <c r="AC15" s="6"/>
      <c r="AD15" s="6"/>
      <c r="AE15" s="6"/>
    </row>
    <row r="16" spans="1:31">
      <c r="A16" s="162" t="s">
        <v>20</v>
      </c>
      <c r="B16" s="165">
        <v>1621</v>
      </c>
      <c r="C16" s="387">
        <f>B16*(INDEX('Ex ante LI &amp; Eligibility Stats'!$A:$M,MATCH($A16,'Ex ante LI &amp; Eligibility Stats'!$A:$A,0),MATCH('Program MW '!C$6,'Ex ante LI &amp; Eligibility Stats'!$A$8:$M$8,0))/1000)</f>
        <v>0</v>
      </c>
      <c r="D16" s="388">
        <f>B16*(INDEX('Ex post LI &amp; Eligibility Stats'!$A:$N,MATCH($A16,'Ex post LI &amp; Eligibility Stats'!$A:$A,0),MATCH('Program MW '!C$6,'Ex post LI &amp; Eligibility Stats'!$A$8:$N$8,0))/1000)</f>
        <v>0.76186999999999994</v>
      </c>
      <c r="E16" s="165">
        <v>1632</v>
      </c>
      <c r="F16" s="387">
        <f>E16*(INDEX('Ex ante LI &amp; Eligibility Stats'!$A:$M,MATCH($A16,'Ex ante LI &amp; Eligibility Stats'!$A:$A,0),MATCH('Program MW '!F$6,'Ex ante LI &amp; Eligibility Stats'!$A$8:$M$8,0))/1000)</f>
        <v>0</v>
      </c>
      <c r="G16" s="388">
        <f>E16*(INDEX('Ex post LI &amp; Eligibility Stats'!$A:$N,MATCH($A16,'Ex post LI &amp; Eligibility Stats'!$A:$A,0),MATCH('Program MW '!F$6,'Ex post LI &amp; Eligibility Stats'!$A$8:$N$8,0))/1000)</f>
        <v>0.76703999999999994</v>
      </c>
      <c r="H16" s="165">
        <v>1633</v>
      </c>
      <c r="I16" s="387">
        <f>H16*(INDEX('Ex ante LI &amp; Eligibility Stats'!$A:$M,MATCH('Program MW '!$A16,'Ex ante LI &amp; Eligibility Stats'!$A:$A,0),MATCH('Program MW '!I$6,'Ex ante LI &amp; Eligibility Stats'!$A$8:$M$8,0))/1000)</f>
        <v>2.9353506870102137E-3</v>
      </c>
      <c r="J16" s="388">
        <f>H16*(INDEX('Ex post LI &amp; Eligibility Stats'!$A:$N,MATCH($A16,'Ex post LI &amp; Eligibility Stats'!$A:$A,0),MATCH('Program MW '!I$6,'Ex post LI &amp; Eligibility Stats'!$A$8:$N$8,0))/1000)</f>
        <v>0.58787999999999996</v>
      </c>
      <c r="K16" s="165">
        <v>960</v>
      </c>
      <c r="L16" s="387">
        <f>K16*(INDEX('Ex ante LI &amp; Eligibility Stats'!$A:$M,MATCH('Program MW '!$A16,'Ex ante LI &amp; Eligibility Stats'!$A:$A,0),MATCH('Program MW '!L$6,'Ex ante LI &amp; Eligibility Stats'!$A$8:$M$8,0))/1000)</f>
        <v>0.18351822853088379</v>
      </c>
      <c r="M16" s="388">
        <f>K16*(INDEX('Ex post LI &amp; Eligibility Stats'!$A:$N,MATCH($A16,'Ex post LI &amp; Eligibility Stats'!$A:$A,0),MATCH('Program MW '!L$6,'Ex post LI &amp; Eligibility Stats'!$A$8:$N$8,0))/1000)</f>
        <v>0.34559999999999996</v>
      </c>
      <c r="N16" s="216">
        <v>972</v>
      </c>
      <c r="O16" s="387">
        <f>N16*(INDEX('Ex ante LI &amp; Eligibility Stats'!$A:$M,MATCH('Program MW '!$A16,'Ex ante LI &amp; Eligibility Stats'!$A:$A,0),MATCH('Program MW '!O$6,'Ex ante LI &amp; Eligibility Stats'!$A$8:$M$8,0))/1000)</f>
        <v>0.26925267112255097</v>
      </c>
      <c r="P16" s="388">
        <f>N16*(INDEX('Ex post LI &amp; Eligibility Stats'!$A:$N,MATCH($A16,'Ex post LI &amp; Eligibility Stats'!$A:$A,0),MATCH('Program MW '!O$6,'Ex post LI &amp; Eligibility Stats'!$A$8:$N$8,0))/1000)</f>
        <v>0.34991999999999995</v>
      </c>
      <c r="Q16" s="165">
        <v>980</v>
      </c>
      <c r="R16" s="387">
        <f>Q16*(INDEX('Ex ante LI &amp; Eligibility Stats'!$A:$M,MATCH('Program MW '!$A16,'Ex ante LI &amp; Eligibility Stats'!$A:$A,0),MATCH('Program MW '!R$6,'Ex ante LI &amp; Eligibility Stats'!$A$8:$M$8,0))/1000)</f>
        <v>0.25252178430557248</v>
      </c>
      <c r="S16" s="388">
        <f>Q16*(INDEX('Ex post LI &amp; Eligibility Stats'!$A:$N,MATCH($A16,'Ex post LI &amp; Eligibility Stats'!$A:$A,0),MATCH('Program MW '!R$6,'Ex post LI &amp; Eligibility Stats'!$A$8:$N$8,0))/1000)</f>
        <v>0.35279999999999995</v>
      </c>
      <c r="T16" s="4"/>
      <c r="U16" s="6"/>
      <c r="V16" s="6"/>
      <c r="W16" s="6"/>
      <c r="X16" s="6"/>
      <c r="Y16" s="6"/>
      <c r="Z16" s="6"/>
      <c r="AA16" s="6"/>
      <c r="AB16" s="6"/>
      <c r="AC16" s="6"/>
      <c r="AD16" s="6"/>
      <c r="AE16" s="6"/>
    </row>
    <row r="17" spans="1:31">
      <c r="A17" s="300" t="s">
        <v>21</v>
      </c>
      <c r="B17" s="482">
        <v>8709</v>
      </c>
      <c r="C17" s="387">
        <f>B17*(INDEX('Ex ante LI &amp; Eligibility Stats'!$A:$M,MATCH($A17,'Ex ante LI &amp; Eligibility Stats'!$A:$A,0),MATCH('Program MW '!C$6,'Ex ante LI &amp; Eligibility Stats'!$A$8:$M$8,0))/1000)</f>
        <v>0</v>
      </c>
      <c r="D17" s="388">
        <f>B17*(INDEX('Ex post LI &amp; Eligibility Stats'!$A:$N,MATCH($A17,'Ex post LI &amp; Eligibility Stats'!$A:$A,0),MATCH('Program MW '!C$6,'Ex post LI &amp; Eligibility Stats'!$A$8:$N$8,0))/1000)</f>
        <v>2.1772499999999999</v>
      </c>
      <c r="E17" s="482">
        <v>8522</v>
      </c>
      <c r="F17" s="387">
        <f>E17*(INDEX('Ex ante LI &amp; Eligibility Stats'!$A:$M,MATCH($A17,'Ex ante LI &amp; Eligibility Stats'!$A:$A,0),MATCH('Program MW '!F$6,'Ex ante LI &amp; Eligibility Stats'!$A$8:$M$8,0))/1000)</f>
        <v>0</v>
      </c>
      <c r="G17" s="388">
        <f>E17*(INDEX('Ex post LI &amp; Eligibility Stats'!$A:$N,MATCH($A17,'Ex post LI &amp; Eligibility Stats'!$A:$A,0),MATCH('Program MW '!F$6,'Ex post LI &amp; Eligibility Stats'!$A$8:$N$8,0))/1000)</f>
        <v>2.1305000000000001</v>
      </c>
      <c r="H17" s="482">
        <v>8522</v>
      </c>
      <c r="I17" s="387">
        <f>H17*(INDEX('Ex ante LI &amp; Eligibility Stats'!$A:$M,MATCH('Program MW '!$A17,'Ex ante LI &amp; Eligibility Stats'!$A:$A,0),MATCH('Program MW '!I$6,'Ex ante LI &amp; Eligibility Stats'!$A$8:$M$8,0))/1000)</f>
        <v>0</v>
      </c>
      <c r="J17" s="388">
        <f>H17*(INDEX('Ex post LI &amp; Eligibility Stats'!$A:$N,MATCH($A17,'Ex post LI &amp; Eligibility Stats'!$A:$A,0),MATCH('Program MW '!I$6,'Ex post LI &amp; Eligibility Stats'!$A$8:$N$8,0))/1000)</f>
        <v>0.93742000000000003</v>
      </c>
      <c r="K17" s="482">
        <v>7855</v>
      </c>
      <c r="L17" s="387">
        <f>K17*(INDEX('Ex ante LI &amp; Eligibility Stats'!$A:$M,MATCH('Program MW '!$A17,'Ex ante LI &amp; Eligibility Stats'!$A:$A,0),MATCH('Program MW '!L$6,'Ex ante LI &amp; Eligibility Stats'!$A$8:$M$8,0))/1000)</f>
        <v>0</v>
      </c>
      <c r="M17" s="388">
        <f>K17*(INDEX('Ex post LI &amp; Eligibility Stats'!$A:$N,MATCH($A17,'Ex post LI &amp; Eligibility Stats'!$A:$A,0),MATCH('Program MW '!L$6,'Ex post LI &amp; Eligibility Stats'!$A$8:$N$8,0))/1000)</f>
        <v>0.86404999999999998</v>
      </c>
      <c r="N17" s="482">
        <v>8179</v>
      </c>
      <c r="O17" s="387">
        <f>N17*(INDEX('Ex ante LI &amp; Eligibility Stats'!$A:$M,MATCH('Program MW '!$A17,'Ex ante LI &amp; Eligibility Stats'!$A:$A,0),MATCH('Program MW '!O$6,'Ex ante LI &amp; Eligibility Stats'!$A$8:$M$8,0))/1000)</f>
        <v>0.2733356368</v>
      </c>
      <c r="P17" s="388">
        <f>N17*(INDEX('Ex post LI &amp; Eligibility Stats'!$A:$N,MATCH($A17,'Ex post LI &amp; Eligibility Stats'!$A:$A,0),MATCH('Program MW '!O$6,'Ex post LI &amp; Eligibility Stats'!$A$8:$N$8,0))/1000)</f>
        <v>0.89968999999999999</v>
      </c>
      <c r="Q17" s="482">
        <v>7938</v>
      </c>
      <c r="R17" s="387">
        <f>Q17*(INDEX('Ex ante LI &amp; Eligibility Stats'!$A:$M,MATCH('Program MW '!$A17,'Ex ante LI &amp; Eligibility Stats'!$A:$A,0),MATCH('Program MW '!R$6,'Ex ante LI &amp; Eligibility Stats'!$A$8:$M$8,0))/1000)</f>
        <v>2.34337698E-2</v>
      </c>
      <c r="S17" s="388">
        <f>Q17*(INDEX('Ex post LI &amp; Eligibility Stats'!$A:$N,MATCH($A17,'Ex post LI &amp; Eligibility Stats'!$A:$A,0),MATCH('Program MW '!R$6,'Ex post LI &amp; Eligibility Stats'!$A$8:$N$8,0))/1000)</f>
        <v>0.87318000000000007</v>
      </c>
      <c r="T17" s="4">
        <v>157189</v>
      </c>
      <c r="U17" s="6"/>
      <c r="V17" s="6"/>
      <c r="W17" s="6"/>
      <c r="X17" s="6"/>
      <c r="Y17" s="6"/>
      <c r="Z17" s="6"/>
      <c r="AA17" s="6"/>
      <c r="AB17" s="6"/>
      <c r="AC17" s="6"/>
      <c r="AD17" s="6"/>
      <c r="AE17" s="6"/>
    </row>
    <row r="18" spans="1:31">
      <c r="A18" s="300" t="s">
        <v>23</v>
      </c>
      <c r="B18" s="482">
        <v>3148</v>
      </c>
      <c r="C18" s="387">
        <f>B18*(INDEX('Ex ante LI &amp; Eligibility Stats'!$A:$M,MATCH($A18,'Ex ante LI &amp; Eligibility Stats'!$A:$A,0),MATCH('Program MW '!C$6,'Ex ante LI &amp; Eligibility Stats'!$A$8:$M$8,0))/1000)</f>
        <v>0</v>
      </c>
      <c r="D18" s="388">
        <f>B18*(INDEX('Ex post LI &amp; Eligibility Stats'!$A:$N,MATCH($A18,'Ex post LI &amp; Eligibility Stats'!$A:$A,0),MATCH('Program MW '!C$6,'Ex post LI &amp; Eligibility Stats'!$A$8:$N$8,0))/1000)</f>
        <v>0.37775999999999998</v>
      </c>
      <c r="E18" s="482">
        <v>3130</v>
      </c>
      <c r="F18" s="387">
        <f>E18*(INDEX('Ex ante LI &amp; Eligibility Stats'!$A:$M,MATCH($A18,'Ex ante LI &amp; Eligibility Stats'!$A:$A,0),MATCH('Program MW '!F$6,'Ex ante LI &amp; Eligibility Stats'!$A$8:$M$8,0))/1000)</f>
        <v>0</v>
      </c>
      <c r="G18" s="388">
        <f>E18*(INDEX('Ex post LI &amp; Eligibility Stats'!$A:$N,MATCH($A18,'Ex post LI &amp; Eligibility Stats'!$A:$A,0),MATCH('Program MW '!F$6,'Ex post LI &amp; Eligibility Stats'!$A$8:$N$8,0))/1000)</f>
        <v>0.37559999999999999</v>
      </c>
      <c r="H18" s="482">
        <v>3184</v>
      </c>
      <c r="I18" s="387">
        <f>H18*(INDEX('Ex ante LI &amp; Eligibility Stats'!$A:$M,MATCH('Program MW '!$A18,'Ex ante LI &amp; Eligibility Stats'!$A:$A,0),MATCH('Program MW '!I$6,'Ex ante LI &amp; Eligibility Stats'!$A$8:$M$8,0))/1000)</f>
        <v>0</v>
      </c>
      <c r="J18" s="388">
        <f>H18*(INDEX('Ex post LI &amp; Eligibility Stats'!$A:$N,MATCH($A18,'Ex post LI &amp; Eligibility Stats'!$A:$A,0),MATCH('Program MW '!I$6,'Ex post LI &amp; Eligibility Stats'!$A$8:$N$8,0))/1000)</f>
        <v>0.28655999999999998</v>
      </c>
      <c r="K18" s="482">
        <v>3184</v>
      </c>
      <c r="L18" s="387">
        <f>K18*(INDEX('Ex ante LI &amp; Eligibility Stats'!$A:$M,MATCH('Program MW '!$A18,'Ex ante LI &amp; Eligibility Stats'!$A:$A,0),MATCH('Program MW '!L$6,'Ex ante LI &amp; Eligibility Stats'!$A$8:$M$8,0))/1000)</f>
        <v>0.17300868959999999</v>
      </c>
      <c r="M18" s="388">
        <f>K18*(INDEX('Ex post LI &amp; Eligibility Stats'!$A:$N,MATCH($A18,'Ex post LI &amp; Eligibility Stats'!$A:$A,0),MATCH('Program MW '!L$6,'Ex post LI &amp; Eligibility Stats'!$A$8:$N$8,0))/1000)</f>
        <v>0.28655999999999998</v>
      </c>
      <c r="N18" s="482">
        <v>3039</v>
      </c>
      <c r="O18" s="387">
        <f>N18*(INDEX('Ex ante LI &amp; Eligibility Stats'!$A:$M,MATCH('Program MW '!$A18,'Ex ante LI &amp; Eligibility Stats'!$A:$A,0),MATCH('Program MW '!O$6,'Ex ante LI &amp; Eligibility Stats'!$A$8:$M$8,0))/1000)</f>
        <v>0.23546111219999999</v>
      </c>
      <c r="P18" s="388">
        <f>N18*(INDEX('Ex post LI &amp; Eligibility Stats'!$A:$N,MATCH($A18,'Ex post LI &amp; Eligibility Stats'!$A:$A,0),MATCH('Program MW '!O$6,'Ex post LI &amp; Eligibility Stats'!$A$8:$N$8,0))/1000)</f>
        <v>0.27350999999999998</v>
      </c>
      <c r="Q18" s="482">
        <v>3218</v>
      </c>
      <c r="R18" s="387">
        <f>Q18*(INDEX('Ex ante LI &amp; Eligibility Stats'!$A:$M,MATCH('Program MW '!$A18,'Ex ante LI &amp; Eligibility Stats'!$A:$A,0),MATCH('Program MW '!R$6,'Ex ante LI &amp; Eligibility Stats'!$A$8:$M$8,0))/1000)</f>
        <v>0.1919092916</v>
      </c>
      <c r="S18" s="388">
        <f>Q18*(INDEX('Ex post LI &amp; Eligibility Stats'!$A:$N,MATCH($A18,'Ex post LI &amp; Eligibility Stats'!$A:$A,0),MATCH('Program MW '!R$6,'Ex post LI &amp; Eligibility Stats'!$A$8:$N$8,0))/1000)</f>
        <v>0.28961999999999999</v>
      </c>
      <c r="T18" s="4">
        <v>157189</v>
      </c>
      <c r="U18" s="6"/>
      <c r="V18" s="6"/>
      <c r="W18" s="6"/>
      <c r="X18" s="6"/>
      <c r="Y18" s="6"/>
      <c r="Z18" s="6"/>
      <c r="AA18" s="6"/>
      <c r="AB18" s="6"/>
      <c r="AC18" s="6"/>
      <c r="AD18" s="6"/>
      <c r="AE18" s="6"/>
    </row>
    <row r="19" spans="1:31">
      <c r="A19" s="162" t="s">
        <v>24</v>
      </c>
      <c r="B19" s="165">
        <v>0</v>
      </c>
      <c r="C19" s="387">
        <f>B19*(INDEX('Ex ante LI &amp; Eligibility Stats'!$A:$M,MATCH($A19,'Ex ante LI &amp; Eligibility Stats'!$A:$A,0),MATCH('Program MW '!C$6,'Ex ante LI &amp; Eligibility Stats'!$A$8:$M$8,0))/1000)</f>
        <v>0</v>
      </c>
      <c r="D19" s="388">
        <f>B19*(INDEX('Ex post LI &amp; Eligibility Stats'!$A:$N,MATCH($A19,'Ex post LI &amp; Eligibility Stats'!$A:$A,0),MATCH('Program MW '!C$6,'Ex post LI &amp; Eligibility Stats'!$A$8:$N$8,0))/1000)</f>
        <v>0</v>
      </c>
      <c r="E19" s="165">
        <v>0</v>
      </c>
      <c r="F19" s="387">
        <f>E19*(INDEX('Ex ante LI &amp; Eligibility Stats'!$A:$M,MATCH($A19,'Ex ante LI &amp; Eligibility Stats'!$A:$A,0),MATCH('Program MW '!F$6,'Ex ante LI &amp; Eligibility Stats'!$A$8:$M$8,0))/1000)</f>
        <v>0</v>
      </c>
      <c r="G19" s="388">
        <f>E19*(INDEX('Ex post LI &amp; Eligibility Stats'!$A:$N,MATCH($A19,'Ex post LI &amp; Eligibility Stats'!$A:$A,0),MATCH('Program MW '!F$6,'Ex post LI &amp; Eligibility Stats'!$A$8:$N$8,0))/1000)</f>
        <v>0</v>
      </c>
      <c r="H19" s="165">
        <v>0</v>
      </c>
      <c r="I19" s="387">
        <f>H19*(INDEX('Ex ante LI &amp; Eligibility Stats'!$A:$M,MATCH('Program MW '!$A19,'Ex ante LI &amp; Eligibility Stats'!$A:$A,0),MATCH('Program MW '!I$6,'Ex ante LI &amp; Eligibility Stats'!$A$8:$M$8,0))/1000)</f>
        <v>0</v>
      </c>
      <c r="J19" s="388">
        <f>H19*(INDEX('Ex post LI &amp; Eligibility Stats'!$A:$N,MATCH($A19,'Ex post LI &amp; Eligibility Stats'!$A:$A,0),MATCH('Program MW '!I$6,'Ex post LI &amp; Eligibility Stats'!$A$8:$N$8,0))/1000)</f>
        <v>0</v>
      </c>
      <c r="K19" s="165">
        <v>0</v>
      </c>
      <c r="L19" s="387">
        <f>K19*(INDEX('Ex ante LI &amp; Eligibility Stats'!$A:$M,MATCH('Program MW '!$A19,'Ex ante LI &amp; Eligibility Stats'!$A:$A,0),MATCH('Program MW '!L$6,'Ex ante LI &amp; Eligibility Stats'!$A$8:$M$8,0))/1000)</f>
        <v>0</v>
      </c>
      <c r="M19" s="388">
        <f>K19*(INDEX('Ex post LI &amp; Eligibility Stats'!$A:$N,MATCH($A19,'Ex post LI &amp; Eligibility Stats'!$A:$A,0),MATCH('Program MW '!L$6,'Ex post LI &amp; Eligibility Stats'!$A$8:$N$8,0))/1000)</f>
        <v>0</v>
      </c>
      <c r="N19" s="165">
        <v>9</v>
      </c>
      <c r="O19" s="387">
        <f>N19*(INDEX('Ex ante LI &amp; Eligibility Stats'!$A:$M,MATCH('Program MW '!$A19,'Ex ante LI &amp; Eligibility Stats'!$A:$A,0),MATCH('Program MW '!O$6,'Ex ante LI &amp; Eligibility Stats'!$A$8:$M$8,0))/1000)</f>
        <v>0.16829999999999998</v>
      </c>
      <c r="P19" s="388">
        <f>N19*(INDEX('Ex post LI &amp; Eligibility Stats'!$A:$N,MATCH($A19,'Ex post LI &amp; Eligibility Stats'!$A:$A,0),MATCH('Program MW '!O$6,'Ex post LI &amp; Eligibility Stats'!$A$8:$N$8,0))/1000)</f>
        <v>0.23669999999999999</v>
      </c>
      <c r="Q19" s="165">
        <v>11</v>
      </c>
      <c r="R19" s="387">
        <f>Q19*(INDEX('Ex ante LI &amp; Eligibility Stats'!$A:$M,MATCH('Program MW '!$A19,'Ex ante LI &amp; Eligibility Stats'!$A:$A,0),MATCH('Program MW '!R$6,'Ex ante LI &amp; Eligibility Stats'!$A$8:$M$8,0))/1000)</f>
        <v>0.20861366189624328</v>
      </c>
      <c r="S19" s="388">
        <f>Q19*(INDEX('Ex post LI &amp; Eligibility Stats'!$A:$N,MATCH($A19,'Ex post LI &amp; Eligibility Stats'!$A:$A,0),MATCH('Program MW '!R$6,'Ex post LI &amp; Eligibility Stats'!$A$8:$N$8,0))/1000)</f>
        <v>0.2893</v>
      </c>
      <c r="T19" s="4">
        <v>18875</v>
      </c>
      <c r="U19" s="6"/>
      <c r="V19" s="6"/>
      <c r="W19" s="6"/>
      <c r="X19" s="6"/>
      <c r="Y19" s="6"/>
      <c r="Z19" s="6"/>
      <c r="AA19" s="6"/>
      <c r="AB19" s="6"/>
      <c r="AC19" s="6"/>
      <c r="AD19" s="6"/>
      <c r="AE19" s="6"/>
    </row>
    <row r="20" spans="1:31">
      <c r="A20" s="162" t="s">
        <v>25</v>
      </c>
      <c r="B20" s="165">
        <v>0</v>
      </c>
      <c r="C20" s="387">
        <f>B20*(INDEX('Ex ante LI &amp; Eligibility Stats'!$A:$M,MATCH($A20,'Ex ante LI &amp; Eligibility Stats'!$A:$A,0),MATCH('Program MW '!C$6,'Ex ante LI &amp; Eligibility Stats'!$A$8:$M$8,0))/1000)</f>
        <v>0</v>
      </c>
      <c r="D20" s="388">
        <f>B20*(INDEX('Ex post LI &amp; Eligibility Stats'!$A:$N,MATCH($A20,'Ex post LI &amp; Eligibility Stats'!$A:$A,0),MATCH('Program MW '!C$6,'Ex post LI &amp; Eligibility Stats'!$A$8:$N$8,0))/1000)</f>
        <v>0</v>
      </c>
      <c r="E20" s="165">
        <v>0</v>
      </c>
      <c r="F20" s="387">
        <f>E20*(INDEX('Ex ante LI &amp; Eligibility Stats'!$A:$M,MATCH($A20,'Ex ante LI &amp; Eligibility Stats'!$A:$A,0),MATCH('Program MW '!F$6,'Ex ante LI &amp; Eligibility Stats'!$A$8:$M$8,0))/1000)</f>
        <v>0</v>
      </c>
      <c r="G20" s="388">
        <f>E20*(INDEX('Ex post LI &amp; Eligibility Stats'!$A:$N,MATCH($A20,'Ex post LI &amp; Eligibility Stats'!$A:$A,0),MATCH('Program MW '!F$6,'Ex post LI &amp; Eligibility Stats'!$A$8:$N$8,0))/1000)</f>
        <v>0</v>
      </c>
      <c r="H20" s="165">
        <v>0</v>
      </c>
      <c r="I20" s="387">
        <f>H20*(INDEX('Ex ante LI &amp; Eligibility Stats'!$A:$M,MATCH('Program MW '!$A20,'Ex ante LI &amp; Eligibility Stats'!$A:$A,0),MATCH('Program MW '!I$6,'Ex ante LI &amp; Eligibility Stats'!$A$8:$M$8,0))/1000)</f>
        <v>0</v>
      </c>
      <c r="J20" s="388">
        <f>H20*(INDEX('Ex post LI &amp; Eligibility Stats'!$A:$N,MATCH($A20,'Ex post LI &amp; Eligibility Stats'!$A:$A,0),MATCH('Program MW '!I$6,'Ex post LI &amp; Eligibility Stats'!$A$8:$N$8,0))/1000)</f>
        <v>0</v>
      </c>
      <c r="K20" s="165">
        <v>0</v>
      </c>
      <c r="L20" s="387">
        <f>K20*(INDEX('Ex ante LI &amp; Eligibility Stats'!$A:$M,MATCH('Program MW '!$A20,'Ex ante LI &amp; Eligibility Stats'!$A:$A,0),MATCH('Program MW '!L$6,'Ex ante LI &amp; Eligibility Stats'!$A$8:$M$8,0))/1000)</f>
        <v>0</v>
      </c>
      <c r="M20" s="388">
        <f>K20*(INDEX('Ex post LI &amp; Eligibility Stats'!$A:$N,MATCH($A20,'Ex post LI &amp; Eligibility Stats'!$A:$A,0),MATCH('Program MW '!L$6,'Ex post LI &amp; Eligibility Stats'!$A$8:$N$8,0))/1000)</f>
        <v>0</v>
      </c>
      <c r="N20" s="165">
        <v>170</v>
      </c>
      <c r="O20" s="387">
        <f>N20*(INDEX('Ex ante LI &amp; Eligibility Stats'!$A:$M,MATCH('Program MW '!$A20,'Ex ante LI &amp; Eligibility Stats'!$A:$A,0),MATCH('Program MW '!O$6,'Ex ante LI &amp; Eligibility Stats'!$A$8:$M$8,0))/1000)</f>
        <v>2.8929656335198746</v>
      </c>
      <c r="P20" s="388">
        <f>N20*(INDEX('Ex post LI &amp; Eligibility Stats'!$A:$N,MATCH($A20,'Ex post LI &amp; Eligibility Stats'!$A:$A,0),MATCH('Program MW '!O$6,'Ex post LI &amp; Eligibility Stats'!$A$8:$N$8,0))/1000)</f>
        <v>3.3320000000000003</v>
      </c>
      <c r="Q20" s="165">
        <v>142</v>
      </c>
      <c r="R20" s="387">
        <f>Q20*(INDEX('Ex ante LI &amp; Eligibility Stats'!$A:$M,MATCH('Program MW '!$A20,'Ex ante LI &amp; Eligibility Stats'!$A:$A,0),MATCH('Program MW '!R$6,'Ex ante LI &amp; Eligibility Stats'!$A$8:$M$8,0))/1000)</f>
        <v>2.4164771762342481</v>
      </c>
      <c r="S20" s="388">
        <f>Q20*(INDEX('Ex post LI &amp; Eligibility Stats'!$A:$N,MATCH($A20,'Ex post LI &amp; Eligibility Stats'!$A:$A,0),MATCH('Program MW '!R$6,'Ex post LI &amp; Eligibility Stats'!$A$8:$N$8,0))/1000)</f>
        <v>2.7832000000000003</v>
      </c>
      <c r="T20" s="4">
        <v>18875</v>
      </c>
      <c r="U20" s="6"/>
      <c r="V20" s="6"/>
      <c r="W20" s="6"/>
      <c r="X20" s="6"/>
      <c r="Y20" s="6"/>
      <c r="Z20" s="6"/>
      <c r="AA20" s="6"/>
      <c r="AB20" s="6"/>
      <c r="AC20" s="6"/>
      <c r="AD20" s="6"/>
      <c r="AE20" s="6"/>
    </row>
    <row r="21" spans="1:31" s="158" customFormat="1">
      <c r="A21" s="300" t="s">
        <v>57</v>
      </c>
      <c r="B21" s="216">
        <v>90</v>
      </c>
      <c r="C21" s="387">
        <v>0</v>
      </c>
      <c r="D21" s="388">
        <v>0</v>
      </c>
      <c r="E21" s="216">
        <v>90</v>
      </c>
      <c r="F21" s="387" t="s">
        <v>58</v>
      </c>
      <c r="G21" s="388" t="s">
        <v>58</v>
      </c>
      <c r="H21" s="216">
        <v>92</v>
      </c>
      <c r="I21" s="387">
        <f>H21*(INDEX('Ex ante LI &amp; Eligibility Stats'!$A:$M,MATCH('Program MW '!$A21,'Ex ante LI &amp; Eligibility Stats'!$A:$A,0),MATCH('Program MW '!I$6,'Ex ante LI &amp; Eligibility Stats'!$A$8:$M$8,0))/1000)</f>
        <v>6.6880169510841365E-4</v>
      </c>
      <c r="J21" s="388">
        <f>H21*(INDEX('Ex post LI &amp; Eligibility Stats'!$A:$N,MATCH($A21,'Ex post LI &amp; Eligibility Stats'!$A:$A,0),MATCH('Program MW '!I$6,'Ex post LI &amp; Eligibility Stats'!$A$8:$N$8,0))/1000)</f>
        <v>0.15916</v>
      </c>
      <c r="K21" s="216">
        <v>92</v>
      </c>
      <c r="L21" s="387">
        <f>K21*(INDEX('Ex ante LI &amp; Eligibility Stats'!$A:$M,MATCH('Program MW '!$A21,'Ex ante LI &amp; Eligibility Stats'!$A:$A,0),MATCH('Program MW '!L$6,'Ex ante LI &amp; Eligibility Stats'!$A$8:$M$8,0))/1000)</f>
        <v>3.2941794395446779E-3</v>
      </c>
      <c r="M21" s="388">
        <f>K21*(INDEX('Ex post LI &amp; Eligibility Stats'!$A:$N,MATCH($A21,'Ex post LI &amp; Eligibility Stats'!$A:$A,0),MATCH('Program MW '!L$6,'Ex post LI &amp; Eligibility Stats'!$A$8:$N$8,0))/1000)</f>
        <v>0.15916</v>
      </c>
      <c r="N21" s="216">
        <v>92</v>
      </c>
      <c r="O21" s="387">
        <f>N21*(INDEX('Ex ante LI &amp; Eligibility Stats'!$A:$M,MATCH('Program MW '!$A21,'Ex ante LI &amp; Eligibility Stats'!$A:$A,0),MATCH('Program MW '!O$6,'Ex ante LI &amp; Eligibility Stats'!$A$8:$M$8,0))/1000)</f>
        <v>4.2480019181966779E-3</v>
      </c>
      <c r="P21" s="388">
        <f>N21*(INDEX('Ex post LI &amp; Eligibility Stats'!$A:$N,MATCH($A21,'Ex post LI &amp; Eligibility Stats'!$A:$A,0),MATCH('Program MW '!O$6,'Ex post LI &amp; Eligibility Stats'!$A$8:$N$8,0))/1000)</f>
        <v>0.15916</v>
      </c>
      <c r="Q21" s="216">
        <v>92</v>
      </c>
      <c r="R21" s="387">
        <f>Q21*(INDEX('Ex ante LI &amp; Eligibility Stats'!$A:$M,MATCH('Program MW '!$A21,'Ex ante LI &amp; Eligibility Stats'!$A:$A,0),MATCH('Program MW '!R$6,'Ex ante LI &amp; Eligibility Stats'!$A$8:$M$8,0))/1000)</f>
        <v>4.2323999702930451E-3</v>
      </c>
      <c r="S21" s="388">
        <f>Q21*(INDEX('Ex post LI &amp; Eligibility Stats'!$A:$N,MATCH($A21,'Ex post LI &amp; Eligibility Stats'!$A:$A,0),MATCH('Program MW '!R$6,'Ex post LI &amp; Eligibility Stats'!$A$8:$N$8,0))/1000)</f>
        <v>0.15916</v>
      </c>
      <c r="T21" s="554"/>
      <c r="U21" s="555"/>
      <c r="V21" s="555"/>
      <c r="W21" s="555"/>
      <c r="X21" s="555"/>
      <c r="Y21" s="555"/>
      <c r="Z21" s="555"/>
      <c r="AA21" s="555"/>
      <c r="AB21" s="555"/>
      <c r="AC21" s="555"/>
      <c r="AD21" s="555"/>
      <c r="AE21" s="555"/>
    </row>
    <row r="22" spans="1:31">
      <c r="A22" s="162" t="s">
        <v>26</v>
      </c>
      <c r="B22" s="165">
        <v>113358</v>
      </c>
      <c r="C22" s="387">
        <f>B22*(INDEX('Ex ante LI &amp; Eligibility Stats'!$A:$M,MATCH($A22,'Ex ante LI &amp; Eligibility Stats'!$A:$A,0),MATCH('Program MW '!C$6,'Ex ante LI &amp; Eligibility Stats'!$A$8:$M$8,0))/1000)</f>
        <v>1.13358</v>
      </c>
      <c r="D22" s="388">
        <f>B22*(INDEX('Ex post LI &amp; Eligibility Stats'!$A:$N,MATCH($A22,'Ex post LI &amp; Eligibility Stats'!$A:$A,0),MATCH('Program MW '!C$6,'Ex post LI &amp; Eligibility Stats'!$A$8:$N$8,0))/1000)</f>
        <v>3.4007399999999999</v>
      </c>
      <c r="E22" s="165">
        <v>113041</v>
      </c>
      <c r="F22" s="387">
        <f>E22*(INDEX('Ex ante LI &amp; Eligibility Stats'!$A:$M,MATCH($A22,'Ex ante LI &amp; Eligibility Stats'!$A:$A,0),MATCH('Program MW '!F$6,'Ex ante LI &amp; Eligibility Stats'!$A$8:$M$8,0))/1000)</f>
        <v>1.1304100000000001</v>
      </c>
      <c r="G22" s="388">
        <f>E22*(INDEX('Ex post LI &amp; Eligibility Stats'!$A:$N,MATCH($A22,'Ex post LI &amp; Eligibility Stats'!$A:$A,0),MATCH('Program MW '!F$6,'Ex post LI &amp; Eligibility Stats'!$A$8:$N$8,0))/1000)</f>
        <v>3.3912299999999997</v>
      </c>
      <c r="H22" s="165">
        <v>113021</v>
      </c>
      <c r="I22" s="387">
        <f>H22*(INDEX('Ex ante LI &amp; Eligibility Stats'!$A:$M,MATCH('Program MW '!$A22,'Ex ante LI &amp; Eligibility Stats'!$A:$A,0),MATCH('Program MW '!I$6,'Ex ante LI &amp; Eligibility Stats'!$A$8:$M$8,0))/1000)</f>
        <v>1.2958692341139539</v>
      </c>
      <c r="J22" s="388">
        <f>H22*(INDEX('Ex post LI &amp; Eligibility Stats'!$A:$N,MATCH($A22,'Ex post LI &amp; Eligibility Stats'!$A:$A,0),MATCH('Program MW '!I$6,'Ex post LI &amp; Eligibility Stats'!$A$8:$N$8,0))/1000)</f>
        <v>3.3906299999999998</v>
      </c>
      <c r="K22" s="165">
        <v>112866</v>
      </c>
      <c r="L22" s="387">
        <f>K22*(INDEX('Ex ante LI &amp; Eligibility Stats'!$A:$M,MATCH('Program MW '!$A22,'Ex ante LI &amp; Eligibility Stats'!$A:$A,0),MATCH('Program MW '!L$6,'Ex ante LI &amp; Eligibility Stats'!$A$8:$M$8,0))/1000)</f>
        <v>1.5787632344663143</v>
      </c>
      <c r="M22" s="388">
        <f>K22*(INDEX('Ex post LI &amp; Eligibility Stats'!$A:$N,MATCH($A22,'Ex post LI &amp; Eligibility Stats'!$A:$A,0),MATCH('Program MW '!L$6,'Ex post LI &amp; Eligibility Stats'!$A$8:$N$8,0))/1000)</f>
        <v>3.3859799999999995</v>
      </c>
      <c r="N22" s="165">
        <v>112745</v>
      </c>
      <c r="O22" s="387">
        <f>N22*(INDEX('Ex ante LI &amp; Eligibility Stats'!$A:$M,MATCH('Program MW '!$A22,'Ex ante LI &amp; Eligibility Stats'!$A:$A,0),MATCH('Program MW '!O$6,'Ex ante LI &amp; Eligibility Stats'!$A$8:$M$8,0))/1000)</f>
        <v>1.6670737564750016</v>
      </c>
      <c r="P22" s="388">
        <f>N22*(INDEX('Ex post LI &amp; Eligibility Stats'!$A:$N,MATCH($A22,'Ex post LI &amp; Eligibility Stats'!$A:$A,0),MATCH('Program MW '!O$6,'Ex post LI &amp; Eligibility Stats'!$A$8:$N$8,0))/1000)</f>
        <v>3.3823499999999997</v>
      </c>
      <c r="Q22" s="165">
        <v>112680</v>
      </c>
      <c r="R22" s="387">
        <f>Q22*(INDEX('Ex ante LI &amp; Eligibility Stats'!$A:$M,MATCH('Program MW '!$A22,'Ex ante LI &amp; Eligibility Stats'!$A:$A,0),MATCH('Program MW '!R$6,'Ex ante LI &amp; Eligibility Stats'!$A$8:$M$8,0))/1000)</f>
        <v>1.7073372121900321</v>
      </c>
      <c r="S22" s="388">
        <f>Q22*(INDEX('Ex post LI &amp; Eligibility Stats'!$A:$N,MATCH($A22,'Ex post LI &amp; Eligibility Stats'!$A:$A,0),MATCH('Program MW '!R$6,'Ex post LI &amp; Eligibility Stats'!$A$8:$N$8,0))/1000)</f>
        <v>3.3803999999999998</v>
      </c>
      <c r="T22" s="4"/>
      <c r="U22" s="6"/>
      <c r="V22" s="6"/>
      <c r="W22" s="6"/>
      <c r="X22" s="6"/>
      <c r="Y22" s="6"/>
      <c r="Z22" s="6"/>
      <c r="AA22" s="6"/>
      <c r="AB22" s="6"/>
      <c r="AC22" s="6"/>
      <c r="AD22" s="6"/>
      <c r="AE22" s="6"/>
    </row>
    <row r="23" spans="1:31">
      <c r="A23" s="241" t="s">
        <v>27</v>
      </c>
      <c r="B23" s="299">
        <v>14845</v>
      </c>
      <c r="C23" s="389">
        <f>B23*(INDEX('Ex ante LI &amp; Eligibility Stats'!$A:$M,MATCH($A23,'Ex ante LI &amp; Eligibility Stats'!$A:$A,0),MATCH('Program MW '!C$6,'Ex ante LI &amp; Eligibility Stats'!$A$8:$M$8,0))/1000)</f>
        <v>0.59379999999999999</v>
      </c>
      <c r="D23" s="390">
        <f>B23*(INDEX('Ex post LI &amp; Eligibility Stats'!$A:$N,MATCH($A23,'Ex post LI &amp; Eligibility Stats'!$A:$A,0),MATCH('Program MW '!C$6,'Ex post LI &amp; Eligibility Stats'!$A$8:$N$8,0))/1000)</f>
        <v>3.2659000000000002</v>
      </c>
      <c r="E23" s="299">
        <v>15413</v>
      </c>
      <c r="F23" s="387">
        <f>E23*(INDEX('Ex ante LI &amp; Eligibility Stats'!$A:$M,MATCH($A23,'Ex ante LI &amp; Eligibility Stats'!$A:$A,0),MATCH('Program MW '!F$6,'Ex ante LI &amp; Eligibility Stats'!$A$8:$M$8,0))/1000)</f>
        <v>0.61652000000000007</v>
      </c>
      <c r="G23" s="388">
        <f>E23*(INDEX('Ex post LI &amp; Eligibility Stats'!$A:$N,MATCH($A23,'Ex post LI &amp; Eligibility Stats'!$A:$A,0),MATCH('Program MW '!F$6,'Ex post LI &amp; Eligibility Stats'!$A$8:$N$8,0))/1000)</f>
        <v>3.39086</v>
      </c>
      <c r="H23" s="299">
        <v>15637</v>
      </c>
      <c r="I23" s="387">
        <f>H23*(INDEX('Ex ante LI &amp; Eligibility Stats'!$A:$M,MATCH('Program MW '!$A23,'Ex ante LI &amp; Eligibility Stats'!$A:$A,0),MATCH('Program MW '!I$6,'Ex ante LI &amp; Eligibility Stats'!$A$8:$M$8,0))/1000)</f>
        <v>0.19967582361400127</v>
      </c>
      <c r="J23" s="388">
        <f>H23*(INDEX('Ex post LI &amp; Eligibility Stats'!$A:$N,MATCH($A23,'Ex post LI &amp; Eligibility Stats'!$A:$A,0),MATCH('Program MW '!I$6,'Ex post LI &amp; Eligibility Stats'!$A$8:$N$8,0))/1000)</f>
        <v>3.44014</v>
      </c>
      <c r="K23" s="299">
        <v>16037</v>
      </c>
      <c r="L23" s="387">
        <f>K23*(INDEX('Ex ante LI &amp; Eligibility Stats'!$A:$M,MATCH('Program MW '!$A23,'Ex ante LI &amp; Eligibility Stats'!$A:$A,0),MATCH('Program MW '!L$6,'Ex ante LI &amp; Eligibility Stats'!$A$8:$M$8,0))/1000)</f>
        <v>0.19338366127759218</v>
      </c>
      <c r="M23" s="388">
        <f>K23*(INDEX('Ex post LI &amp; Eligibility Stats'!$A:$N,MATCH($A23,'Ex post LI &amp; Eligibility Stats'!$A:$A,0),MATCH('Program MW '!L$6,'Ex post LI &amp; Eligibility Stats'!$A$8:$N$8,0))/1000)</f>
        <v>3.5281400000000001</v>
      </c>
      <c r="N23" s="299">
        <v>16135</v>
      </c>
      <c r="O23" s="387">
        <f>N23*(INDEX('Ex ante LI &amp; Eligibility Stats'!$A:$M,MATCH('Program MW '!$A23,'Ex ante LI &amp; Eligibility Stats'!$A:$A,0),MATCH('Program MW '!O$6,'Ex ante LI &amp; Eligibility Stats'!$A$8:$M$8,0))/1000)</f>
        <v>0.31780898060649632</v>
      </c>
      <c r="P23" s="388">
        <f>N23*(INDEX('Ex post LI &amp; Eligibility Stats'!$A:$N,MATCH($A23,'Ex post LI &amp; Eligibility Stats'!$A:$A,0),MATCH('Program MW '!O$6,'Ex post LI &amp; Eligibility Stats'!$A$8:$N$8,0))/1000)</f>
        <v>3.5497000000000001</v>
      </c>
      <c r="Q23" s="299">
        <v>16151</v>
      </c>
      <c r="R23" s="387">
        <f>Q23*(INDEX('Ex ante LI &amp; Eligibility Stats'!$A:$M,MATCH('Program MW '!$A23,'Ex ante LI &amp; Eligibility Stats'!$A:$A,0),MATCH('Program MW '!R$6,'Ex ante LI &amp; Eligibility Stats'!$A$8:$M$8,0))/1000)</f>
        <v>2.6979194424897432</v>
      </c>
      <c r="S23" s="388">
        <f>Q23*(INDEX('Ex post LI &amp; Eligibility Stats'!$A:$N,MATCH($A23,'Ex post LI &amp; Eligibility Stats'!$A:$A,0),MATCH('Program MW '!R$6,'Ex post LI &amp; Eligibility Stats'!$A$8:$N$8,0))/1000)</f>
        <v>3.55322</v>
      </c>
      <c r="T23" s="4"/>
      <c r="U23" s="6"/>
      <c r="V23" s="6"/>
      <c r="W23" s="6"/>
      <c r="X23" s="6"/>
      <c r="Y23" s="6"/>
      <c r="Z23" s="6"/>
      <c r="AA23" s="6"/>
      <c r="AB23" s="6"/>
      <c r="AC23" s="6"/>
      <c r="AD23" s="6"/>
      <c r="AE23" s="6"/>
    </row>
    <row r="24" spans="1:31" ht="13.5" thickBot="1">
      <c r="A24" s="193" t="s">
        <v>59</v>
      </c>
      <c r="B24" s="163">
        <f t="shared" ref="B24:S24" si="3">SUM(B12:B23)</f>
        <v>175364</v>
      </c>
      <c r="C24" s="181">
        <f t="shared" si="3"/>
        <v>1.7273800000000001</v>
      </c>
      <c r="D24" s="180">
        <f t="shared" si="3"/>
        <v>23.523489999999995</v>
      </c>
      <c r="E24" s="1">
        <f t="shared" si="3"/>
        <v>175537</v>
      </c>
      <c r="F24" s="243">
        <f t="shared" si="3"/>
        <v>1.7469300000000003</v>
      </c>
      <c r="G24" s="244">
        <f t="shared" si="3"/>
        <v>23.610339999999997</v>
      </c>
      <c r="H24" s="1">
        <f t="shared" si="3"/>
        <v>175887</v>
      </c>
      <c r="I24" s="243">
        <f t="shared" si="3"/>
        <v>3.5272883615945085</v>
      </c>
      <c r="J24" s="244">
        <f t="shared" si="3"/>
        <v>23.547049999999999</v>
      </c>
      <c r="K24" s="1">
        <f t="shared" si="3"/>
        <v>170594</v>
      </c>
      <c r="L24" s="243">
        <f t="shared" ref="L24:M24" si="4">SUM(L12:L23)</f>
        <v>5.4002971727840645</v>
      </c>
      <c r="M24" s="244">
        <f t="shared" si="4"/>
        <v>22.373850000000001</v>
      </c>
      <c r="N24" s="1">
        <f t="shared" si="3"/>
        <v>171169</v>
      </c>
      <c r="O24" s="245">
        <f t="shared" si="3"/>
        <v>9.9127026028676823</v>
      </c>
      <c r="P24" s="248">
        <f t="shared" si="3"/>
        <v>26.001850000000001</v>
      </c>
      <c r="Q24" s="1">
        <f t="shared" si="3"/>
        <v>170253</v>
      </c>
      <c r="R24" s="259">
        <f t="shared" si="3"/>
        <v>11.232285351639758</v>
      </c>
      <c r="S24" s="260">
        <f t="shared" si="3"/>
        <v>25.284229999999997</v>
      </c>
      <c r="T24" s="5"/>
      <c r="U24" s="6"/>
      <c r="V24" s="6"/>
      <c r="W24" s="6"/>
      <c r="X24" s="6"/>
      <c r="Y24" s="6"/>
      <c r="Z24" s="6"/>
      <c r="AA24" s="6"/>
      <c r="AB24" s="6"/>
      <c r="AC24" s="6"/>
      <c r="AD24" s="6"/>
      <c r="AE24" s="6"/>
    </row>
    <row r="25" spans="1:31" ht="14.25" thickTop="1" thickBot="1">
      <c r="A25" s="200" t="s">
        <v>60</v>
      </c>
      <c r="B25" s="2">
        <f t="shared" ref="B25:S25" si="5">+B10+B24</f>
        <v>175368</v>
      </c>
      <c r="C25" s="181">
        <f t="shared" si="5"/>
        <v>2.37662</v>
      </c>
      <c r="D25" s="297">
        <f t="shared" si="5"/>
        <v>25.039209999999997</v>
      </c>
      <c r="E25" s="2">
        <f t="shared" si="5"/>
        <v>175541</v>
      </c>
      <c r="F25" s="181">
        <f t="shared" si="5"/>
        <v>2.1807700000000003</v>
      </c>
      <c r="G25" s="181">
        <f t="shared" si="5"/>
        <v>25.126059999999995</v>
      </c>
      <c r="H25" s="2">
        <f t="shared" si="5"/>
        <v>175891</v>
      </c>
      <c r="I25" s="181">
        <f t="shared" si="5"/>
        <v>4.2512196970437275</v>
      </c>
      <c r="J25" s="180">
        <f t="shared" si="5"/>
        <v>25.840914013671874</v>
      </c>
      <c r="K25" s="2">
        <f t="shared" si="5"/>
        <v>170598</v>
      </c>
      <c r="L25" s="181">
        <f t="shared" ref="L25:M25" si="6">+L10+L24</f>
        <v>6.0482805101864079</v>
      </c>
      <c r="M25" s="180">
        <f t="shared" si="6"/>
        <v>24.667714013671876</v>
      </c>
      <c r="N25" s="2">
        <f t="shared" si="5"/>
        <v>171173</v>
      </c>
      <c r="O25" s="246">
        <f t="shared" si="5"/>
        <v>10.535666042809089</v>
      </c>
      <c r="P25" s="180">
        <f t="shared" si="5"/>
        <v>28.295714013671876</v>
      </c>
      <c r="Q25" s="2">
        <f t="shared" si="5"/>
        <v>170257</v>
      </c>
      <c r="R25" s="262">
        <f t="shared" si="5"/>
        <v>12.001734387284289</v>
      </c>
      <c r="S25" s="261">
        <f t="shared" si="5"/>
        <v>27.578094013671873</v>
      </c>
      <c r="T25" s="8"/>
      <c r="U25" s="6"/>
      <c r="V25" s="6"/>
      <c r="W25" s="6"/>
      <c r="X25" s="6"/>
      <c r="Y25" s="6"/>
      <c r="Z25" s="6"/>
      <c r="AA25" s="6"/>
      <c r="AB25" s="6"/>
      <c r="AC25" s="6"/>
      <c r="AD25" s="6"/>
      <c r="AE25" s="6"/>
    </row>
    <row r="26" spans="1:31" ht="13.5" thickTop="1">
      <c r="A26" s="152"/>
      <c r="B26" s="96"/>
      <c r="C26" s="94"/>
      <c r="D26" s="95"/>
      <c r="E26" s="96"/>
      <c r="F26" s="94"/>
      <c r="G26" s="97"/>
      <c r="H26" s="96"/>
      <c r="I26" s="94"/>
      <c r="J26" s="97"/>
      <c r="K26" s="96"/>
      <c r="L26" s="94"/>
      <c r="M26" s="97"/>
      <c r="N26" s="96"/>
      <c r="O26" s="94"/>
      <c r="P26" s="97"/>
      <c r="Q26" s="96"/>
      <c r="R26" s="94"/>
      <c r="S26" s="97"/>
      <c r="T26" s="9"/>
      <c r="U26" s="6"/>
      <c r="V26" s="6"/>
      <c r="W26" s="6"/>
      <c r="X26" s="6"/>
      <c r="Y26" s="6"/>
      <c r="Z26" s="6"/>
      <c r="AA26" s="6"/>
      <c r="AB26" s="6"/>
      <c r="AC26" s="6"/>
      <c r="AD26" s="6"/>
      <c r="AE26" s="6"/>
    </row>
    <row r="27" spans="1:31">
      <c r="B27" s="45"/>
      <c r="C27" s="45"/>
      <c r="D27" s="45"/>
      <c r="E27" s="45"/>
      <c r="F27" s="45"/>
      <c r="G27" s="45"/>
      <c r="H27" s="45"/>
      <c r="I27" s="45"/>
      <c r="J27" s="45"/>
      <c r="K27" s="45"/>
      <c r="L27" s="45"/>
      <c r="M27" s="45"/>
      <c r="N27" s="45"/>
      <c r="O27" s="45"/>
      <c r="P27" s="45"/>
      <c r="Q27" s="45"/>
      <c r="R27" s="45"/>
      <c r="S27" s="45"/>
    </row>
    <row r="28" spans="1:31" hidden="1">
      <c r="B28" s="45"/>
      <c r="C28" s="45">
        <f>C4+6</f>
        <v>8</v>
      </c>
      <c r="D28" s="45">
        <f>D4+6</f>
        <v>8</v>
      </c>
      <c r="E28" s="45"/>
      <c r="F28" s="45">
        <f>F4+6</f>
        <v>9</v>
      </c>
      <c r="G28" s="45">
        <f>G4+6</f>
        <v>9</v>
      </c>
      <c r="H28" s="45"/>
      <c r="I28" s="45">
        <f>I4+6</f>
        <v>10</v>
      </c>
      <c r="J28" s="45">
        <f>J4+6</f>
        <v>10</v>
      </c>
      <c r="K28" s="45"/>
      <c r="L28" s="45">
        <f>L4+6</f>
        <v>11</v>
      </c>
      <c r="M28" s="45">
        <f>M4+6</f>
        <v>11</v>
      </c>
      <c r="N28" s="45"/>
      <c r="O28" s="45">
        <f>O4+6</f>
        <v>12</v>
      </c>
      <c r="P28" s="45">
        <f>P4+6</f>
        <v>12</v>
      </c>
      <c r="Q28" s="45"/>
      <c r="R28" s="45">
        <f>R4+6</f>
        <v>13</v>
      </c>
      <c r="S28" s="45">
        <f>S4+6</f>
        <v>13</v>
      </c>
    </row>
    <row r="29" spans="1:31">
      <c r="A29" s="92"/>
      <c r="B29" s="492"/>
      <c r="C29" s="492" t="s">
        <v>61</v>
      </c>
      <c r="D29" s="276"/>
      <c r="E29" s="492"/>
      <c r="F29" s="492" t="s">
        <v>62</v>
      </c>
      <c r="G29" s="492"/>
      <c r="H29" s="492"/>
      <c r="I29" s="492" t="s">
        <v>63</v>
      </c>
      <c r="J29" s="492"/>
      <c r="K29" s="492"/>
      <c r="L29" s="492" t="s">
        <v>64</v>
      </c>
      <c r="M29" s="492"/>
      <c r="N29" s="492"/>
      <c r="O29" s="492" t="s">
        <v>65</v>
      </c>
      <c r="P29" s="492"/>
      <c r="Q29" s="492"/>
      <c r="R29" s="492" t="s">
        <v>66</v>
      </c>
      <c r="S29" s="492"/>
      <c r="T29" s="152"/>
      <c r="U29" s="152"/>
    </row>
    <row r="30" spans="1:31" ht="38.25">
      <c r="A30" s="168" t="s">
        <v>47</v>
      </c>
      <c r="B30" s="190" t="s">
        <v>6</v>
      </c>
      <c r="C30" s="185" t="s">
        <v>67</v>
      </c>
      <c r="D30" s="175" t="s">
        <v>68</v>
      </c>
      <c r="E30" s="190" t="s">
        <v>6</v>
      </c>
      <c r="F30" s="185" t="s">
        <v>67</v>
      </c>
      <c r="G30" s="175" t="s">
        <v>68</v>
      </c>
      <c r="H30" s="190" t="s">
        <v>6</v>
      </c>
      <c r="I30" s="185" t="s">
        <v>67</v>
      </c>
      <c r="J30" s="175" t="s">
        <v>68</v>
      </c>
      <c r="K30" s="190" t="s">
        <v>48</v>
      </c>
      <c r="L30" s="185" t="s">
        <v>67</v>
      </c>
      <c r="M30" s="175" t="s">
        <v>68</v>
      </c>
      <c r="N30" s="190" t="s">
        <v>6</v>
      </c>
      <c r="O30" s="185" t="s">
        <v>67</v>
      </c>
      <c r="P30" s="175" t="s">
        <v>68</v>
      </c>
      <c r="Q30" s="190" t="s">
        <v>6</v>
      </c>
      <c r="R30" s="185" t="s">
        <v>67</v>
      </c>
      <c r="S30" s="175" t="s">
        <v>68</v>
      </c>
      <c r="T30" s="175" t="s">
        <v>51</v>
      </c>
      <c r="V30" s="11"/>
    </row>
    <row r="31" spans="1:31">
      <c r="A31" s="168" t="s">
        <v>52</v>
      </c>
      <c r="B31" s="190"/>
      <c r="C31" s="188"/>
      <c r="D31" s="191"/>
      <c r="E31" s="190"/>
      <c r="F31" s="188"/>
      <c r="G31" s="191"/>
      <c r="H31" s="190"/>
      <c r="I31" s="188"/>
      <c r="J31" s="188"/>
      <c r="K31" s="190"/>
      <c r="L31" s="188"/>
      <c r="M31" s="191"/>
      <c r="N31" s="190"/>
      <c r="O31" s="188"/>
      <c r="P31" s="191"/>
      <c r="Q31" s="190"/>
      <c r="R31" s="188"/>
      <c r="S31" s="191"/>
      <c r="T31" s="192"/>
    </row>
    <row r="32" spans="1:31">
      <c r="A32" s="89" t="s">
        <v>8</v>
      </c>
      <c r="B32" s="131">
        <v>0</v>
      </c>
      <c r="C32" s="391"/>
      <c r="D32" s="392"/>
      <c r="E32" s="128">
        <v>0</v>
      </c>
      <c r="F32" s="387"/>
      <c r="G32" s="387"/>
      <c r="H32" s="128">
        <v>0</v>
      </c>
      <c r="I32" s="392"/>
      <c r="J32" s="392"/>
      <c r="K32" s="130">
        <v>0</v>
      </c>
      <c r="L32" s="521"/>
      <c r="M32" s="387"/>
      <c r="N32" s="128">
        <v>0</v>
      </c>
      <c r="O32" s="387"/>
      <c r="P32" s="387"/>
      <c r="Q32" s="128">
        <v>0</v>
      </c>
      <c r="R32" s="387"/>
      <c r="S32" s="388"/>
      <c r="T32" s="4">
        <v>5276</v>
      </c>
    </row>
    <row r="33" spans="1:26" ht="13.5" thickBot="1">
      <c r="A33" s="193" t="s">
        <v>53</v>
      </c>
      <c r="B33" s="161">
        <f t="shared" ref="B33:K33" si="7">SUM(B32:B32)</f>
        <v>0</v>
      </c>
      <c r="C33" s="278">
        <f t="shared" si="7"/>
        <v>0</v>
      </c>
      <c r="D33" s="279">
        <f t="shared" si="7"/>
        <v>0</v>
      </c>
      <c r="E33" s="129">
        <f t="shared" si="7"/>
        <v>0</v>
      </c>
      <c r="F33" s="284">
        <f t="shared" si="7"/>
        <v>0</v>
      </c>
      <c r="G33" s="285">
        <f t="shared" si="7"/>
        <v>0</v>
      </c>
      <c r="H33" s="129">
        <f t="shared" si="7"/>
        <v>0</v>
      </c>
      <c r="I33" s="278">
        <f t="shared" si="7"/>
        <v>0</v>
      </c>
      <c r="J33" s="279">
        <f t="shared" si="7"/>
        <v>0</v>
      </c>
      <c r="K33" s="129">
        <f t="shared" si="7"/>
        <v>0</v>
      </c>
      <c r="L33" s="522">
        <f t="shared" ref="L33:S33" si="8">SUM(L32:L32)</f>
        <v>0</v>
      </c>
      <c r="M33" s="279">
        <f t="shared" si="8"/>
        <v>0</v>
      </c>
      <c r="N33" s="129">
        <f t="shared" si="8"/>
        <v>0</v>
      </c>
      <c r="O33" s="278">
        <f>SUM(O32:O32)</f>
        <v>0</v>
      </c>
      <c r="P33" s="279">
        <f t="shared" si="8"/>
        <v>0</v>
      </c>
      <c r="Q33" s="129">
        <f t="shared" si="8"/>
        <v>0</v>
      </c>
      <c r="R33" s="278">
        <f t="shared" si="8"/>
        <v>0</v>
      </c>
      <c r="S33" s="279">
        <f t="shared" si="8"/>
        <v>0</v>
      </c>
      <c r="T33" s="5"/>
    </row>
    <row r="34" spans="1:26" ht="13.5" thickTop="1">
      <c r="A34" s="168" t="s">
        <v>54</v>
      </c>
      <c r="B34" s="198"/>
      <c r="C34" s="197"/>
      <c r="D34" s="196"/>
      <c r="E34" s="198"/>
      <c r="F34" s="197"/>
      <c r="G34" s="196"/>
      <c r="H34" s="198"/>
      <c r="I34" s="197"/>
      <c r="J34" s="196"/>
      <c r="K34" s="198"/>
      <c r="L34" s="523"/>
      <c r="M34" s="196"/>
      <c r="N34" s="198"/>
      <c r="O34" s="197"/>
      <c r="P34" s="196"/>
      <c r="Q34" s="198"/>
      <c r="R34" s="197"/>
      <c r="S34" s="199"/>
      <c r="T34" s="192"/>
    </row>
    <row r="35" spans="1:26">
      <c r="A35" s="46" t="s">
        <v>11</v>
      </c>
      <c r="B35" s="164">
        <v>14095</v>
      </c>
      <c r="C35" s="387"/>
      <c r="D35" s="387"/>
      <c r="E35" s="164">
        <v>0</v>
      </c>
      <c r="F35" s="393"/>
      <c r="G35" s="393"/>
      <c r="H35" s="164">
        <v>0</v>
      </c>
      <c r="I35" s="393"/>
      <c r="J35" s="387"/>
      <c r="K35" s="164">
        <v>0</v>
      </c>
      <c r="L35" s="521"/>
      <c r="M35" s="387"/>
      <c r="N35" s="164">
        <v>0</v>
      </c>
      <c r="O35" s="387"/>
      <c r="P35" s="386"/>
      <c r="Q35" s="164">
        <v>0</v>
      </c>
      <c r="R35" s="387"/>
      <c r="S35" s="388"/>
      <c r="T35" s="7">
        <v>138123</v>
      </c>
    </row>
    <row r="36" spans="1:26" ht="13.5">
      <c r="A36" s="215" t="s">
        <v>55</v>
      </c>
      <c r="B36" s="216">
        <v>0</v>
      </c>
      <c r="C36" s="387"/>
      <c r="D36" s="388"/>
      <c r="E36" s="216">
        <v>0</v>
      </c>
      <c r="F36" s="393"/>
      <c r="G36" s="394"/>
      <c r="H36" s="216">
        <v>0</v>
      </c>
      <c r="I36" s="387"/>
      <c r="J36" s="388"/>
      <c r="K36" s="216">
        <v>0</v>
      </c>
      <c r="L36" s="521"/>
      <c r="M36" s="388"/>
      <c r="N36" s="216">
        <v>0</v>
      </c>
      <c r="O36" s="387"/>
      <c r="P36" s="388"/>
      <c r="Q36" s="216">
        <v>0</v>
      </c>
      <c r="R36" s="387"/>
      <c r="S36" s="388"/>
      <c r="T36" s="4"/>
    </row>
    <row r="37" spans="1:26" ht="14.25">
      <c r="A37" s="169" t="s">
        <v>56</v>
      </c>
      <c r="B37" s="165">
        <v>2</v>
      </c>
      <c r="C37" s="387"/>
      <c r="D37" s="388"/>
      <c r="E37" s="165">
        <v>0</v>
      </c>
      <c r="F37" s="393"/>
      <c r="G37" s="394"/>
      <c r="H37" s="165">
        <v>0</v>
      </c>
      <c r="I37" s="387"/>
      <c r="J37" s="388"/>
      <c r="K37" s="165">
        <v>0</v>
      </c>
      <c r="L37" s="521"/>
      <c r="M37" s="388"/>
      <c r="N37" s="165">
        <v>0</v>
      </c>
      <c r="O37" s="387"/>
      <c r="P37" s="388"/>
      <c r="Q37" s="165">
        <v>0</v>
      </c>
      <c r="R37" s="387"/>
      <c r="S37" s="388"/>
      <c r="T37" s="4"/>
    </row>
    <row r="38" spans="1:26">
      <c r="A38" s="301" t="s">
        <v>17</v>
      </c>
      <c r="B38" s="165">
        <v>0</v>
      </c>
      <c r="C38" s="387"/>
      <c r="D38" s="387"/>
      <c r="E38" s="165">
        <v>0</v>
      </c>
      <c r="F38" s="393"/>
      <c r="G38" s="393"/>
      <c r="H38" s="165">
        <v>0</v>
      </c>
      <c r="I38" s="387"/>
      <c r="J38" s="387"/>
      <c r="K38" s="165">
        <v>0</v>
      </c>
      <c r="L38" s="521"/>
      <c r="M38" s="387"/>
      <c r="N38" s="165">
        <v>0</v>
      </c>
      <c r="O38" s="387"/>
      <c r="P38" s="388"/>
      <c r="Q38" s="165">
        <v>0</v>
      </c>
      <c r="R38" s="387"/>
      <c r="S38" s="388"/>
      <c r="T38" s="4">
        <v>663393.5</v>
      </c>
    </row>
    <row r="39" spans="1:26">
      <c r="A39" s="301" t="s">
        <v>20</v>
      </c>
      <c r="B39" s="165">
        <v>0</v>
      </c>
      <c r="C39" s="387"/>
      <c r="D39" s="387"/>
      <c r="E39" s="165">
        <v>0</v>
      </c>
      <c r="F39" s="393"/>
      <c r="G39" s="393"/>
      <c r="H39" s="165">
        <v>0</v>
      </c>
      <c r="I39" s="387"/>
      <c r="J39" s="387"/>
      <c r="K39" s="165">
        <v>0</v>
      </c>
      <c r="L39" s="521"/>
      <c r="M39" s="387"/>
      <c r="N39" s="165">
        <v>0</v>
      </c>
      <c r="O39" s="387"/>
      <c r="P39" s="388"/>
      <c r="Q39" s="165">
        <v>0</v>
      </c>
      <c r="R39" s="387"/>
      <c r="S39" s="388"/>
      <c r="T39" s="4"/>
    </row>
    <row r="40" spans="1:26">
      <c r="A40" s="301" t="s">
        <v>21</v>
      </c>
      <c r="B40" s="482">
        <v>0</v>
      </c>
      <c r="C40" s="387"/>
      <c r="D40" s="387"/>
      <c r="E40" s="482">
        <v>0</v>
      </c>
      <c r="F40" s="393"/>
      <c r="G40" s="393"/>
      <c r="H40" s="482">
        <v>0</v>
      </c>
      <c r="I40" s="393"/>
      <c r="J40" s="387"/>
      <c r="K40" s="482">
        <v>0</v>
      </c>
      <c r="L40" s="521"/>
      <c r="M40" s="387"/>
      <c r="N40" s="482">
        <v>0</v>
      </c>
      <c r="O40" s="387"/>
      <c r="P40" s="388"/>
      <c r="Q40" s="482">
        <v>0</v>
      </c>
      <c r="R40" s="387"/>
      <c r="S40" s="388"/>
      <c r="T40" s="4">
        <v>157189</v>
      </c>
    </row>
    <row r="41" spans="1:26">
      <c r="A41" s="301" t="s">
        <v>23</v>
      </c>
      <c r="B41" s="482">
        <v>0</v>
      </c>
      <c r="C41" s="387"/>
      <c r="D41" s="387"/>
      <c r="E41" s="482">
        <v>0</v>
      </c>
      <c r="F41" s="393"/>
      <c r="G41" s="393"/>
      <c r="H41" s="482">
        <v>0</v>
      </c>
      <c r="I41" s="387"/>
      <c r="J41" s="387"/>
      <c r="K41" s="482">
        <v>0</v>
      </c>
      <c r="L41" s="521"/>
      <c r="M41" s="387"/>
      <c r="N41" s="482">
        <v>0</v>
      </c>
      <c r="O41" s="387"/>
      <c r="P41" s="388"/>
      <c r="Q41" s="482">
        <v>0</v>
      </c>
      <c r="R41" s="387"/>
      <c r="S41" s="388"/>
      <c r="T41" s="4">
        <v>157189</v>
      </c>
    </row>
    <row r="42" spans="1:26">
      <c r="A42" s="89" t="s">
        <v>24</v>
      </c>
      <c r="B42" s="165">
        <v>0</v>
      </c>
      <c r="C42" s="387"/>
      <c r="D42" s="387"/>
      <c r="E42" s="165">
        <v>0</v>
      </c>
      <c r="F42" s="393"/>
      <c r="G42" s="393"/>
      <c r="H42" s="165">
        <v>0</v>
      </c>
      <c r="I42" s="387"/>
      <c r="J42" s="387"/>
      <c r="K42" s="165">
        <v>0</v>
      </c>
      <c r="L42" s="521"/>
      <c r="M42" s="387"/>
      <c r="N42" s="165">
        <v>0</v>
      </c>
      <c r="O42" s="387"/>
      <c r="P42" s="388"/>
      <c r="Q42" s="165">
        <v>0</v>
      </c>
      <c r="R42" s="387"/>
      <c r="S42" s="388"/>
      <c r="T42" s="4">
        <v>18875</v>
      </c>
      <c r="V42" s="528" t="s">
        <v>58</v>
      </c>
    </row>
    <row r="43" spans="1:26">
      <c r="A43" s="89" t="s">
        <v>25</v>
      </c>
      <c r="B43" s="165">
        <v>0</v>
      </c>
      <c r="C43" s="387"/>
      <c r="D43" s="387"/>
      <c r="E43" s="165">
        <v>0</v>
      </c>
      <c r="F43" s="393"/>
      <c r="G43" s="393"/>
      <c r="H43" s="165">
        <v>0</v>
      </c>
      <c r="I43" s="387"/>
      <c r="J43" s="387"/>
      <c r="K43" s="165">
        <v>0</v>
      </c>
      <c r="L43" s="521"/>
      <c r="M43" s="387"/>
      <c r="N43" s="165">
        <v>0</v>
      </c>
      <c r="O43" s="387"/>
      <c r="P43" s="388"/>
      <c r="Q43" s="165">
        <v>0</v>
      </c>
      <c r="R43" s="387"/>
      <c r="S43" s="388"/>
      <c r="T43" s="4">
        <v>18875</v>
      </c>
    </row>
    <row r="44" spans="1:26" s="158" customFormat="1">
      <c r="A44" s="301" t="s">
        <v>57</v>
      </c>
      <c r="B44" s="216">
        <v>0</v>
      </c>
      <c r="C44" s="387"/>
      <c r="D44" s="387"/>
      <c r="E44" s="216">
        <v>0</v>
      </c>
      <c r="F44" s="393"/>
      <c r="G44" s="393"/>
      <c r="H44" s="216">
        <v>0</v>
      </c>
      <c r="I44" s="393"/>
      <c r="J44" s="387"/>
      <c r="K44" s="216">
        <v>0</v>
      </c>
      <c r="L44" s="521"/>
      <c r="M44" s="387"/>
      <c r="N44" s="216">
        <v>0</v>
      </c>
      <c r="O44" s="387"/>
      <c r="P44" s="388"/>
      <c r="Q44" s="216">
        <v>0</v>
      </c>
      <c r="R44" s="387"/>
      <c r="S44" s="388"/>
      <c r="T44" s="554"/>
    </row>
    <row r="45" spans="1:26">
      <c r="A45" s="89" t="s">
        <v>26</v>
      </c>
      <c r="B45" s="165">
        <v>0</v>
      </c>
      <c r="C45" s="387"/>
      <c r="D45" s="387"/>
      <c r="E45" s="165">
        <v>0</v>
      </c>
      <c r="F45" s="393"/>
      <c r="G45" s="393"/>
      <c r="H45" s="165">
        <v>0</v>
      </c>
      <c r="I45" s="393"/>
      <c r="J45" s="387"/>
      <c r="K45" s="165">
        <v>0</v>
      </c>
      <c r="L45" s="521"/>
      <c r="M45" s="387"/>
      <c r="N45" s="165">
        <v>0</v>
      </c>
      <c r="O45" s="387"/>
      <c r="P45" s="388"/>
      <c r="Q45" s="165">
        <v>0</v>
      </c>
      <c r="R45" s="387"/>
      <c r="S45" s="388"/>
      <c r="T45" s="4"/>
    </row>
    <row r="46" spans="1:26">
      <c r="A46" s="46" t="s">
        <v>27</v>
      </c>
      <c r="B46" s="299">
        <v>0</v>
      </c>
      <c r="C46" s="387"/>
      <c r="D46" s="387"/>
      <c r="E46" s="299">
        <v>0</v>
      </c>
      <c r="F46" s="393"/>
      <c r="G46" s="393"/>
      <c r="H46" s="299">
        <v>0</v>
      </c>
      <c r="I46" s="393"/>
      <c r="J46" s="388"/>
      <c r="K46" s="299">
        <v>0</v>
      </c>
      <c r="L46" s="521"/>
      <c r="M46" s="387"/>
      <c r="N46" s="299">
        <v>0</v>
      </c>
      <c r="O46" s="387"/>
      <c r="P46" s="388"/>
      <c r="Q46" s="299">
        <v>0</v>
      </c>
      <c r="R46" s="387"/>
      <c r="S46" s="388"/>
      <c r="T46" s="4"/>
    </row>
    <row r="47" spans="1:26" ht="13.5" thickBot="1">
      <c r="A47" s="193" t="s">
        <v>59</v>
      </c>
      <c r="B47" s="3">
        <f t="shared" ref="B47:S47" si="9">SUM(B35:B46)</f>
        <v>14097</v>
      </c>
      <c r="C47" s="274">
        <f t="shared" si="9"/>
        <v>0</v>
      </c>
      <c r="D47" s="248">
        <f t="shared" si="9"/>
        <v>0</v>
      </c>
      <c r="E47" s="3">
        <f t="shared" si="9"/>
        <v>0</v>
      </c>
      <c r="F47" s="280">
        <f t="shared" si="9"/>
        <v>0</v>
      </c>
      <c r="G47" s="281">
        <f t="shared" si="9"/>
        <v>0</v>
      </c>
      <c r="H47" s="3">
        <f t="shared" si="9"/>
        <v>0</v>
      </c>
      <c r="I47" s="274">
        <f t="shared" si="9"/>
        <v>0</v>
      </c>
      <c r="J47" s="248">
        <f t="shared" si="9"/>
        <v>0</v>
      </c>
      <c r="K47" s="3">
        <f t="shared" si="9"/>
        <v>0</v>
      </c>
      <c r="L47" s="524">
        <f t="shared" si="9"/>
        <v>0</v>
      </c>
      <c r="M47" s="248">
        <f t="shared" si="9"/>
        <v>0</v>
      </c>
      <c r="N47" s="3">
        <f t="shared" si="9"/>
        <v>0</v>
      </c>
      <c r="O47" s="274">
        <f t="shared" si="9"/>
        <v>0</v>
      </c>
      <c r="P47" s="248">
        <f t="shared" si="9"/>
        <v>0</v>
      </c>
      <c r="Q47" s="3">
        <f t="shared" si="9"/>
        <v>0</v>
      </c>
      <c r="R47" s="274">
        <f t="shared" si="9"/>
        <v>0</v>
      </c>
      <c r="S47" s="248">
        <f t="shared" si="9"/>
        <v>0</v>
      </c>
      <c r="T47" s="9"/>
    </row>
    <row r="48" spans="1:26" ht="14.25" thickTop="1" thickBot="1">
      <c r="A48" s="200" t="s">
        <v>60</v>
      </c>
      <c r="B48" s="2">
        <f t="shared" ref="B48:S48" si="10">+B33+B47</f>
        <v>14097</v>
      </c>
      <c r="C48" s="275">
        <f t="shared" si="10"/>
        <v>0</v>
      </c>
      <c r="D48" s="247">
        <f t="shared" si="10"/>
        <v>0</v>
      </c>
      <c r="E48" s="2">
        <f t="shared" si="10"/>
        <v>0</v>
      </c>
      <c r="F48" s="282">
        <f t="shared" si="10"/>
        <v>0</v>
      </c>
      <c r="G48" s="283">
        <f t="shared" si="10"/>
        <v>0</v>
      </c>
      <c r="H48" s="2">
        <f t="shared" si="10"/>
        <v>0</v>
      </c>
      <c r="I48" s="275">
        <f t="shared" si="10"/>
        <v>0</v>
      </c>
      <c r="J48" s="247">
        <f t="shared" si="10"/>
        <v>0</v>
      </c>
      <c r="K48" s="2">
        <f t="shared" si="10"/>
        <v>0</v>
      </c>
      <c r="L48" s="525">
        <f t="shared" si="10"/>
        <v>0</v>
      </c>
      <c r="M48" s="247">
        <f t="shared" si="10"/>
        <v>0</v>
      </c>
      <c r="N48" s="2">
        <f t="shared" si="10"/>
        <v>0</v>
      </c>
      <c r="O48" s="275">
        <f t="shared" si="10"/>
        <v>0</v>
      </c>
      <c r="P48" s="247">
        <f t="shared" si="10"/>
        <v>0</v>
      </c>
      <c r="Q48" s="2">
        <f t="shared" si="10"/>
        <v>0</v>
      </c>
      <c r="R48" s="275">
        <f t="shared" si="10"/>
        <v>0</v>
      </c>
      <c r="S48" s="247">
        <f t="shared" si="10"/>
        <v>0</v>
      </c>
      <c r="T48" s="12"/>
      <c r="U48" s="6"/>
      <c r="V48" s="12"/>
      <c r="W48" s="12"/>
      <c r="X48" s="6"/>
      <c r="Y48" s="12"/>
      <c r="Z48" s="12"/>
    </row>
    <row r="49" spans="1:26" ht="13.5" thickTop="1">
      <c r="A49" s="152"/>
      <c r="B49" s="12"/>
      <c r="C49" s="12"/>
      <c r="D49" s="6"/>
      <c r="E49" s="12"/>
      <c r="F49" s="12"/>
      <c r="G49" s="12"/>
      <c r="H49" s="6"/>
      <c r="I49" s="12"/>
      <c r="J49" s="12"/>
      <c r="K49" s="12"/>
      <c r="L49" s="12"/>
      <c r="M49" s="6"/>
      <c r="N49" s="12"/>
      <c r="O49" s="12"/>
      <c r="P49" s="12"/>
      <c r="Q49" s="6"/>
      <c r="R49" s="12"/>
      <c r="S49" s="12"/>
      <c r="T49" s="12"/>
      <c r="U49" s="6"/>
      <c r="V49" s="6"/>
      <c r="W49" s="12"/>
      <c r="X49" s="6"/>
      <c r="Y49" s="6"/>
      <c r="Z49" s="12"/>
    </row>
    <row r="50" spans="1:26" ht="15">
      <c r="A50" s="265" t="s">
        <v>69</v>
      </c>
      <c r="B50" s="201"/>
      <c r="C50" s="201"/>
      <c r="D50" s="201"/>
      <c r="E50" s="494"/>
      <c r="F50" s="202"/>
      <c r="G50" s="201"/>
      <c r="H50" s="202"/>
      <c r="I50" s="201"/>
      <c r="J50" s="201"/>
      <c r="K50" s="201"/>
      <c r="L50" s="201"/>
      <c r="M50" s="201"/>
      <c r="N50" s="201"/>
      <c r="O50" s="201"/>
      <c r="P50" s="203"/>
      <c r="Q50" s="201"/>
      <c r="R50" s="201"/>
      <c r="S50" s="201"/>
      <c r="T50" s="13"/>
      <c r="U50" s="13"/>
      <c r="V50" s="13"/>
      <c r="W50" s="13"/>
      <c r="X50" s="13"/>
      <c r="Y50" s="13"/>
      <c r="Z50" s="13"/>
    </row>
    <row r="51" spans="1:26" ht="33.75" customHeight="1">
      <c r="A51" s="668" t="s">
        <v>70</v>
      </c>
      <c r="B51" s="668"/>
      <c r="C51" s="668"/>
      <c r="D51" s="668"/>
      <c r="E51" s="668"/>
      <c r="F51" s="668"/>
      <c r="G51" s="668"/>
      <c r="H51" s="668"/>
      <c r="I51" s="668"/>
      <c r="J51" s="668"/>
      <c r="K51" s="668"/>
      <c r="L51" s="668"/>
      <c r="M51" s="668"/>
      <c r="N51" s="668"/>
      <c r="O51" s="668"/>
    </row>
    <row r="52" spans="1:26" ht="47.25" customHeight="1">
      <c r="A52" s="668" t="s">
        <v>71</v>
      </c>
      <c r="B52" s="668"/>
      <c r="C52" s="668"/>
      <c r="D52" s="668"/>
      <c r="E52" s="668"/>
      <c r="F52" s="668"/>
      <c r="G52" s="668"/>
      <c r="H52" s="668"/>
      <c r="I52" s="668"/>
      <c r="J52" s="668"/>
      <c r="K52" s="668"/>
      <c r="L52" s="668"/>
      <c r="M52" s="668"/>
      <c r="N52" s="668"/>
      <c r="O52" s="668"/>
      <c r="P52" s="13"/>
      <c r="Q52" s="13"/>
      <c r="R52" s="13"/>
      <c r="S52" s="13"/>
      <c r="T52" s="152"/>
      <c r="U52" s="152"/>
      <c r="V52" s="152"/>
      <c r="W52" s="152"/>
      <c r="X52" s="152"/>
      <c r="Y52" s="152"/>
      <c r="Z52" s="152"/>
    </row>
    <row r="53" spans="1:26" s="158" customFormat="1" ht="18" customHeight="1">
      <c r="A53" s="668" t="s">
        <v>72</v>
      </c>
      <c r="B53" s="668"/>
      <c r="C53" s="668"/>
      <c r="D53" s="668"/>
      <c r="E53" s="668"/>
      <c r="F53" s="668"/>
      <c r="G53" s="668"/>
      <c r="H53" s="668"/>
      <c r="I53" s="668"/>
      <c r="J53" s="668"/>
      <c r="K53" s="668"/>
      <c r="L53" s="668"/>
      <c r="M53" s="668"/>
      <c r="N53" s="668"/>
      <c r="O53" s="668"/>
      <c r="P53" s="483"/>
      <c r="Q53" s="483"/>
      <c r="R53" s="483"/>
      <c r="S53" s="483"/>
      <c r="T53" s="212"/>
      <c r="U53" s="212"/>
      <c r="V53" s="212"/>
      <c r="W53" s="212"/>
      <c r="X53" s="212"/>
      <c r="Y53" s="212"/>
      <c r="Z53" s="212"/>
    </row>
    <row r="54" spans="1:26" s="158" customFormat="1" ht="18" customHeight="1">
      <c r="A54" s="668" t="s">
        <v>73</v>
      </c>
      <c r="B54" s="668"/>
      <c r="C54" s="668"/>
      <c r="D54" s="668"/>
      <c r="E54" s="668"/>
      <c r="F54" s="668"/>
      <c r="G54" s="668"/>
      <c r="H54" s="668"/>
      <c r="I54" s="668"/>
      <c r="J54" s="668"/>
      <c r="K54" s="668"/>
      <c r="L54" s="668"/>
      <c r="M54" s="668"/>
      <c r="N54" s="668"/>
      <c r="O54" s="668"/>
      <c r="P54" s="483"/>
      <c r="Q54" s="483"/>
      <c r="R54" s="483"/>
      <c r="S54" s="483"/>
      <c r="T54" s="212"/>
      <c r="U54" s="212"/>
      <c r="V54" s="212"/>
      <c r="W54" s="212"/>
      <c r="X54" s="212"/>
      <c r="Y54" s="212"/>
      <c r="Z54" s="212"/>
    </row>
    <row r="55" spans="1:26" ht="14.25">
      <c r="A55" s="586" t="s">
        <v>74</v>
      </c>
      <c r="B55" s="208"/>
      <c r="C55" s="208"/>
      <c r="D55" s="208"/>
      <c r="E55" s="208"/>
      <c r="F55" s="208"/>
      <c r="G55" s="208"/>
      <c r="H55" s="208"/>
      <c r="I55" s="208"/>
      <c r="J55" s="208"/>
      <c r="K55" s="208"/>
      <c r="L55" s="208"/>
      <c r="M55" s="208"/>
      <c r="N55" s="208"/>
      <c r="O55" s="568"/>
    </row>
    <row r="56" spans="1:26" ht="14.25">
      <c r="A56" s="586" t="s">
        <v>75</v>
      </c>
      <c r="B56" s="208"/>
      <c r="C56" s="208"/>
      <c r="D56" s="208"/>
      <c r="E56" s="208"/>
      <c r="F56" s="208"/>
      <c r="G56" s="208"/>
      <c r="H56" s="208"/>
      <c r="I56" s="208"/>
      <c r="J56" s="208"/>
      <c r="K56" s="208"/>
      <c r="L56" s="208"/>
      <c r="M56" s="208"/>
      <c r="N56" s="208"/>
      <c r="O56" s="568"/>
    </row>
    <row r="57" spans="1:26" ht="15">
      <c r="A57" s="249" t="s">
        <v>76</v>
      </c>
    </row>
  </sheetData>
  <mergeCells count="4">
    <mergeCell ref="A51:O51"/>
    <mergeCell ref="A52:O52"/>
    <mergeCell ref="A53:O53"/>
    <mergeCell ref="A54:O54"/>
  </mergeCells>
  <phoneticPr fontId="0" type="noConversion"/>
  <printOptions horizontalCentered="1"/>
  <pageMargins left="0" right="0" top="0.3" bottom="0.17" header="0.3" footer="0.15"/>
  <pageSetup paperSize="5" scale="68" orientation="landscape" cellComments="atEnd" r:id="rId1"/>
  <headerFooter alignWithMargins="0">
    <oddHeader xml:space="preserve">&amp;C&amp;"Arial,Bold"
</oddHeader>
    <oddFooter>&amp;Rpage 1 of 11
&amp;A
&amp;D  &amp;T</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P30"/>
  <sheetViews>
    <sheetView zoomScaleNormal="100" zoomScaleSheetLayoutView="100" workbookViewId="0">
      <selection activeCell="V16" sqref="V16"/>
    </sheetView>
  </sheetViews>
  <sheetFormatPr defaultColWidth="9.28515625" defaultRowHeight="12.75"/>
  <cols>
    <col min="1" max="1" width="33.5703125" customWidth="1"/>
    <col min="2" max="2" width="9" customWidth="1"/>
    <col min="3" max="3" width="10.42578125" customWidth="1"/>
    <col min="4" max="4" width="9" customWidth="1"/>
    <col min="5" max="9" width="10.5703125" customWidth="1"/>
    <col min="10" max="10" width="11.5703125" customWidth="1"/>
    <col min="11" max="11" width="10.5703125" customWidth="1"/>
    <col min="12" max="12" width="10.7109375" customWidth="1"/>
    <col min="13" max="13" width="10.28515625" customWidth="1"/>
    <col min="14" max="14" width="18.7109375" style="159" customWidth="1"/>
    <col min="15" max="15" width="149.5703125" customWidth="1"/>
  </cols>
  <sheetData>
    <row r="2" spans="1:16">
      <c r="A2" s="42"/>
      <c r="H2" s="154" t="s">
        <v>39</v>
      </c>
      <c r="N2" s="415"/>
    </row>
    <row r="3" spans="1:16">
      <c r="E3" s="416"/>
      <c r="H3" s="157" t="str">
        <f>'Program MW '!H3</f>
        <v>June 2020</v>
      </c>
      <c r="N3" s="415"/>
    </row>
    <row r="4" spans="1:16">
      <c r="E4" s="156"/>
      <c r="F4" s="156"/>
      <c r="G4" s="156"/>
      <c r="I4" s="156"/>
      <c r="N4" s="415"/>
    </row>
    <row r="5" spans="1:16">
      <c r="B5" s="156"/>
      <c r="C5" s="156"/>
      <c r="D5" s="156"/>
      <c r="F5" s="155"/>
      <c r="N5" s="415"/>
      <c r="O5" s="45"/>
    </row>
    <row r="6" spans="1:16">
      <c r="F6" s="155"/>
      <c r="N6" s="415"/>
    </row>
    <row r="7" spans="1:16" ht="13.5" customHeight="1">
      <c r="A7" s="669" t="s">
        <v>77</v>
      </c>
      <c r="B7" s="670"/>
      <c r="C7" s="670"/>
      <c r="D7" s="670"/>
      <c r="E7" s="670"/>
      <c r="F7" s="670"/>
      <c r="G7" s="670"/>
      <c r="H7" s="670"/>
      <c r="I7" s="670"/>
      <c r="J7" s="670"/>
      <c r="K7" s="670"/>
      <c r="L7" s="670"/>
      <c r="M7" s="670"/>
      <c r="N7" s="671"/>
      <c r="O7" s="493"/>
    </row>
    <row r="8" spans="1:16" ht="38.25" customHeight="1">
      <c r="A8" s="44" t="s">
        <v>1</v>
      </c>
      <c r="B8" s="567" t="s">
        <v>42</v>
      </c>
      <c r="C8" s="567" t="s">
        <v>43</v>
      </c>
      <c r="D8" s="567" t="s">
        <v>44</v>
      </c>
      <c r="E8" s="567" t="s">
        <v>45</v>
      </c>
      <c r="F8" s="567" t="s">
        <v>31</v>
      </c>
      <c r="G8" s="567" t="s">
        <v>46</v>
      </c>
      <c r="H8" s="567" t="s">
        <v>61</v>
      </c>
      <c r="I8" s="567" t="s">
        <v>78</v>
      </c>
      <c r="J8" s="567" t="s">
        <v>79</v>
      </c>
      <c r="K8" s="567" t="s">
        <v>64</v>
      </c>
      <c r="L8" s="567" t="s">
        <v>80</v>
      </c>
      <c r="M8" s="567" t="s">
        <v>66</v>
      </c>
      <c r="N8" s="565" t="s">
        <v>81</v>
      </c>
      <c r="O8" s="302" t="s">
        <v>82</v>
      </c>
    </row>
    <row r="9" spans="1:16" ht="75.75" customHeight="1">
      <c r="A9" s="571" t="s">
        <v>8</v>
      </c>
      <c r="B9" s="572">
        <v>162.31</v>
      </c>
      <c r="C9" s="572">
        <v>108.46</v>
      </c>
      <c r="D9" s="572">
        <v>180.98283386230469</v>
      </c>
      <c r="E9" s="572">
        <v>161.99583435058594</v>
      </c>
      <c r="F9" s="572">
        <v>155.74085998535156</v>
      </c>
      <c r="G9" s="572">
        <v>192.36225891113281</v>
      </c>
      <c r="H9" s="572">
        <v>179.84880065917969</v>
      </c>
      <c r="I9" s="572">
        <v>178.48367309570313</v>
      </c>
      <c r="J9" s="572">
        <v>201.29342651367188</v>
      </c>
      <c r="K9" s="572">
        <v>165.90431213378906</v>
      </c>
      <c r="L9" s="572">
        <v>192.29792785644531</v>
      </c>
      <c r="M9" s="572">
        <v>120.63761901855469</v>
      </c>
      <c r="N9" s="573">
        <v>5432</v>
      </c>
      <c r="O9" s="572">
        <v>192.29792785644531</v>
      </c>
      <c r="P9" s="572">
        <v>120.63761901855469</v>
      </c>
    </row>
    <row r="10" spans="1:16" ht="75.75" customHeight="1">
      <c r="A10" s="574" t="s">
        <v>11</v>
      </c>
      <c r="B10" s="575">
        <v>0</v>
      </c>
      <c r="C10" s="575">
        <v>0</v>
      </c>
      <c r="D10" s="572">
        <v>0.14194809999999999</v>
      </c>
      <c r="E10" s="572">
        <v>0.13864950000000001</v>
      </c>
      <c r="F10" s="572">
        <v>0.13789029999999999</v>
      </c>
      <c r="G10" s="572">
        <v>0.13834830000000001</v>
      </c>
      <c r="H10" s="572">
        <v>0.27215230000000001</v>
      </c>
      <c r="I10" s="572">
        <v>0.1538371</v>
      </c>
      <c r="J10" s="572">
        <v>0.36014620000000003</v>
      </c>
      <c r="K10" s="572">
        <v>5.8280699999999998E-2</v>
      </c>
      <c r="L10" s="572">
        <v>0.1392467</v>
      </c>
      <c r="M10" s="572">
        <v>0.14194809999999999</v>
      </c>
      <c r="N10" s="576">
        <v>25707</v>
      </c>
      <c r="O10" s="558" t="s">
        <v>83</v>
      </c>
    </row>
    <row r="11" spans="1:16" ht="75.75" customHeight="1">
      <c r="A11" s="574" t="s">
        <v>17</v>
      </c>
      <c r="B11" s="575">
        <v>0</v>
      </c>
      <c r="C11" s="575">
        <v>0</v>
      </c>
      <c r="D11" s="572">
        <v>4.2860883695539087E-5</v>
      </c>
      <c r="E11" s="572">
        <v>8.4224827587604523E-2</v>
      </c>
      <c r="F11" s="572">
        <v>0.13438957929611206</v>
      </c>
      <c r="G11" s="572">
        <v>0.1173381507396698</v>
      </c>
      <c r="H11" s="572">
        <v>0.226332888007164</v>
      </c>
      <c r="I11" s="572">
        <v>0.30583557486534119</v>
      </c>
      <c r="J11" s="572">
        <v>0.37461391091346741</v>
      </c>
      <c r="K11" s="572">
        <v>0.2077384740114212</v>
      </c>
      <c r="L11" s="572">
        <v>2.7512801811099052E-2</v>
      </c>
      <c r="M11" s="572">
        <v>5.2312357183836866E-6</v>
      </c>
      <c r="N11" s="577">
        <v>718570</v>
      </c>
      <c r="O11" s="558" t="s">
        <v>84</v>
      </c>
    </row>
    <row r="12" spans="1:16" ht="75.75" customHeight="1">
      <c r="A12" s="574" t="s">
        <v>20</v>
      </c>
      <c r="B12" s="575">
        <v>0</v>
      </c>
      <c r="C12" s="575">
        <v>0</v>
      </c>
      <c r="D12" s="572">
        <v>1.7975203227251768E-3</v>
      </c>
      <c r="E12" s="572">
        <v>0.19116482138633728</v>
      </c>
      <c r="F12" s="572">
        <v>0.27700892090797424</v>
      </c>
      <c r="G12" s="572">
        <v>0.25767529010772705</v>
      </c>
      <c r="H12" s="572">
        <v>0.44397249817848206</v>
      </c>
      <c r="I12" s="572">
        <v>0.5556635856628418</v>
      </c>
      <c r="J12" s="572">
        <v>0.62934333086013794</v>
      </c>
      <c r="K12" s="572">
        <v>0.39233207702636719</v>
      </c>
      <c r="L12" s="572">
        <v>7.7378332614898682E-2</v>
      </c>
      <c r="M12" s="572">
        <v>1.5116055146791041E-4</v>
      </c>
      <c r="N12" s="577">
        <v>133178</v>
      </c>
      <c r="O12" s="558" t="s">
        <v>85</v>
      </c>
    </row>
    <row r="13" spans="1:16" ht="75.75" customHeight="1">
      <c r="A13" s="574" t="s">
        <v>21</v>
      </c>
      <c r="B13" s="578">
        <v>0</v>
      </c>
      <c r="C13" s="578">
        <v>0</v>
      </c>
      <c r="D13" s="572">
        <v>0</v>
      </c>
      <c r="E13" s="572">
        <v>0</v>
      </c>
      <c r="F13" s="572">
        <v>3.3419200000000003E-2</v>
      </c>
      <c r="G13" s="572">
        <v>2.9521E-3</v>
      </c>
      <c r="H13" s="572">
        <v>0.15266479999999999</v>
      </c>
      <c r="I13" s="572">
        <v>0.23155020000000001</v>
      </c>
      <c r="J13" s="572">
        <v>0.28352430000000001</v>
      </c>
      <c r="K13" s="572">
        <v>0.152222</v>
      </c>
      <c r="L13" s="572">
        <v>0</v>
      </c>
      <c r="M13" s="572">
        <v>0</v>
      </c>
      <c r="N13" s="577">
        <v>718570</v>
      </c>
      <c r="O13" s="558" t="s">
        <v>86</v>
      </c>
    </row>
    <row r="14" spans="1:16" ht="75.75" customHeight="1">
      <c r="A14" s="574" t="s">
        <v>23</v>
      </c>
      <c r="B14" s="578">
        <v>0</v>
      </c>
      <c r="C14" s="578">
        <v>0</v>
      </c>
      <c r="D14" s="572">
        <v>0</v>
      </c>
      <c r="E14" s="572">
        <v>5.43369E-2</v>
      </c>
      <c r="F14" s="572">
        <v>7.7479800000000001E-2</v>
      </c>
      <c r="G14" s="572">
        <v>5.96362E-2</v>
      </c>
      <c r="H14" s="572">
        <v>0.122186</v>
      </c>
      <c r="I14" s="572">
        <v>0.14931810000000001</v>
      </c>
      <c r="J14" s="572">
        <v>0.17929719999999999</v>
      </c>
      <c r="K14" s="572">
        <v>0.1209597</v>
      </c>
      <c r="L14" s="572">
        <v>0</v>
      </c>
      <c r="M14" s="572">
        <v>0</v>
      </c>
      <c r="N14" s="577">
        <v>133178</v>
      </c>
      <c r="O14" s="558" t="s">
        <v>87</v>
      </c>
    </row>
    <row r="15" spans="1:16" ht="75.75" customHeight="1">
      <c r="A15" s="574" t="s">
        <v>24</v>
      </c>
      <c r="B15" s="578">
        <v>0</v>
      </c>
      <c r="C15" s="578">
        <v>0</v>
      </c>
      <c r="D15" s="572">
        <v>0</v>
      </c>
      <c r="E15" s="572">
        <v>0</v>
      </c>
      <c r="F15" s="572">
        <v>18.7</v>
      </c>
      <c r="G15" s="572">
        <v>18.964878354203936</v>
      </c>
      <c r="H15" s="572">
        <v>18.703567799642219</v>
      </c>
      <c r="I15" s="572">
        <v>18.703567799642219</v>
      </c>
      <c r="J15" s="572">
        <v>18.703567799642219</v>
      </c>
      <c r="K15" s="572">
        <v>18.703567799642219</v>
      </c>
      <c r="L15" s="572">
        <v>0</v>
      </c>
      <c r="M15" s="572">
        <v>0</v>
      </c>
      <c r="N15" s="576">
        <v>15648</v>
      </c>
      <c r="O15" s="558" t="s">
        <v>88</v>
      </c>
    </row>
    <row r="16" spans="1:16" ht="75.75" customHeight="1">
      <c r="A16" s="574" t="s">
        <v>25</v>
      </c>
      <c r="B16" s="578">
        <v>0</v>
      </c>
      <c r="C16" s="578">
        <v>0</v>
      </c>
      <c r="D16" s="572">
        <v>0</v>
      </c>
      <c r="E16" s="572">
        <v>0</v>
      </c>
      <c r="F16" s="572">
        <v>17.017444903058085</v>
      </c>
      <c r="G16" s="572">
        <v>17.017444903058085</v>
      </c>
      <c r="H16" s="572">
        <v>17.017444903058085</v>
      </c>
      <c r="I16" s="572">
        <v>17.017444903058085</v>
      </c>
      <c r="J16" s="572">
        <v>17.017444903058085</v>
      </c>
      <c r="K16" s="572">
        <v>17.017444903058085</v>
      </c>
      <c r="L16" s="572">
        <v>0</v>
      </c>
      <c r="M16" s="572">
        <v>0</v>
      </c>
      <c r="N16" s="576">
        <v>972</v>
      </c>
      <c r="O16" s="558" t="s">
        <v>88</v>
      </c>
    </row>
    <row r="17" spans="1:15" ht="75.75" customHeight="1">
      <c r="A17" s="574" t="s">
        <v>27</v>
      </c>
      <c r="B17" s="575">
        <v>0.04</v>
      </c>
      <c r="C17" s="575">
        <v>0.04</v>
      </c>
      <c r="D17" s="572">
        <v>1.2769445776939392E-2</v>
      </c>
      <c r="E17" s="572">
        <v>1.2058593332767487E-2</v>
      </c>
      <c r="F17" s="572">
        <v>1.969686895608902E-2</v>
      </c>
      <c r="G17" s="572">
        <v>0.16704349219799042</v>
      </c>
      <c r="H17" s="572">
        <v>0.19209551438689232</v>
      </c>
      <c r="I17" s="572">
        <v>0.20427533239126205</v>
      </c>
      <c r="J17" s="572">
        <v>0.21263467520475388</v>
      </c>
      <c r="K17" s="572">
        <v>0.18562242016196251</v>
      </c>
      <c r="L17" s="572">
        <v>2.9788941144943237E-2</v>
      </c>
      <c r="M17" s="572">
        <v>4.4293880462646484E-2</v>
      </c>
      <c r="N17" s="576">
        <v>1278202</v>
      </c>
      <c r="O17" s="558" t="s">
        <v>89</v>
      </c>
    </row>
    <row r="18" spans="1:15" ht="160.5" customHeight="1">
      <c r="A18" s="574" t="s">
        <v>26</v>
      </c>
      <c r="B18" s="575">
        <v>0.01</v>
      </c>
      <c r="C18" s="575">
        <v>0.01</v>
      </c>
      <c r="D18" s="572">
        <v>1.1465738527476788E-2</v>
      </c>
      <c r="E18" s="572">
        <v>1.3987943530082703E-2</v>
      </c>
      <c r="F18" s="572">
        <v>1.4786232262849808E-2</v>
      </c>
      <c r="G18" s="572">
        <v>1.5152087435126305E-2</v>
      </c>
      <c r="H18" s="572">
        <v>1.6949338838458061E-2</v>
      </c>
      <c r="I18" s="572">
        <v>1.7762394621968269E-2</v>
      </c>
      <c r="J18" s="572">
        <v>1.707758940756321E-2</v>
      </c>
      <c r="K18" s="572">
        <v>1.5507201664149761E-2</v>
      </c>
      <c r="L18" s="572">
        <v>1.2745589949190617E-2</v>
      </c>
      <c r="M18" s="572">
        <v>1.1460551060736179E-2</v>
      </c>
      <c r="N18" s="576">
        <v>119606</v>
      </c>
      <c r="O18" s="558" t="s">
        <v>90</v>
      </c>
    </row>
    <row r="19" spans="1:15" ht="51">
      <c r="A19" s="574" t="s">
        <v>57</v>
      </c>
      <c r="B19" s="575">
        <v>0</v>
      </c>
      <c r="C19" s="575">
        <v>0</v>
      </c>
      <c r="D19" s="572">
        <v>7.2695836424827576E-3</v>
      </c>
      <c r="E19" s="572">
        <v>3.580629825592041E-2</v>
      </c>
      <c r="F19" s="572">
        <v>4.6173933893442154E-2</v>
      </c>
      <c r="G19" s="572">
        <v>4.6004347503185272E-2</v>
      </c>
      <c r="H19" s="572">
        <v>6.6882669925689697E-2</v>
      </c>
      <c r="I19" s="572">
        <v>7.7819600701332092E-2</v>
      </c>
      <c r="J19" s="572">
        <v>7.6827466487884521E-2</v>
      </c>
      <c r="K19" s="572">
        <v>5.6665807962417603E-2</v>
      </c>
      <c r="L19" s="572">
        <v>2.0815497264266014E-2</v>
      </c>
      <c r="M19" s="572">
        <v>7.0209093391895294E-3</v>
      </c>
      <c r="N19" s="576">
        <v>2795</v>
      </c>
      <c r="O19" s="558" t="s">
        <v>91</v>
      </c>
    </row>
    <row r="20" spans="1:15" ht="51" customHeight="1">
      <c r="A20" s="571" t="s">
        <v>56</v>
      </c>
      <c r="B20" s="575">
        <v>0</v>
      </c>
      <c r="C20" s="575">
        <v>0</v>
      </c>
      <c r="D20" s="572">
        <v>0</v>
      </c>
      <c r="E20" s="572">
        <v>0</v>
      </c>
      <c r="F20" s="572">
        <v>13.16</v>
      </c>
      <c r="G20" s="572">
        <v>13.16</v>
      </c>
      <c r="H20" s="572">
        <v>13.16</v>
      </c>
      <c r="I20" s="572">
        <v>13.16</v>
      </c>
      <c r="J20" s="572">
        <v>13.16</v>
      </c>
      <c r="K20" s="572">
        <v>13.16</v>
      </c>
      <c r="L20" s="572">
        <v>0</v>
      </c>
      <c r="M20" s="572">
        <v>0</v>
      </c>
      <c r="N20" s="582">
        <v>3</v>
      </c>
      <c r="O20" s="558" t="s">
        <v>92</v>
      </c>
    </row>
    <row r="21" spans="1:15">
      <c r="A21" s="617"/>
      <c r="B21" s="618"/>
      <c r="C21" s="618"/>
      <c r="D21" s="618"/>
      <c r="E21" s="618"/>
      <c r="F21" s="618"/>
      <c r="G21" s="618"/>
      <c r="H21" s="618"/>
      <c r="I21" s="618"/>
      <c r="J21" s="618"/>
      <c r="K21" s="618"/>
      <c r="L21" s="618"/>
      <c r="M21" s="618"/>
      <c r="N21" s="620"/>
      <c r="O21" s="564"/>
    </row>
    <row r="22" spans="1:15" ht="15">
      <c r="A22" s="266" t="s">
        <v>69</v>
      </c>
      <c r="B22" s="417"/>
      <c r="C22" s="417"/>
      <c r="D22" s="417"/>
      <c r="E22" s="417"/>
      <c r="F22" s="418"/>
      <c r="G22" s="417"/>
      <c r="H22" s="418"/>
      <c r="I22" s="417"/>
      <c r="J22" s="417"/>
      <c r="K22" s="417"/>
      <c r="L22" s="417"/>
      <c r="M22" s="417"/>
      <c r="N22" s="415"/>
      <c r="O22" s="417"/>
    </row>
    <row r="23" spans="1:15" ht="18" customHeight="1">
      <c r="A23" s="668" t="s">
        <v>93</v>
      </c>
      <c r="B23" s="668"/>
      <c r="C23" s="668"/>
      <c r="D23" s="668"/>
      <c r="E23" s="668"/>
      <c r="F23" s="668"/>
      <c r="G23" s="668"/>
      <c r="H23" s="668"/>
      <c r="I23" s="668"/>
      <c r="J23" s="668"/>
      <c r="K23" s="668"/>
      <c r="L23" s="668"/>
      <c r="M23" s="668"/>
      <c r="N23" s="668"/>
      <c r="O23" s="668"/>
    </row>
    <row r="24" spans="1:15" ht="14.25">
      <c r="A24" s="672" t="s">
        <v>94</v>
      </c>
      <c r="B24" s="673"/>
      <c r="C24" s="673"/>
      <c r="D24" s="673"/>
      <c r="E24" s="673"/>
      <c r="F24" s="673"/>
      <c r="G24" s="673"/>
      <c r="H24" s="673"/>
      <c r="I24" s="673"/>
      <c r="J24" s="673"/>
      <c r="K24" s="673"/>
      <c r="L24" s="673"/>
      <c r="M24" s="673"/>
      <c r="N24" s="673"/>
      <c r="O24" s="673"/>
    </row>
    <row r="25" spans="1:15" ht="14.25">
      <c r="A25" s="672" t="s">
        <v>95</v>
      </c>
      <c r="B25" s="673"/>
      <c r="C25" s="673"/>
      <c r="D25" s="673"/>
      <c r="E25" s="673"/>
      <c r="F25" s="673"/>
      <c r="G25" s="673"/>
      <c r="H25" s="673"/>
      <c r="I25" s="673"/>
      <c r="J25" s="673"/>
      <c r="K25" s="673"/>
      <c r="L25" s="673"/>
      <c r="M25" s="673"/>
      <c r="N25" s="673"/>
      <c r="O25" s="560"/>
    </row>
    <row r="26" spans="1:15" ht="14.25">
      <c r="A26" s="569" t="s">
        <v>96</v>
      </c>
      <c r="B26" s="560"/>
      <c r="C26" s="560"/>
      <c r="D26" s="560"/>
      <c r="E26" s="560"/>
      <c r="F26" s="560"/>
      <c r="N26"/>
    </row>
    <row r="27" spans="1:15" s="156" customFormat="1" ht="14.25">
      <c r="A27" s="570" t="s">
        <v>97</v>
      </c>
      <c r="B27" s="560"/>
      <c r="C27" s="560"/>
      <c r="D27" s="560"/>
      <c r="E27" s="560"/>
      <c r="F27" s="560"/>
      <c r="G27" s="560"/>
      <c r="H27" s="560"/>
      <c r="I27" s="560"/>
      <c r="J27" s="560"/>
      <c r="K27" s="560"/>
      <c r="L27" s="560"/>
      <c r="M27" s="560"/>
      <c r="N27" s="560"/>
      <c r="O27" s="560"/>
    </row>
    <row r="28" spans="1:15" ht="14.25">
      <c r="A28" s="674" t="s">
        <v>98</v>
      </c>
      <c r="B28" s="675"/>
      <c r="C28" s="675"/>
      <c r="D28" s="675"/>
      <c r="E28" s="675"/>
      <c r="F28" s="675"/>
      <c r="G28" s="675"/>
      <c r="H28" s="675"/>
      <c r="I28" s="675"/>
      <c r="J28" s="675"/>
      <c r="K28" s="675"/>
      <c r="L28" s="675"/>
      <c r="M28" s="675"/>
      <c r="N28" s="675"/>
      <c r="O28" s="579" t="s">
        <v>99</v>
      </c>
    </row>
    <row r="29" spans="1:15" ht="14.25">
      <c r="A29" s="637"/>
      <c r="B29" s="583"/>
      <c r="C29" s="583"/>
      <c r="D29" s="583"/>
      <c r="E29" s="583"/>
      <c r="F29" s="583"/>
      <c r="G29" s="583"/>
      <c r="H29" s="583"/>
      <c r="I29" s="583"/>
      <c r="J29" s="583"/>
      <c r="K29" s="583"/>
      <c r="L29" s="583"/>
      <c r="M29" s="583"/>
      <c r="N29" s="583"/>
      <c r="O29" s="583"/>
    </row>
    <row r="30" spans="1:15" ht="15">
      <c r="A30" s="249" t="s">
        <v>76</v>
      </c>
      <c r="N30" s="415"/>
    </row>
  </sheetData>
  <mergeCells count="5">
    <mergeCell ref="A7:N7"/>
    <mergeCell ref="A25:N25"/>
    <mergeCell ref="A28:N28"/>
    <mergeCell ref="A24:O24"/>
    <mergeCell ref="A23:O23"/>
  </mergeCells>
  <phoneticPr fontId="42" type="noConversion"/>
  <printOptions horizontalCentered="1"/>
  <pageMargins left="0" right="0" top="0.55000000000000004" bottom="0.17" header="0.3" footer="0.15"/>
  <pageSetup paperSize="5" scale="54" orientation="landscape" cellComments="atEnd" r:id="rId1"/>
  <headerFooter alignWithMargins="0">
    <oddHeader xml:space="preserve">&amp;C&amp;"Arial,Bold"
</oddHeader>
    <oddFooter>&amp;Rpage 2 of 11
&amp;A
&amp;D</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55"/>
  <sheetViews>
    <sheetView showGridLines="0" showRuler="0" topLeftCell="A13" zoomScaleNormal="100" zoomScaleSheetLayoutView="100" workbookViewId="0">
      <selection activeCell="J15" sqref="J15"/>
    </sheetView>
  </sheetViews>
  <sheetFormatPr defaultColWidth="9.28515625" defaultRowHeight="40.5" customHeight="1"/>
  <cols>
    <col min="1" max="1" width="35" customWidth="1"/>
    <col min="2" max="9" width="10.7109375" customWidth="1"/>
    <col min="10" max="10" width="11.42578125" customWidth="1"/>
    <col min="11" max="13" width="10.7109375" customWidth="1"/>
    <col min="14" max="14" width="14.28515625" style="210" bestFit="1" customWidth="1"/>
    <col min="15" max="15" width="149.5703125" customWidth="1"/>
  </cols>
  <sheetData>
    <row r="1" spans="1:16" ht="12.75">
      <c r="N1" s="419"/>
    </row>
    <row r="2" spans="1:16" ht="12.75">
      <c r="H2" s="154" t="s">
        <v>39</v>
      </c>
      <c r="N2" s="419"/>
    </row>
    <row r="3" spans="1:16" ht="12.75">
      <c r="H3" s="207" t="str">
        <f>'Program MW '!H3</f>
        <v>June 2020</v>
      </c>
      <c r="N3" s="419"/>
    </row>
    <row r="4" spans="1:16" ht="12.75">
      <c r="F4" s="156"/>
      <c r="G4" s="156"/>
      <c r="I4" s="156"/>
      <c r="N4" s="419"/>
      <c r="O4" s="45"/>
    </row>
    <row r="5" spans="1:16" ht="12.75">
      <c r="B5" s="156"/>
      <c r="C5" s="156"/>
      <c r="D5" s="156"/>
      <c r="F5" s="154"/>
      <c r="N5" s="419"/>
    </row>
    <row r="6" spans="1:16" ht="12.75">
      <c r="F6" s="154"/>
      <c r="N6" s="419"/>
    </row>
    <row r="7" spans="1:16" ht="22.5" customHeight="1">
      <c r="A7" s="676" t="s">
        <v>100</v>
      </c>
      <c r="B7" s="677"/>
      <c r="C7" s="677"/>
      <c r="D7" s="677"/>
      <c r="E7" s="677"/>
      <c r="F7" s="677"/>
      <c r="G7" s="677"/>
      <c r="H7" s="677"/>
      <c r="I7" s="677"/>
      <c r="J7" s="677"/>
      <c r="K7" s="677"/>
      <c r="L7" s="677"/>
      <c r="M7" s="677"/>
      <c r="N7" s="678"/>
      <c r="O7" s="43"/>
    </row>
    <row r="8" spans="1:16" ht="40.5" customHeight="1">
      <c r="A8" s="44" t="s">
        <v>1</v>
      </c>
      <c r="B8" s="567" t="s">
        <v>42</v>
      </c>
      <c r="C8" s="567" t="s">
        <v>43</v>
      </c>
      <c r="D8" s="567" t="s">
        <v>44</v>
      </c>
      <c r="E8" s="567" t="s">
        <v>45</v>
      </c>
      <c r="F8" s="567" t="s">
        <v>31</v>
      </c>
      <c r="G8" s="567" t="s">
        <v>46</v>
      </c>
      <c r="H8" s="567" t="s">
        <v>61</v>
      </c>
      <c r="I8" s="567" t="s">
        <v>78</v>
      </c>
      <c r="J8" s="567" t="s">
        <v>79</v>
      </c>
      <c r="K8" s="567" t="s">
        <v>64</v>
      </c>
      <c r="L8" s="567" t="s">
        <v>80</v>
      </c>
      <c r="M8" s="567" t="s">
        <v>66</v>
      </c>
      <c r="N8" s="566" t="str">
        <f>'Ex ante LI &amp; Eligibility Stats'!N8:N8</f>
        <v>Eligible Accounts as of January</v>
      </c>
      <c r="O8" s="302" t="s">
        <v>82</v>
      </c>
    </row>
    <row r="9" spans="1:16" ht="75.75" customHeight="1">
      <c r="A9" s="571" t="s">
        <v>8</v>
      </c>
      <c r="B9" s="572">
        <v>378.93</v>
      </c>
      <c r="C9" s="572">
        <v>378.93</v>
      </c>
      <c r="D9" s="572">
        <v>573.46600341796875</v>
      </c>
      <c r="E9" s="572">
        <v>573.46600341796875</v>
      </c>
      <c r="F9" s="572">
        <v>573.46600341796875</v>
      </c>
      <c r="G9" s="572">
        <v>573.46600341796875</v>
      </c>
      <c r="H9" s="572">
        <v>573.46600341796875</v>
      </c>
      <c r="I9" s="572">
        <v>573.46600341796875</v>
      </c>
      <c r="J9" s="572">
        <v>573.46600341796875</v>
      </c>
      <c r="K9" s="572">
        <v>573.46600341796875</v>
      </c>
      <c r="L9" s="572">
        <v>573.46600341796875</v>
      </c>
      <c r="M9" s="572">
        <v>573.46600341796875</v>
      </c>
      <c r="N9" s="580">
        <v>5432</v>
      </c>
      <c r="O9" s="572">
        <v>573.46600341796875</v>
      </c>
      <c r="P9" s="572">
        <v>573.46600341796875</v>
      </c>
    </row>
    <row r="10" spans="1:16" ht="75.75" customHeight="1">
      <c r="A10" s="574" t="s">
        <v>11</v>
      </c>
      <c r="B10" s="575">
        <v>0.73</v>
      </c>
      <c r="C10" s="575">
        <v>0.73</v>
      </c>
      <c r="D10" s="572">
        <v>0.73</v>
      </c>
      <c r="E10" s="572">
        <v>0.73</v>
      </c>
      <c r="F10" s="572">
        <v>0.73</v>
      </c>
      <c r="G10" s="572">
        <v>0.73</v>
      </c>
      <c r="H10" s="572">
        <v>0.73</v>
      </c>
      <c r="I10" s="572">
        <v>0.73</v>
      </c>
      <c r="J10" s="572">
        <v>0.73</v>
      </c>
      <c r="K10" s="572">
        <v>0.73</v>
      </c>
      <c r="L10" s="572">
        <v>0.73</v>
      </c>
      <c r="M10" s="572">
        <v>0.73</v>
      </c>
      <c r="N10" s="577">
        <v>25707</v>
      </c>
      <c r="O10" s="303" t="str">
        <f>+'Ex ante LI &amp; Eligibility Stats'!O10</f>
        <v>This Schedule is the default commodity rate for customers currently receiving bundled utility service on a commercial/industrial rate schedule for customers whose Maximum Monthly Demand is equal to or exceeds or is expected to equal or exceed 20 kW for twelve consecutive months. This Schedule is not applicable to Direct Access (DA) or Community Choice Aggregation (CCA) customers.</v>
      </c>
    </row>
    <row r="11" spans="1:16" ht="75.75" customHeight="1">
      <c r="A11" s="574" t="s">
        <v>17</v>
      </c>
      <c r="B11" s="575">
        <v>0.16</v>
      </c>
      <c r="C11" s="575">
        <v>0.16</v>
      </c>
      <c r="D11" s="572">
        <v>0.22</v>
      </c>
      <c r="E11" s="572">
        <v>0.22</v>
      </c>
      <c r="F11" s="572">
        <v>0.22</v>
      </c>
      <c r="G11" s="572">
        <v>0.22</v>
      </c>
      <c r="H11" s="572">
        <v>0.22</v>
      </c>
      <c r="I11" s="572">
        <v>0.22</v>
      </c>
      <c r="J11" s="572">
        <v>0.22</v>
      </c>
      <c r="K11" s="572">
        <v>0.22</v>
      </c>
      <c r="L11" s="572">
        <v>0.22</v>
      </c>
      <c r="M11" s="572">
        <v>0.22</v>
      </c>
      <c r="N11" s="577">
        <v>718570</v>
      </c>
      <c r="O11" s="303" t="str">
        <f>+'Ex ante LI &amp; Eligibility Stats'!O11</f>
        <v>AC Saver Day Ahead (thermostats)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2" spans="1:16" ht="75.75" customHeight="1">
      <c r="A12" s="574" t="s">
        <v>20</v>
      </c>
      <c r="B12" s="575">
        <v>0.47</v>
      </c>
      <c r="C12" s="575">
        <v>0.47</v>
      </c>
      <c r="D12" s="572">
        <v>0.36</v>
      </c>
      <c r="E12" s="572">
        <v>0.36</v>
      </c>
      <c r="F12" s="572">
        <v>0.36</v>
      </c>
      <c r="G12" s="572">
        <v>0.36</v>
      </c>
      <c r="H12" s="572">
        <v>0.36</v>
      </c>
      <c r="I12" s="572">
        <v>0.36</v>
      </c>
      <c r="J12" s="572">
        <v>0.36</v>
      </c>
      <c r="K12" s="572">
        <v>0.36</v>
      </c>
      <c r="L12" s="572">
        <v>0.36</v>
      </c>
      <c r="M12" s="572">
        <v>0.36</v>
      </c>
      <c r="N12" s="577">
        <v>133178</v>
      </c>
      <c r="O12" s="303" t="str">
        <f>+'Ex ante LI &amp; Eligibility Stats'!O12</f>
        <v>AC Saver Day Ahead (thermostats)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3" spans="1:16" ht="75.75" customHeight="1">
      <c r="A13" s="574" t="s">
        <v>21</v>
      </c>
      <c r="B13" s="575">
        <v>0.25</v>
      </c>
      <c r="C13" s="575">
        <v>0.25</v>
      </c>
      <c r="D13" s="572">
        <v>0.11</v>
      </c>
      <c r="E13" s="572">
        <v>0.11</v>
      </c>
      <c r="F13" s="572">
        <v>0.11</v>
      </c>
      <c r="G13" s="572">
        <v>0.11</v>
      </c>
      <c r="H13" s="572">
        <v>0.11</v>
      </c>
      <c r="I13" s="572">
        <v>0.11</v>
      </c>
      <c r="J13" s="572">
        <v>0.11</v>
      </c>
      <c r="K13" s="572">
        <v>0.11</v>
      </c>
      <c r="L13" s="572">
        <v>0.11</v>
      </c>
      <c r="M13" s="572">
        <v>0.11</v>
      </c>
      <c r="N13" s="577">
        <v>718570</v>
      </c>
      <c r="O13" s="303" t="str">
        <f>+'Ex ante LI &amp; Eligibility Stats'!O13</f>
        <v>AC Saver is a voluntary demand response program available to all residential customers with air conditioner (AC) units installed at their premise with SDG&amp;E approved technology capable of curtailing the customers’ AC unit. Residential customers with Net Energy Metering are not eligible for this schedule. This schedule is available to customers receiving Bundled Utility Service or, Direct Access (DA) service and billed by the Utility. Service on this schedule must be taken in combination with the customer’s otherwise applicable rate schedule. Note: AC Saver Day Of in the past we used 65% based on historical RASS data - growth between 2003-2009 and estimate growth from until 2020.</v>
      </c>
    </row>
    <row r="14" spans="1:16" ht="75.75" customHeight="1">
      <c r="A14" s="574" t="s">
        <v>23</v>
      </c>
      <c r="B14" s="575">
        <v>0.12</v>
      </c>
      <c r="C14" s="575">
        <v>0.12</v>
      </c>
      <c r="D14" s="572">
        <v>0.09</v>
      </c>
      <c r="E14" s="572">
        <v>0.09</v>
      </c>
      <c r="F14" s="572">
        <v>0.09</v>
      </c>
      <c r="G14" s="572">
        <v>0.09</v>
      </c>
      <c r="H14" s="572">
        <v>0.09</v>
      </c>
      <c r="I14" s="572">
        <v>0.09</v>
      </c>
      <c r="J14" s="572">
        <v>0.09</v>
      </c>
      <c r="K14" s="572">
        <v>0.09</v>
      </c>
      <c r="L14" s="572">
        <v>0.09</v>
      </c>
      <c r="M14" s="572">
        <v>0.09</v>
      </c>
      <c r="N14" s="577">
        <v>133178</v>
      </c>
      <c r="O14" s="303" t="str">
        <f>+'Ex ante LI &amp; Eligibility Stats'!O14</f>
        <v>AC Saver Day Of (switches) is a voluntary demand response program available to all commercial customers with air conditioner (AC) units installed at their premise with SDG&amp;E approved technology capable of curtailing the customers’ AC unit. This schedule is available to customers receiving Bundled Utility Service or, Direct Access (DA) service and billed by the Utility. Service on this schedule must be taken in combination with the customer’s otherwise applicable rate schedule. Note: AC Saver Day Of we used 85% based on commercial estimates</v>
      </c>
    </row>
    <row r="15" spans="1:16" ht="75.75" customHeight="1">
      <c r="A15" s="574" t="s">
        <v>24</v>
      </c>
      <c r="B15" s="575">
        <v>6.95</v>
      </c>
      <c r="C15" s="575">
        <v>6.95</v>
      </c>
      <c r="D15" s="572">
        <v>26.3</v>
      </c>
      <c r="E15" s="572">
        <v>26.3</v>
      </c>
      <c r="F15" s="572">
        <v>26.3</v>
      </c>
      <c r="G15" s="572">
        <v>26.3</v>
      </c>
      <c r="H15" s="572">
        <v>26.3</v>
      </c>
      <c r="I15" s="572">
        <v>26.3</v>
      </c>
      <c r="J15" s="572">
        <v>26.3</v>
      </c>
      <c r="K15" s="572">
        <v>26.3</v>
      </c>
      <c r="L15" s="572">
        <v>26.3</v>
      </c>
      <c r="M15" s="572">
        <v>26.3</v>
      </c>
      <c r="N15" s="577">
        <v>15648</v>
      </c>
      <c r="O15" s="303" t="str">
        <f>+'Ex ante LI &amp; Eligibility Stats'!O15</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6" spans="1:16" ht="75.75" customHeight="1">
      <c r="A16" s="574" t="s">
        <v>25</v>
      </c>
      <c r="B16" s="581">
        <v>18.59</v>
      </c>
      <c r="C16" s="581">
        <v>18.59</v>
      </c>
      <c r="D16" s="572">
        <v>19.600000000000001</v>
      </c>
      <c r="E16" s="572">
        <v>19.600000000000001</v>
      </c>
      <c r="F16" s="572">
        <v>19.600000000000001</v>
      </c>
      <c r="G16" s="572">
        <v>19.600000000000001</v>
      </c>
      <c r="H16" s="572">
        <v>19.600000000000001</v>
      </c>
      <c r="I16" s="572">
        <v>19.600000000000001</v>
      </c>
      <c r="J16" s="572">
        <v>19.600000000000001</v>
      </c>
      <c r="K16" s="572">
        <v>19.600000000000001</v>
      </c>
      <c r="L16" s="572">
        <v>19.600000000000001</v>
      </c>
      <c r="M16" s="572">
        <v>19.600000000000001</v>
      </c>
      <c r="N16" s="577">
        <v>972</v>
      </c>
      <c r="O16" s="303" t="str">
        <f>+'Ex ante LI &amp; Eligibility Stats'!O16</f>
        <v xml:space="preserve">This schedule is available to commercial and industrial Utility customers receiving Bundled Utility service, Direct Access (“DA”) service or Community Choice Aggregation (“CCA”) service, and being billed on a Utility commercial, industrial or agricultural rate schedule. </v>
      </c>
    </row>
    <row r="17" spans="1:26" ht="75.75" customHeight="1">
      <c r="A17" s="574" t="s">
        <v>27</v>
      </c>
      <c r="B17" s="572">
        <v>0.22</v>
      </c>
      <c r="C17" s="572">
        <v>0.22</v>
      </c>
      <c r="D17" s="572">
        <v>0.22</v>
      </c>
      <c r="E17" s="572">
        <v>0.22</v>
      </c>
      <c r="F17" s="572">
        <v>0.22</v>
      </c>
      <c r="G17" s="572">
        <v>0.22</v>
      </c>
      <c r="H17" s="572">
        <v>0.22</v>
      </c>
      <c r="I17" s="572">
        <v>0.22</v>
      </c>
      <c r="J17" s="572">
        <v>0.22</v>
      </c>
      <c r="K17" s="572">
        <v>0.22</v>
      </c>
      <c r="L17" s="572">
        <v>0.22</v>
      </c>
      <c r="M17" s="572">
        <v>0.22</v>
      </c>
      <c r="N17" s="577">
        <v>1278202</v>
      </c>
      <c r="O17" s="303" t="str">
        <f>+'Ex ante LI &amp; Eligibility Stats'!O17</f>
        <v xml:space="preserve">This optional tariff provides residential customers with the opportunity to manage their electric costs by either reducing load during high cost pricing periods defined as a Reduce Your Use (RYU) Event Day, or shifting load from high cost pricing periods to lower cost pricing periods. This Schedule is not applicable to commercial customers. This Schedule is not applicable to Direct Access (DA), Transitional Bundled Service (TBS) or Community Choice Aggregation (CCA) customers. </v>
      </c>
    </row>
    <row r="18" spans="1:26" ht="160.5" customHeight="1">
      <c r="A18" s="574" t="s">
        <v>26</v>
      </c>
      <c r="B18" s="575">
        <v>0.03</v>
      </c>
      <c r="C18" s="575">
        <v>0.03</v>
      </c>
      <c r="D18" s="572">
        <v>0.03</v>
      </c>
      <c r="E18" s="572">
        <v>0.03</v>
      </c>
      <c r="F18" s="572">
        <v>0.03</v>
      </c>
      <c r="G18" s="572">
        <v>0.03</v>
      </c>
      <c r="H18" s="572">
        <v>0.03</v>
      </c>
      <c r="I18" s="572">
        <v>0.03</v>
      </c>
      <c r="J18" s="572">
        <v>0.03</v>
      </c>
      <c r="K18" s="572">
        <v>0.03</v>
      </c>
      <c r="L18" s="572">
        <v>0.03</v>
      </c>
      <c r="M18" s="572">
        <v>0.03</v>
      </c>
      <c r="N18" s="577">
        <v>119606</v>
      </c>
      <c r="O18" s="559" t="str">
        <f>+'Ex ante LI &amp; Eligibility Stats'!O18</f>
        <v>This tariff provides commercial customers with the opportunity to manage their electric costs by either reducing load during high cost pricing periods defined as a Reduce Your Use (RYU) Event Day, or shifting load from high cost pricing periods to lower cost pricing periods. Except as set forth below, this Schedule is the default commodity rate for customers currently receiving bundled utility service on a small non-residential rate schedule; or a medium/large non-residential rate schedule with a Maximum Monthly Demand below 20 kW for three consecutive months. This Schedule is available to general service including lighting, appliances, heating, and power, or any combination thereof, including common use and whose facility is separately metered. In order for this Schedule to take effect, the customer must have a smart meter installed, tested, and verified according to Utility procedures. This Schedule is not applicable to any customer whose Maximum Monthly Demand equals, exceeds, or is expected to equal or exceed 20 kW for 12 consecutive months. This Schedule is available to customers with the Utility Distribution Company (UDC) service of Schedule TOU-A. This Schedule is optionally available to Expanded California Alternate Rates for Energy (CARE) customers. This Schedule is not applicable to residential customers, except for those three-phase residential customers taking service on this schedule as of April 12, 2007 who may remain on this Schedule while service continues in their name at the same service address. Those three-phase residential customers remaining on this Schedule who choose to switch to a residential rate schedule may not return to this Schedule. This Schedule is not applicable to Direct Access (DA), Transitional Bundled Service (TBS) or Community Choice Aggregation (CCA) customers.</v>
      </c>
    </row>
    <row r="19" spans="1:26" ht="66.75" customHeight="1">
      <c r="A19" s="574" t="s">
        <v>57</v>
      </c>
      <c r="B19" s="575">
        <v>1.73</v>
      </c>
      <c r="C19" s="575">
        <v>1.73</v>
      </c>
      <c r="D19" s="575">
        <v>1.73</v>
      </c>
      <c r="E19" s="575">
        <v>1.73</v>
      </c>
      <c r="F19" s="575">
        <v>1.73</v>
      </c>
      <c r="G19" s="575">
        <v>1.73</v>
      </c>
      <c r="H19" s="575">
        <v>1.73</v>
      </c>
      <c r="I19" s="575">
        <v>1.73</v>
      </c>
      <c r="J19" s="575">
        <v>1.73</v>
      </c>
      <c r="K19" s="575">
        <v>1.73</v>
      </c>
      <c r="L19" s="575">
        <v>1.73</v>
      </c>
      <c r="M19" s="575">
        <v>1.73</v>
      </c>
      <c r="N19" s="582">
        <v>2795</v>
      </c>
      <c r="O19" s="558" t="str">
        <f>+'Ex ante LI &amp; Eligibility Stats'!O19</f>
        <v>This Schedule is the standard Schedule for customers whose monthly maximum demand does not exceed 20kW for no more than 3 out of 12 consecutive months for general power service utilized to pump water, or in the production of agricultural products including feed choppers, milking machines, heaters for incubators, brooders, poultry house and flower production lighting, but excluding power service used for the processing of agricultural products, general or protective lighting, or domestic household uses. This schedule is available to agricultural and water pumping customers.</v>
      </c>
    </row>
    <row r="20" spans="1:26" ht="66.75" customHeight="1">
      <c r="A20" s="571" t="s">
        <v>56</v>
      </c>
      <c r="B20" s="575"/>
      <c r="C20" s="575"/>
      <c r="D20" s="575">
        <v>13.16</v>
      </c>
      <c r="E20" s="575">
        <v>13.16</v>
      </c>
      <c r="F20" s="575">
        <v>13.16</v>
      </c>
      <c r="G20" s="575">
        <v>13.16</v>
      </c>
      <c r="H20" s="575">
        <v>13.16</v>
      </c>
      <c r="I20" s="575">
        <v>13.16</v>
      </c>
      <c r="J20" s="575">
        <v>13.16</v>
      </c>
      <c r="K20" s="575">
        <v>13.16</v>
      </c>
      <c r="L20" s="575">
        <v>13.16</v>
      </c>
      <c r="M20" s="575">
        <v>13.16</v>
      </c>
      <c r="N20" s="582">
        <v>3</v>
      </c>
      <c r="O20" s="558" t="s">
        <v>92</v>
      </c>
    </row>
    <row r="21" spans="1:26" ht="23.25" customHeight="1">
      <c r="A21" s="617"/>
      <c r="B21" s="618"/>
      <c r="C21" s="618"/>
      <c r="D21" s="618"/>
      <c r="E21" s="618"/>
      <c r="F21" s="618"/>
      <c r="G21" s="618"/>
      <c r="H21" s="618"/>
      <c r="I21" s="618"/>
      <c r="J21" s="618"/>
      <c r="K21" s="618"/>
      <c r="L21" s="618"/>
      <c r="M21" s="618"/>
      <c r="N21" s="619"/>
      <c r="O21" s="564"/>
    </row>
    <row r="22" spans="1:26" ht="15">
      <c r="A22" s="679" t="s">
        <v>101</v>
      </c>
      <c r="B22" s="679"/>
      <c r="C22" s="679"/>
      <c r="D22" s="679"/>
      <c r="E22" s="679"/>
      <c r="F22" s="679"/>
      <c r="G22" s="679"/>
      <c r="H22" s="679"/>
      <c r="I22" s="679"/>
      <c r="J22" s="679"/>
      <c r="K22" s="679"/>
      <c r="L22" s="679"/>
      <c r="M22" s="679"/>
      <c r="N22" s="679"/>
      <c r="O22" s="679"/>
    </row>
    <row r="23" spans="1:26" s="10" customFormat="1" ht="18.75" customHeight="1">
      <c r="A23" s="668" t="s">
        <v>93</v>
      </c>
      <c r="B23" s="668"/>
      <c r="C23" s="668"/>
      <c r="D23" s="668"/>
      <c r="E23" s="668"/>
      <c r="F23" s="668"/>
      <c r="G23" s="668"/>
      <c r="H23" s="668"/>
      <c r="I23" s="668"/>
      <c r="J23" s="668"/>
      <c r="K23" s="668"/>
      <c r="L23" s="668"/>
      <c r="M23" s="668"/>
      <c r="N23" s="668"/>
      <c r="O23" s="668"/>
      <c r="P23" s="13"/>
      <c r="Q23" s="13"/>
      <c r="R23" s="13"/>
      <c r="S23" s="13"/>
      <c r="T23" s="152"/>
      <c r="U23" s="152"/>
      <c r="V23" s="152"/>
      <c r="W23" s="152"/>
      <c r="X23" s="152"/>
      <c r="Y23" s="152"/>
      <c r="Z23" s="152"/>
    </row>
    <row r="24" spans="1:26" ht="12.75" customHeight="1">
      <c r="A24" s="672" t="s">
        <v>102</v>
      </c>
      <c r="B24" s="673"/>
      <c r="C24" s="673"/>
      <c r="D24" s="673"/>
      <c r="E24" s="673"/>
      <c r="F24" s="673"/>
      <c r="G24" s="673"/>
      <c r="H24" s="673"/>
      <c r="I24" s="673"/>
      <c r="J24" s="673"/>
      <c r="K24" s="673"/>
      <c r="L24" s="673"/>
      <c r="M24" s="673"/>
      <c r="N24" s="673"/>
      <c r="O24" s="673"/>
    </row>
    <row r="25" spans="1:26" ht="12.75" customHeight="1">
      <c r="A25" s="672" t="s">
        <v>103</v>
      </c>
      <c r="B25" s="673"/>
      <c r="C25" s="673"/>
      <c r="D25" s="673"/>
      <c r="E25" s="673"/>
      <c r="F25" s="673"/>
      <c r="G25" s="673"/>
      <c r="H25" s="673"/>
      <c r="I25" s="673"/>
      <c r="J25" s="673"/>
      <c r="K25" s="673"/>
      <c r="L25" s="673"/>
      <c r="M25" s="673"/>
      <c r="N25" s="673"/>
      <c r="O25" s="673"/>
    </row>
    <row r="26" spans="1:26" s="10" customFormat="1" ht="14.25">
      <c r="A26" s="674" t="s">
        <v>98</v>
      </c>
      <c r="B26" s="675"/>
      <c r="C26" s="675"/>
      <c r="D26" s="675"/>
      <c r="E26" s="675"/>
      <c r="F26" s="675"/>
      <c r="G26" s="675"/>
      <c r="H26" s="675"/>
      <c r="I26" s="675"/>
      <c r="J26" s="675"/>
      <c r="K26" s="675"/>
      <c r="L26" s="675"/>
      <c r="M26" s="675"/>
      <c r="N26" s="675"/>
      <c r="O26" s="560"/>
      <c r="P26" s="13"/>
      <c r="Q26" s="13"/>
      <c r="R26" s="13"/>
      <c r="S26" s="13"/>
      <c r="T26" s="152"/>
      <c r="U26" s="152"/>
      <c r="V26" s="152"/>
      <c r="W26" s="152"/>
      <c r="X26" s="152"/>
      <c r="Y26" s="152"/>
      <c r="Z26" s="152"/>
    </row>
    <row r="27" spans="1:26" s="10" customFormat="1" ht="14.25">
      <c r="A27" s="674"/>
      <c r="B27" s="675"/>
      <c r="C27" s="675"/>
      <c r="D27" s="675"/>
      <c r="E27" s="675"/>
      <c r="F27" s="675"/>
      <c r="G27" s="675"/>
      <c r="H27" s="675"/>
      <c r="I27" s="675"/>
      <c r="J27" s="675"/>
      <c r="K27" s="675"/>
      <c r="L27" s="675"/>
      <c r="M27" s="675"/>
      <c r="N27" s="675"/>
      <c r="O27" s="560"/>
      <c r="P27" s="13"/>
      <c r="Q27" s="13"/>
      <c r="R27" s="13"/>
      <c r="S27" s="13"/>
      <c r="T27" s="152"/>
      <c r="U27" s="152"/>
      <c r="V27" s="152"/>
      <c r="W27" s="152"/>
      <c r="X27" s="152"/>
      <c r="Y27" s="152"/>
      <c r="Z27" s="152"/>
    </row>
    <row r="28" spans="1:26" ht="40.5" customHeight="1">
      <c r="A28" s="267" t="s">
        <v>76</v>
      </c>
      <c r="N28" s="419"/>
    </row>
    <row r="55" spans="1:1" ht="40.5" customHeight="1">
      <c r="A55" s="214"/>
    </row>
  </sheetData>
  <mergeCells count="7">
    <mergeCell ref="A7:N7"/>
    <mergeCell ref="A27:N27"/>
    <mergeCell ref="A22:O22"/>
    <mergeCell ref="A25:O25"/>
    <mergeCell ref="A24:O24"/>
    <mergeCell ref="A26:N26"/>
    <mergeCell ref="A23:O23"/>
  </mergeCells>
  <phoneticPr fontId="0" type="noConversion"/>
  <printOptions horizontalCentered="1"/>
  <pageMargins left="0" right="0" top="0" bottom="0" header="0.3" footer="0.15"/>
  <pageSetup paperSize="5" scale="50" orientation="landscape" cellComments="atEnd" r:id="rId1"/>
  <headerFooter alignWithMargins="0">
    <oddHeader xml:space="preserve">&amp;C&amp;"Arial,Bold"
</oddHeader>
    <oddFooter>&amp;Rpage 3 of 11
&amp;A
&amp;D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Y60"/>
  <sheetViews>
    <sheetView topLeftCell="A26" zoomScale="80" zoomScaleNormal="80" zoomScaleSheetLayoutView="70" workbookViewId="0"/>
  </sheetViews>
  <sheetFormatPr defaultColWidth="9.28515625" defaultRowHeight="12.75"/>
  <cols>
    <col min="1" max="1" width="45.7109375" style="48" customWidth="1"/>
    <col min="2" max="4" width="10.7109375" style="48" customWidth="1"/>
    <col min="5" max="5" width="12.7109375" style="48" customWidth="1"/>
    <col min="6" max="8" width="10.5703125" style="48" customWidth="1"/>
    <col min="9" max="9" width="12.7109375" style="48" customWidth="1"/>
    <col min="10" max="12" width="10.7109375" style="48" customWidth="1"/>
    <col min="13" max="13" width="12.7109375" style="48" customWidth="1"/>
    <col min="14" max="16" width="10.7109375" style="48" customWidth="1"/>
    <col min="17" max="17" width="12.7109375" style="48" customWidth="1"/>
    <col min="18" max="20" width="10.7109375" style="48" customWidth="1"/>
    <col min="21" max="21" width="12.7109375" style="48" customWidth="1"/>
    <col min="22" max="24" width="10.7109375" style="48" customWidth="1"/>
    <col min="25" max="25" width="12.7109375" style="48" customWidth="1"/>
    <col min="26" max="16384" width="9.28515625" style="48"/>
  </cols>
  <sheetData>
    <row r="1" spans="1:25">
      <c r="A1" s="47" t="s">
        <v>104</v>
      </c>
    </row>
    <row r="3" spans="1:25" ht="21.75" customHeight="1">
      <c r="A3" s="98">
        <v>2016</v>
      </c>
      <c r="B3" s="680" t="s">
        <v>42</v>
      </c>
      <c r="C3" s="680"/>
      <c r="D3" s="680"/>
      <c r="E3" s="680"/>
      <c r="F3" s="681" t="s">
        <v>43</v>
      </c>
      <c r="G3" s="681"/>
      <c r="H3" s="681"/>
      <c r="I3" s="681"/>
      <c r="J3" s="681" t="s">
        <v>44</v>
      </c>
      <c r="K3" s="681"/>
      <c r="L3" s="681"/>
      <c r="M3" s="681"/>
      <c r="N3" s="681" t="s">
        <v>45</v>
      </c>
      <c r="O3" s="681"/>
      <c r="P3" s="681"/>
      <c r="Q3" s="681"/>
      <c r="R3" s="681" t="s">
        <v>31</v>
      </c>
      <c r="S3" s="681"/>
      <c r="T3" s="681"/>
      <c r="U3" s="681"/>
      <c r="V3" s="681" t="s">
        <v>46</v>
      </c>
      <c r="W3" s="681"/>
      <c r="X3" s="681"/>
      <c r="Y3" s="681"/>
    </row>
    <row r="4" spans="1:25" ht="79.5" customHeight="1">
      <c r="A4" s="638" t="s">
        <v>105</v>
      </c>
      <c r="B4" s="58" t="s">
        <v>106</v>
      </c>
      <c r="C4" s="58" t="s">
        <v>107</v>
      </c>
      <c r="D4" s="58" t="s">
        <v>108</v>
      </c>
      <c r="E4" s="58" t="s">
        <v>109</v>
      </c>
      <c r="F4" s="58" t="s">
        <v>106</v>
      </c>
      <c r="G4" s="58" t="s">
        <v>107</v>
      </c>
      <c r="H4" s="58" t="s">
        <v>108</v>
      </c>
      <c r="I4" s="58" t="s">
        <v>109</v>
      </c>
      <c r="J4" s="58" t="s">
        <v>106</v>
      </c>
      <c r="K4" s="58" t="s">
        <v>107</v>
      </c>
      <c r="L4" s="58" t="s">
        <v>108</v>
      </c>
      <c r="M4" s="58" t="s">
        <v>109</v>
      </c>
      <c r="N4" s="58" t="s">
        <v>106</v>
      </c>
      <c r="O4" s="58" t="s">
        <v>107</v>
      </c>
      <c r="P4" s="58" t="s">
        <v>108</v>
      </c>
      <c r="Q4" s="58" t="s">
        <v>109</v>
      </c>
      <c r="R4" s="58" t="s">
        <v>106</v>
      </c>
      <c r="S4" s="58" t="s">
        <v>107</v>
      </c>
      <c r="T4" s="58" t="s">
        <v>108</v>
      </c>
      <c r="U4" s="58" t="s">
        <v>109</v>
      </c>
      <c r="V4" s="58" t="s">
        <v>106</v>
      </c>
      <c r="W4" s="58" t="s">
        <v>107</v>
      </c>
      <c r="X4" s="58" t="s">
        <v>108</v>
      </c>
      <c r="Y4" s="58" t="s">
        <v>109</v>
      </c>
    </row>
    <row r="5" spans="1:25">
      <c r="A5" s="99" t="s">
        <v>110</v>
      </c>
      <c r="B5" s="60"/>
      <c r="C5" s="61">
        <v>5.8977000000000004</v>
      </c>
      <c r="D5" s="62">
        <v>2.3029999999999999</v>
      </c>
      <c r="E5" s="63">
        <f>SUM(B5:D5)</f>
        <v>8.2007000000000012</v>
      </c>
      <c r="F5" s="59"/>
      <c r="G5" s="62">
        <v>5.8977000000000004</v>
      </c>
      <c r="H5" s="62">
        <v>2.3029999999999999</v>
      </c>
      <c r="I5" s="64">
        <f>SUM(G5:H5)</f>
        <v>8.2007000000000012</v>
      </c>
      <c r="J5" s="59"/>
      <c r="K5" s="62"/>
      <c r="L5" s="62"/>
      <c r="M5" s="64">
        <f>SUM(K5:L5)</f>
        <v>0</v>
      </c>
      <c r="N5" s="59"/>
      <c r="O5" s="62"/>
      <c r="P5" s="62"/>
      <c r="Q5" s="64">
        <f>SUM(O5:P5)</f>
        <v>0</v>
      </c>
      <c r="R5" s="59"/>
      <c r="S5" s="62"/>
      <c r="T5" s="62"/>
      <c r="U5" s="64">
        <f>SUM(S5:T5)</f>
        <v>0</v>
      </c>
      <c r="V5" s="59"/>
      <c r="W5" s="62"/>
      <c r="X5" s="62"/>
      <c r="Y5" s="64">
        <f>SUM(W5:X5)</f>
        <v>0</v>
      </c>
    </row>
    <row r="6" spans="1:25">
      <c r="A6" s="99" t="s">
        <v>111</v>
      </c>
      <c r="B6" s="107"/>
      <c r="C6" s="108">
        <v>12.8962</v>
      </c>
      <c r="D6" s="61">
        <v>1.4750000000000001</v>
      </c>
      <c r="E6" s="63">
        <f>SUM(B6:D6)</f>
        <v>14.3712</v>
      </c>
      <c r="F6" s="59"/>
      <c r="G6" s="62">
        <v>12.911899999999999</v>
      </c>
      <c r="H6" s="65">
        <v>1.4750000000000001</v>
      </c>
      <c r="I6" s="64">
        <f>SUM(G6:H6)</f>
        <v>14.386899999999999</v>
      </c>
      <c r="J6" s="66"/>
      <c r="K6" s="62"/>
      <c r="L6" s="65"/>
      <c r="M6" s="64">
        <f>SUM(K6:L6)</f>
        <v>0</v>
      </c>
      <c r="N6" s="66"/>
      <c r="O6" s="62"/>
      <c r="P6" s="65"/>
      <c r="Q6" s="64">
        <f>SUM(O6:P6)</f>
        <v>0</v>
      </c>
      <c r="R6" s="66"/>
      <c r="S6" s="62"/>
      <c r="T6" s="65"/>
      <c r="U6" s="64">
        <f>SUM(S6:T6)</f>
        <v>0</v>
      </c>
      <c r="V6" s="66"/>
      <c r="W6" s="62"/>
      <c r="X6" s="65"/>
      <c r="Y6" s="64">
        <f>SUM(W6:X6)</f>
        <v>0</v>
      </c>
    </row>
    <row r="7" spans="1:25" s="47" customFormat="1">
      <c r="A7" s="100" t="s">
        <v>112</v>
      </c>
      <c r="B7" s="109"/>
      <c r="C7" s="110">
        <f>SUM(C5:C6)</f>
        <v>18.793900000000001</v>
      </c>
      <c r="D7" s="110">
        <f>SUM(D5:D6)</f>
        <v>3.778</v>
      </c>
      <c r="E7" s="110">
        <f>SUM(E5:E6)</f>
        <v>22.571899999999999</v>
      </c>
      <c r="F7" s="67"/>
      <c r="G7" s="64">
        <f t="shared" ref="G7:Y7" si="0">SUM(G5:G6)</f>
        <v>18.8096</v>
      </c>
      <c r="H7" s="64">
        <f t="shared" si="0"/>
        <v>3.778</v>
      </c>
      <c r="I7" s="64">
        <f t="shared" si="0"/>
        <v>22.587600000000002</v>
      </c>
      <c r="J7" s="64"/>
      <c r="K7" s="64">
        <f t="shared" si="0"/>
        <v>0</v>
      </c>
      <c r="L7" s="64">
        <f t="shared" si="0"/>
        <v>0</v>
      </c>
      <c r="M7" s="64">
        <f t="shared" si="0"/>
        <v>0</v>
      </c>
      <c r="N7" s="64"/>
      <c r="O7" s="64">
        <f t="shared" si="0"/>
        <v>0</v>
      </c>
      <c r="P7" s="64">
        <f t="shared" si="0"/>
        <v>0</v>
      </c>
      <c r="Q7" s="64">
        <f t="shared" si="0"/>
        <v>0</v>
      </c>
      <c r="R7" s="64"/>
      <c r="S7" s="64">
        <f t="shared" si="0"/>
        <v>0</v>
      </c>
      <c r="T7" s="64">
        <f t="shared" si="0"/>
        <v>0</v>
      </c>
      <c r="U7" s="64">
        <f t="shared" si="0"/>
        <v>0</v>
      </c>
      <c r="V7" s="64"/>
      <c r="W7" s="64">
        <f t="shared" si="0"/>
        <v>0</v>
      </c>
      <c r="X7" s="64">
        <f t="shared" si="0"/>
        <v>0</v>
      </c>
      <c r="Y7" s="64">
        <f t="shared" si="0"/>
        <v>0</v>
      </c>
    </row>
    <row r="8" spans="1:25" ht="4.5" customHeight="1">
      <c r="A8" s="100"/>
      <c r="B8" s="67"/>
      <c r="C8" s="111"/>
      <c r="D8" s="111"/>
      <c r="E8" s="112"/>
      <c r="F8" s="67"/>
      <c r="G8" s="66"/>
      <c r="H8" s="66"/>
      <c r="I8" s="64"/>
      <c r="J8" s="68"/>
      <c r="K8" s="66"/>
      <c r="L8" s="66"/>
      <c r="M8" s="64"/>
      <c r="N8" s="68"/>
      <c r="O8" s="66"/>
      <c r="P8" s="66"/>
      <c r="Q8" s="64"/>
      <c r="R8" s="68"/>
      <c r="S8" s="66"/>
      <c r="T8" s="66"/>
      <c r="U8" s="64"/>
      <c r="V8" s="68"/>
      <c r="W8" s="66"/>
      <c r="X8" s="66"/>
      <c r="Y8" s="64"/>
    </row>
    <row r="9" spans="1:25">
      <c r="A9" s="101" t="s">
        <v>52</v>
      </c>
      <c r="B9" s="69"/>
      <c r="C9" s="58"/>
      <c r="D9" s="58"/>
      <c r="E9" s="639"/>
      <c r="F9" s="69"/>
      <c r="G9" s="70"/>
      <c r="H9" s="71"/>
      <c r="I9" s="71"/>
      <c r="J9" s="72"/>
      <c r="K9" s="70"/>
      <c r="L9" s="71"/>
      <c r="M9" s="64"/>
      <c r="N9" s="72"/>
      <c r="O9" s="70"/>
      <c r="P9" s="71"/>
      <c r="Q9" s="64"/>
      <c r="R9" s="72"/>
      <c r="S9" s="70"/>
      <c r="T9" s="71"/>
      <c r="U9" s="64"/>
      <c r="V9" s="72"/>
      <c r="W9" s="70"/>
      <c r="X9" s="71"/>
      <c r="Y9" s="64">
        <f>SUM(W9:X9)</f>
        <v>0</v>
      </c>
    </row>
    <row r="10" spans="1:25">
      <c r="A10" s="99" t="s">
        <v>113</v>
      </c>
      <c r="B10" s="107"/>
      <c r="C10" s="107"/>
      <c r="D10" s="61"/>
      <c r="E10" s="63"/>
      <c r="F10" s="59"/>
      <c r="G10" s="62"/>
      <c r="H10" s="61"/>
      <c r="I10" s="63"/>
      <c r="J10" s="66"/>
      <c r="K10" s="61" t="s">
        <v>58</v>
      </c>
      <c r="L10" s="61"/>
      <c r="M10" s="64"/>
      <c r="N10" s="66"/>
      <c r="O10" s="61" t="s">
        <v>58</v>
      </c>
      <c r="P10" s="61"/>
      <c r="Q10" s="64"/>
      <c r="R10" s="66"/>
      <c r="S10" s="61" t="s">
        <v>58</v>
      </c>
      <c r="T10" s="61"/>
      <c r="U10" s="64"/>
      <c r="V10" s="66"/>
      <c r="W10" s="61" t="s">
        <v>58</v>
      </c>
      <c r="X10" s="61"/>
      <c r="Y10" s="64">
        <f>SUM(W10:X10)</f>
        <v>0</v>
      </c>
    </row>
    <row r="11" spans="1:25">
      <c r="A11" s="99" t="s">
        <v>114</v>
      </c>
      <c r="B11" s="107"/>
      <c r="C11" s="107"/>
      <c r="D11" s="61"/>
      <c r="E11" s="63"/>
      <c r="F11" s="59"/>
      <c r="G11" s="62"/>
      <c r="H11" s="62"/>
      <c r="I11" s="66"/>
      <c r="J11" s="66"/>
      <c r="K11" s="62"/>
      <c r="L11" s="62"/>
      <c r="M11" s="64"/>
      <c r="N11" s="66"/>
      <c r="O11" s="62"/>
      <c r="P11" s="62"/>
      <c r="Q11" s="64"/>
      <c r="R11" s="66"/>
      <c r="S11" s="62"/>
      <c r="T11" s="62"/>
      <c r="U11" s="64"/>
      <c r="V11" s="66"/>
      <c r="W11" s="62"/>
      <c r="X11" s="62"/>
      <c r="Y11" s="64">
        <f>SUM(W11:X11)</f>
        <v>0</v>
      </c>
    </row>
    <row r="12" spans="1:25">
      <c r="A12" s="99"/>
      <c r="B12" s="60"/>
      <c r="C12" s="61"/>
      <c r="D12" s="61"/>
      <c r="E12" s="113"/>
      <c r="F12" s="59"/>
      <c r="G12" s="62"/>
      <c r="H12" s="62"/>
      <c r="I12" s="66"/>
      <c r="J12" s="66"/>
      <c r="K12" s="62"/>
      <c r="L12" s="62"/>
      <c r="M12" s="64" t="s">
        <v>58</v>
      </c>
      <c r="N12" s="66"/>
      <c r="O12" s="62"/>
      <c r="P12" s="62"/>
      <c r="Q12" s="64" t="s">
        <v>58</v>
      </c>
      <c r="R12" s="66"/>
      <c r="S12" s="62"/>
      <c r="T12" s="62"/>
      <c r="U12" s="64" t="s">
        <v>58</v>
      </c>
      <c r="V12" s="66"/>
      <c r="W12" s="62"/>
      <c r="X12" s="62"/>
      <c r="Y12" s="64" t="s">
        <v>58</v>
      </c>
    </row>
    <row r="13" spans="1:25" s="47" customFormat="1">
      <c r="A13" s="100" t="s">
        <v>112</v>
      </c>
      <c r="B13" s="109"/>
      <c r="C13" s="110">
        <v>0</v>
      </c>
      <c r="D13" s="110">
        <f>SUM(D10:D12)</f>
        <v>0</v>
      </c>
      <c r="E13" s="110">
        <f>SUM(E10:E12)</f>
        <v>0</v>
      </c>
      <c r="F13" s="67"/>
      <c r="G13" s="64">
        <f>SUM(G9:G12)</f>
        <v>0</v>
      </c>
      <c r="H13" s="64">
        <f>SUM(H9:H12)</f>
        <v>0</v>
      </c>
      <c r="I13" s="64">
        <f>SUM(I9:I12)</f>
        <v>0</v>
      </c>
      <c r="J13" s="68"/>
      <c r="K13" s="64">
        <f>SUM(K9:K12)</f>
        <v>0</v>
      </c>
      <c r="L13" s="64">
        <f>SUM(L9:L12)</f>
        <v>0</v>
      </c>
      <c r="M13" s="64">
        <f>SUM(M9:M12)</f>
        <v>0</v>
      </c>
      <c r="N13" s="68"/>
      <c r="O13" s="64">
        <f>SUM(O9:O12)</f>
        <v>0</v>
      </c>
      <c r="P13" s="64">
        <f>SUM(P9:P12)</f>
        <v>0</v>
      </c>
      <c r="Q13" s="64">
        <f>SUM(Q9:Q12)</f>
        <v>0</v>
      </c>
      <c r="R13" s="68"/>
      <c r="S13" s="64">
        <f>SUM(S9:S12)</f>
        <v>0</v>
      </c>
      <c r="T13" s="64">
        <f>SUM(T9:T12)</f>
        <v>0</v>
      </c>
      <c r="U13" s="64">
        <f>SUM(U9:U12)</f>
        <v>0</v>
      </c>
      <c r="V13" s="68"/>
      <c r="W13" s="64">
        <f>SUM(W9:W12)</f>
        <v>0</v>
      </c>
      <c r="X13" s="64">
        <f>SUM(X9:X12)</f>
        <v>0</v>
      </c>
      <c r="Y13" s="64">
        <f>SUM(Y9:Y12)</f>
        <v>0</v>
      </c>
    </row>
    <row r="14" spans="1:25" ht="4.5" customHeight="1">
      <c r="A14" s="100"/>
      <c r="B14" s="67"/>
      <c r="C14" s="111"/>
      <c r="D14" s="111"/>
      <c r="E14" s="112"/>
      <c r="F14" s="67"/>
      <c r="G14" s="66"/>
      <c r="H14" s="66"/>
      <c r="I14" s="64"/>
      <c r="J14" s="68"/>
      <c r="K14" s="66"/>
      <c r="L14" s="66"/>
      <c r="M14" s="64">
        <f>SUM(M9:M12)</f>
        <v>0</v>
      </c>
      <c r="N14" s="68"/>
      <c r="O14" s="66"/>
      <c r="P14" s="66"/>
      <c r="Q14" s="64">
        <f>SUM(Q9:Q12)</f>
        <v>0</v>
      </c>
      <c r="R14" s="68"/>
      <c r="S14" s="66"/>
      <c r="T14" s="66"/>
      <c r="U14" s="64">
        <f>SUM(U9:U12)</f>
        <v>0</v>
      </c>
      <c r="V14" s="68"/>
      <c r="W14" s="66"/>
      <c r="X14" s="66"/>
      <c r="Y14" s="64"/>
    </row>
    <row r="15" spans="1:25" s="47" customFormat="1" ht="17.25" customHeight="1">
      <c r="A15" s="100" t="s">
        <v>109</v>
      </c>
      <c r="B15" s="67"/>
      <c r="C15" s="110">
        <f>C7+C13</f>
        <v>18.793900000000001</v>
      </c>
      <c r="D15" s="110">
        <f>D7+D13</f>
        <v>3.778</v>
      </c>
      <c r="E15" s="110">
        <f>E7+E13</f>
        <v>22.571899999999999</v>
      </c>
      <c r="F15" s="67"/>
      <c r="G15" s="64">
        <f>G7+G13</f>
        <v>18.8096</v>
      </c>
      <c r="H15" s="64">
        <f>H7+H13</f>
        <v>3.778</v>
      </c>
      <c r="I15" s="64">
        <f>I7+I13</f>
        <v>22.587600000000002</v>
      </c>
      <c r="J15" s="68"/>
      <c r="K15" s="64">
        <f>K7+K13</f>
        <v>0</v>
      </c>
      <c r="L15" s="64">
        <f>L7+L13</f>
        <v>0</v>
      </c>
      <c r="M15" s="64">
        <f>M7+M13</f>
        <v>0</v>
      </c>
      <c r="N15" s="68"/>
      <c r="O15" s="64">
        <f>O7+O13</f>
        <v>0</v>
      </c>
      <c r="P15" s="64">
        <f>P7+P13</f>
        <v>0</v>
      </c>
      <c r="Q15" s="64">
        <f>Q7+Q13</f>
        <v>0</v>
      </c>
      <c r="R15" s="68"/>
      <c r="S15" s="64">
        <f>S7+S13</f>
        <v>0</v>
      </c>
      <c r="T15" s="64">
        <f>T7+T13</f>
        <v>0</v>
      </c>
      <c r="U15" s="64">
        <f>U7+U13</f>
        <v>0</v>
      </c>
      <c r="V15" s="68"/>
      <c r="W15" s="64">
        <f>W7+W13</f>
        <v>0</v>
      </c>
      <c r="X15" s="64">
        <f>X7+X13</f>
        <v>0</v>
      </c>
      <c r="Y15" s="64">
        <f>Y7+Y13</f>
        <v>0</v>
      </c>
    </row>
    <row r="16" spans="1:25" ht="17.25" customHeight="1">
      <c r="A16" s="102"/>
      <c r="B16" s="85"/>
      <c r="C16" s="114"/>
      <c r="D16" s="114"/>
      <c r="E16" s="115"/>
      <c r="F16" s="85"/>
      <c r="G16" s="73"/>
      <c r="H16" s="73"/>
      <c r="I16" s="74"/>
      <c r="J16" s="74"/>
      <c r="K16" s="73"/>
      <c r="L16" s="73"/>
      <c r="M16" s="74"/>
      <c r="N16" s="74"/>
      <c r="O16" s="73"/>
      <c r="P16" s="73"/>
      <c r="Q16" s="74"/>
      <c r="R16" s="74"/>
      <c r="S16" s="73"/>
      <c r="T16" s="73"/>
      <c r="U16" s="74"/>
      <c r="V16" s="74"/>
      <c r="W16" s="73"/>
      <c r="X16" s="73"/>
      <c r="Y16" s="74"/>
    </row>
    <row r="17" spans="1:25">
      <c r="A17" s="638" t="s">
        <v>115</v>
      </c>
      <c r="B17" s="116"/>
      <c r="C17" s="117"/>
      <c r="D17" s="117"/>
      <c r="E17" s="118"/>
      <c r="F17" s="126"/>
      <c r="G17" s="75"/>
      <c r="H17" s="75"/>
      <c r="I17" s="76"/>
      <c r="J17" s="76"/>
      <c r="K17" s="75"/>
      <c r="L17" s="75"/>
      <c r="M17" s="76"/>
      <c r="N17" s="76"/>
      <c r="O17" s="75"/>
      <c r="P17" s="75"/>
      <c r="Q17" s="76"/>
      <c r="R17" s="76"/>
      <c r="S17" s="75"/>
      <c r="T17" s="75"/>
      <c r="U17" s="76"/>
      <c r="V17" s="76"/>
      <c r="W17" s="75"/>
      <c r="X17" s="75"/>
      <c r="Y17" s="77"/>
    </row>
    <row r="18" spans="1:25">
      <c r="A18" s="103" t="s">
        <v>116</v>
      </c>
      <c r="B18" s="60"/>
      <c r="C18" s="107"/>
      <c r="D18" s="107"/>
      <c r="E18" s="113"/>
      <c r="F18" s="60"/>
      <c r="G18" s="62"/>
      <c r="H18" s="62"/>
      <c r="I18" s="66"/>
      <c r="J18" s="60"/>
      <c r="K18" s="62"/>
      <c r="L18" s="62"/>
      <c r="M18" s="66"/>
      <c r="N18" s="60"/>
      <c r="O18" s="62"/>
      <c r="P18" s="62"/>
      <c r="Q18" s="66"/>
      <c r="R18" s="60"/>
      <c r="S18" s="62"/>
      <c r="T18" s="62"/>
      <c r="U18" s="66"/>
      <c r="V18" s="60"/>
      <c r="W18" s="62"/>
      <c r="X18" s="62"/>
      <c r="Y18" s="66"/>
    </row>
    <row r="19" spans="1:25">
      <c r="A19" s="99"/>
      <c r="B19" s="59"/>
      <c r="C19" s="119"/>
      <c r="D19" s="119"/>
      <c r="E19" s="120">
        <v>59.3</v>
      </c>
      <c r="F19" s="59"/>
      <c r="G19" s="62"/>
      <c r="H19" s="62"/>
      <c r="I19" s="120">
        <v>59.3</v>
      </c>
      <c r="J19" s="66"/>
      <c r="K19" s="62"/>
      <c r="L19" s="62"/>
      <c r="M19" s="66"/>
      <c r="N19" s="66"/>
      <c r="O19" s="62"/>
      <c r="P19" s="62"/>
      <c r="Q19" s="66"/>
      <c r="R19" s="66"/>
      <c r="S19" s="62"/>
      <c r="T19" s="62"/>
      <c r="U19" s="66"/>
      <c r="V19" s="66"/>
      <c r="W19" s="62"/>
      <c r="X19" s="62"/>
      <c r="Y19" s="66"/>
    </row>
    <row r="20" spans="1:25" s="47" customFormat="1">
      <c r="A20" s="104" t="s">
        <v>112</v>
      </c>
      <c r="B20" s="110">
        <f>SUM(B18:B19)</f>
        <v>0</v>
      </c>
      <c r="C20" s="110"/>
      <c r="D20" s="110"/>
      <c r="E20" s="110">
        <v>59.3</v>
      </c>
      <c r="F20" s="78">
        <f>SUM(F18:F19)</f>
        <v>0</v>
      </c>
      <c r="G20" s="79"/>
      <c r="H20" s="79"/>
      <c r="I20" s="110">
        <v>59.3</v>
      </c>
      <c r="J20" s="64">
        <f>SUM(J18:J19)</f>
        <v>0</v>
      </c>
      <c r="K20" s="79"/>
      <c r="L20" s="79"/>
      <c r="M20" s="64"/>
      <c r="N20" s="64">
        <f>SUM(N18:N19)</f>
        <v>0</v>
      </c>
      <c r="O20" s="79"/>
      <c r="P20" s="79"/>
      <c r="Q20" s="64"/>
      <c r="R20" s="64">
        <f>SUM(R18:R19)</f>
        <v>0</v>
      </c>
      <c r="S20" s="79"/>
      <c r="T20" s="79"/>
      <c r="U20" s="64"/>
      <c r="V20" s="64">
        <f>SUM(V18:V19)</f>
        <v>0</v>
      </c>
      <c r="W20" s="79"/>
      <c r="X20" s="79"/>
      <c r="Y20" s="64"/>
    </row>
    <row r="21" spans="1:25" ht="4.5" customHeight="1">
      <c r="A21" s="100"/>
      <c r="B21" s="111"/>
      <c r="C21" s="111"/>
      <c r="D21" s="111"/>
      <c r="E21" s="112"/>
      <c r="F21" s="67"/>
      <c r="G21" s="66"/>
      <c r="H21" s="66"/>
      <c r="I21" s="112"/>
      <c r="J21" s="68"/>
      <c r="K21" s="66"/>
      <c r="L21" s="66"/>
      <c r="M21" s="64"/>
      <c r="N21" s="68"/>
      <c r="O21" s="66"/>
      <c r="P21" s="66"/>
      <c r="Q21" s="64"/>
      <c r="R21" s="68"/>
      <c r="S21" s="66"/>
      <c r="T21" s="66"/>
      <c r="U21" s="64"/>
      <c r="V21" s="68"/>
      <c r="W21" s="66"/>
      <c r="X21" s="66"/>
      <c r="Y21" s="64"/>
    </row>
    <row r="22" spans="1:25" s="47" customFormat="1">
      <c r="A22" s="100" t="s">
        <v>117</v>
      </c>
      <c r="B22" s="80">
        <f>B20</f>
        <v>0</v>
      </c>
      <c r="C22" s="80"/>
      <c r="D22" s="80"/>
      <c r="E22" s="81">
        <v>59.3</v>
      </c>
      <c r="F22" s="78">
        <f>F20</f>
        <v>0</v>
      </c>
      <c r="G22" s="80"/>
      <c r="H22" s="80"/>
      <c r="I22" s="81">
        <v>59.3</v>
      </c>
      <c r="J22" s="68">
        <f>J20</f>
        <v>0</v>
      </c>
      <c r="K22" s="80"/>
      <c r="L22" s="80"/>
      <c r="M22" s="81"/>
      <c r="N22" s="68">
        <f>N20</f>
        <v>0</v>
      </c>
      <c r="O22" s="80"/>
      <c r="P22" s="80"/>
      <c r="Q22" s="81"/>
      <c r="R22" s="68">
        <f>R20</f>
        <v>0</v>
      </c>
      <c r="S22" s="80"/>
      <c r="T22" s="80"/>
      <c r="U22" s="81"/>
      <c r="V22" s="68">
        <f>V20</f>
        <v>0</v>
      </c>
      <c r="W22" s="80"/>
      <c r="X22" s="80"/>
      <c r="Y22" s="81"/>
    </row>
    <row r="23" spans="1:25">
      <c r="A23" s="47"/>
      <c r="B23" s="86"/>
      <c r="C23" s="87"/>
      <c r="D23" s="87"/>
      <c r="E23" s="88"/>
      <c r="F23" s="86"/>
      <c r="G23" s="87"/>
      <c r="H23" s="88"/>
      <c r="I23" s="86"/>
      <c r="J23" s="86"/>
      <c r="K23" s="87"/>
      <c r="L23" s="88"/>
      <c r="M23" s="86"/>
      <c r="N23" s="86"/>
      <c r="O23" s="87"/>
      <c r="P23" s="88"/>
      <c r="Q23" s="86"/>
      <c r="R23" s="86"/>
      <c r="S23" s="87"/>
      <c r="T23" s="88"/>
      <c r="U23" s="86"/>
      <c r="V23" s="86"/>
      <c r="W23" s="87"/>
      <c r="X23" s="88"/>
      <c r="Y23" s="86"/>
    </row>
    <row r="24" spans="1:25">
      <c r="B24" s="57"/>
      <c r="C24" s="57"/>
      <c r="D24" s="57"/>
      <c r="E24" s="57"/>
      <c r="F24" s="57"/>
      <c r="G24" s="57"/>
      <c r="H24" s="57"/>
      <c r="I24" s="57"/>
      <c r="J24" s="57"/>
      <c r="K24" s="57"/>
      <c r="L24" s="57"/>
      <c r="M24" s="57"/>
      <c r="N24" s="57"/>
      <c r="O24" s="57"/>
      <c r="P24" s="57"/>
      <c r="Q24" s="57"/>
      <c r="R24" s="57"/>
      <c r="S24" s="57"/>
      <c r="T24" s="57"/>
      <c r="U24" s="57"/>
      <c r="V24" s="57"/>
      <c r="W24" s="57"/>
      <c r="X24" s="57"/>
      <c r="Y24" s="57"/>
    </row>
    <row r="25" spans="1:25">
      <c r="A25" s="105"/>
      <c r="B25" s="681" t="s">
        <v>61</v>
      </c>
      <c r="C25" s="681"/>
      <c r="D25" s="681"/>
      <c r="E25" s="681"/>
      <c r="F25" s="681" t="s">
        <v>78</v>
      </c>
      <c r="G25" s="681"/>
      <c r="H25" s="681"/>
      <c r="I25" s="681" t="s">
        <v>61</v>
      </c>
      <c r="J25" s="681" t="s">
        <v>79</v>
      </c>
      <c r="K25" s="681"/>
      <c r="L25" s="681"/>
      <c r="M25" s="681" t="s">
        <v>61</v>
      </c>
      <c r="N25" s="681" t="s">
        <v>64</v>
      </c>
      <c r="O25" s="681"/>
      <c r="P25" s="681"/>
      <c r="Q25" s="681" t="s">
        <v>61</v>
      </c>
      <c r="R25" s="681" t="s">
        <v>80</v>
      </c>
      <c r="S25" s="681"/>
      <c r="T25" s="681"/>
      <c r="U25" s="681" t="s">
        <v>61</v>
      </c>
      <c r="V25" s="681" t="s">
        <v>66</v>
      </c>
      <c r="W25" s="681"/>
      <c r="X25" s="681"/>
      <c r="Y25" s="681" t="s">
        <v>61</v>
      </c>
    </row>
    <row r="26" spans="1:25" ht="38.25">
      <c r="A26" s="638" t="s">
        <v>105</v>
      </c>
      <c r="B26" s="58" t="s">
        <v>106</v>
      </c>
      <c r="C26" s="58" t="s">
        <v>107</v>
      </c>
      <c r="D26" s="58" t="s">
        <v>108</v>
      </c>
      <c r="E26" s="58" t="s">
        <v>109</v>
      </c>
      <c r="F26" s="58" t="s">
        <v>106</v>
      </c>
      <c r="G26" s="58" t="s">
        <v>107</v>
      </c>
      <c r="H26" s="58" t="s">
        <v>108</v>
      </c>
      <c r="I26" s="58" t="s">
        <v>109</v>
      </c>
      <c r="J26" s="58" t="s">
        <v>106</v>
      </c>
      <c r="K26" s="58" t="s">
        <v>107</v>
      </c>
      <c r="L26" s="58" t="s">
        <v>108</v>
      </c>
      <c r="M26" s="58" t="s">
        <v>109</v>
      </c>
      <c r="N26" s="58" t="s">
        <v>106</v>
      </c>
      <c r="O26" s="58" t="s">
        <v>107</v>
      </c>
      <c r="P26" s="58" t="s">
        <v>108</v>
      </c>
      <c r="Q26" s="58" t="s">
        <v>109</v>
      </c>
      <c r="R26" s="58" t="s">
        <v>106</v>
      </c>
      <c r="S26" s="58" t="s">
        <v>107</v>
      </c>
      <c r="T26" s="58" t="s">
        <v>108</v>
      </c>
      <c r="U26" s="58" t="s">
        <v>109</v>
      </c>
      <c r="V26" s="58" t="s">
        <v>106</v>
      </c>
      <c r="W26" s="58" t="s">
        <v>107</v>
      </c>
      <c r="X26" s="58" t="s">
        <v>108</v>
      </c>
      <c r="Y26" s="58" t="s">
        <v>109</v>
      </c>
    </row>
    <row r="27" spans="1:25">
      <c r="A27" s="99" t="s">
        <v>118</v>
      </c>
      <c r="B27" s="82"/>
      <c r="C27" s="82"/>
      <c r="D27" s="62"/>
      <c r="E27" s="121"/>
      <c r="F27" s="66"/>
      <c r="G27" s="62"/>
      <c r="H27" s="65"/>
      <c r="I27" s="64"/>
      <c r="J27" s="66"/>
      <c r="K27" s="62"/>
      <c r="L27" s="65"/>
      <c r="M27" s="64"/>
      <c r="N27" s="66"/>
      <c r="O27" s="62"/>
      <c r="P27" s="65"/>
      <c r="Q27" s="64"/>
      <c r="R27" s="66"/>
      <c r="S27" s="62"/>
      <c r="T27" s="65"/>
      <c r="U27" s="64"/>
      <c r="V27" s="66"/>
      <c r="W27" s="62"/>
      <c r="X27" s="65"/>
      <c r="Y27" s="64"/>
    </row>
    <row r="28" spans="1:25">
      <c r="A28" s="99" t="s">
        <v>111</v>
      </c>
      <c r="B28" s="82"/>
      <c r="C28" s="122"/>
      <c r="D28" s="62"/>
      <c r="E28" s="121">
        <f>SUM(B28:D28)</f>
        <v>0</v>
      </c>
      <c r="F28" s="66"/>
      <c r="G28" s="62"/>
      <c r="H28" s="65"/>
      <c r="I28" s="64">
        <f>SUM(G28:H28)</f>
        <v>0</v>
      </c>
      <c r="J28" s="66"/>
      <c r="K28" s="62"/>
      <c r="L28" s="65"/>
      <c r="M28" s="64">
        <f>SUM(K28:L28)</f>
        <v>0</v>
      </c>
      <c r="N28" s="66"/>
      <c r="O28" s="62"/>
      <c r="P28" s="65"/>
      <c r="Q28" s="64">
        <f t="shared" ref="Q28:Q33" si="1">SUM(O28:P28)</f>
        <v>0</v>
      </c>
      <c r="R28" s="66"/>
      <c r="S28" s="62"/>
      <c r="T28" s="65"/>
      <c r="U28" s="64">
        <f>SUM(S28:T28)</f>
        <v>0</v>
      </c>
      <c r="V28" s="66"/>
      <c r="W28" s="62"/>
      <c r="X28" s="65"/>
      <c r="Y28" s="64">
        <f>SUM(W28:X28)</f>
        <v>0</v>
      </c>
    </row>
    <row r="29" spans="1:25">
      <c r="A29" s="99" t="s">
        <v>119</v>
      </c>
      <c r="B29" s="82"/>
      <c r="C29" s="62"/>
      <c r="D29" s="62"/>
      <c r="E29" s="121"/>
      <c r="F29" s="66"/>
      <c r="G29" s="62"/>
      <c r="H29" s="65"/>
      <c r="I29" s="64">
        <f>SUM(G29:H29)</f>
        <v>0</v>
      </c>
      <c r="J29" s="66"/>
      <c r="K29" s="62"/>
      <c r="L29" s="65"/>
      <c r="M29" s="64">
        <f t="shared" ref="M29:M40" si="2">SUM(K29:L29)</f>
        <v>0</v>
      </c>
      <c r="N29" s="66"/>
      <c r="O29" s="62"/>
      <c r="P29" s="65"/>
      <c r="Q29" s="64">
        <f t="shared" si="1"/>
        <v>0</v>
      </c>
      <c r="R29" s="66"/>
      <c r="S29" s="62"/>
      <c r="T29" s="65"/>
      <c r="U29" s="64"/>
      <c r="V29" s="66"/>
      <c r="W29" s="62"/>
      <c r="X29" s="65"/>
      <c r="Y29" s="64"/>
    </row>
    <row r="30" spans="1:25">
      <c r="A30" s="99" t="s">
        <v>120</v>
      </c>
      <c r="B30" s="82"/>
      <c r="C30" s="62"/>
      <c r="D30" s="62"/>
      <c r="E30" s="121"/>
      <c r="F30" s="66"/>
      <c r="G30" s="83"/>
      <c r="H30" s="83"/>
      <c r="I30" s="64">
        <f>SUM(G30:H30)</f>
        <v>0</v>
      </c>
      <c r="J30" s="66"/>
      <c r="K30" s="83"/>
      <c r="L30" s="83"/>
      <c r="M30" s="64">
        <f t="shared" si="2"/>
        <v>0</v>
      </c>
      <c r="N30" s="66"/>
      <c r="O30" s="83"/>
      <c r="P30" s="83"/>
      <c r="Q30" s="64">
        <f t="shared" si="1"/>
        <v>0</v>
      </c>
      <c r="R30" s="66"/>
      <c r="S30" s="83"/>
      <c r="T30" s="83"/>
      <c r="U30" s="64"/>
      <c r="V30" s="66"/>
      <c r="W30" s="83"/>
      <c r="X30" s="83"/>
      <c r="Y30" s="64"/>
    </row>
    <row r="31" spans="1:25">
      <c r="A31" s="99" t="s">
        <v>121</v>
      </c>
      <c r="B31" s="82"/>
      <c r="C31" s="62"/>
      <c r="D31" s="62"/>
      <c r="E31" s="121"/>
      <c r="F31" s="66"/>
      <c r="G31" s="83"/>
      <c r="H31" s="83"/>
      <c r="I31" s="64">
        <f>SUM(G31:H31)</f>
        <v>0</v>
      </c>
      <c r="J31" s="66"/>
      <c r="K31" s="83"/>
      <c r="L31" s="83"/>
      <c r="M31" s="64">
        <f t="shared" si="2"/>
        <v>0</v>
      </c>
      <c r="N31" s="66"/>
      <c r="O31" s="83"/>
      <c r="P31" s="83"/>
      <c r="Q31" s="64">
        <f t="shared" si="1"/>
        <v>0</v>
      </c>
      <c r="R31" s="66"/>
      <c r="S31" s="83"/>
      <c r="T31" s="83"/>
      <c r="U31" s="64"/>
      <c r="V31" s="66"/>
      <c r="W31" s="83"/>
      <c r="X31" s="83"/>
      <c r="Y31" s="64"/>
    </row>
    <row r="32" spans="1:25">
      <c r="A32" s="99" t="s">
        <v>122</v>
      </c>
      <c r="B32" s="66"/>
      <c r="C32" s="62"/>
      <c r="D32" s="62"/>
      <c r="E32" s="121">
        <f>SUM(B32:D32)</f>
        <v>0</v>
      </c>
      <c r="F32" s="66"/>
      <c r="G32" s="62"/>
      <c r="H32" s="62"/>
      <c r="I32" s="64">
        <f>SUM(G32:H32)</f>
        <v>0</v>
      </c>
      <c r="J32" s="66"/>
      <c r="K32" s="62"/>
      <c r="L32" s="62"/>
      <c r="M32" s="64">
        <f t="shared" si="2"/>
        <v>0</v>
      </c>
      <c r="N32" s="66"/>
      <c r="O32" s="62"/>
      <c r="P32" s="62"/>
      <c r="Q32" s="64">
        <f t="shared" si="1"/>
        <v>0</v>
      </c>
      <c r="R32" s="66"/>
      <c r="S32" s="62"/>
      <c r="T32" s="62"/>
      <c r="U32" s="64">
        <f>SUM(S32:T32)</f>
        <v>0</v>
      </c>
      <c r="V32" s="66"/>
      <c r="W32" s="62"/>
      <c r="X32" s="62"/>
      <c r="Y32" s="64">
        <f>SUM(W32:X32)</f>
        <v>0</v>
      </c>
    </row>
    <row r="33" spans="1:25" s="47" customFormat="1">
      <c r="A33" s="100" t="s">
        <v>112</v>
      </c>
      <c r="B33" s="123"/>
      <c r="C33" s="68">
        <f>SUM(C27:C32)</f>
        <v>0</v>
      </c>
      <c r="D33" s="68">
        <f>SUM(D27:D32)</f>
        <v>0</v>
      </c>
      <c r="E33" s="68">
        <f>SUM(E27:E32)</f>
        <v>0</v>
      </c>
      <c r="F33" s="68"/>
      <c r="G33" s="64">
        <f>SUM(G27:G32)</f>
        <v>0</v>
      </c>
      <c r="H33" s="64">
        <f>SUM(H27:H32)</f>
        <v>0</v>
      </c>
      <c r="I33" s="64">
        <f>SUM(I27:I32)</f>
        <v>0</v>
      </c>
      <c r="J33" s="68"/>
      <c r="K33" s="64">
        <f>SUM(K28:K32)</f>
        <v>0</v>
      </c>
      <c r="L33" s="64">
        <f>SUM(L28:L32)</f>
        <v>0</v>
      </c>
      <c r="M33" s="64">
        <f t="shared" si="2"/>
        <v>0</v>
      </c>
      <c r="N33" s="68"/>
      <c r="O33" s="64">
        <f>SUM(O28:O32)</f>
        <v>0</v>
      </c>
      <c r="P33" s="64">
        <f>SUM(P28:P32)</f>
        <v>0</v>
      </c>
      <c r="Q33" s="64">
        <f t="shared" si="1"/>
        <v>0</v>
      </c>
      <c r="R33" s="68"/>
      <c r="S33" s="64">
        <f>SUM(S28:S32)</f>
        <v>0</v>
      </c>
      <c r="T33" s="64">
        <f>SUM(T28:T32)</f>
        <v>0</v>
      </c>
      <c r="U33" s="64">
        <f>SUM(S33:T33)</f>
        <v>0</v>
      </c>
      <c r="V33" s="68"/>
      <c r="W33" s="64">
        <f>SUM(W28:W32)</f>
        <v>0</v>
      </c>
      <c r="X33" s="64">
        <f>SUM(X28:X32)</f>
        <v>0</v>
      </c>
      <c r="Y33" s="64">
        <f>SUM(W33:X33)</f>
        <v>0</v>
      </c>
    </row>
    <row r="34" spans="1:25" ht="4.5" customHeight="1">
      <c r="A34" s="100"/>
      <c r="B34" s="68"/>
      <c r="C34" s="66"/>
      <c r="D34" s="66"/>
      <c r="E34" s="64"/>
      <c r="F34" s="68"/>
      <c r="G34" s="66"/>
      <c r="H34" s="66"/>
      <c r="I34" s="64"/>
      <c r="J34" s="68"/>
      <c r="K34" s="66"/>
      <c r="L34" s="66"/>
      <c r="M34" s="64"/>
      <c r="N34" s="68"/>
      <c r="O34" s="66"/>
      <c r="P34" s="66"/>
      <c r="Q34" s="64"/>
      <c r="R34" s="68"/>
      <c r="S34" s="66"/>
      <c r="T34" s="66"/>
      <c r="U34" s="64"/>
      <c r="V34" s="68"/>
      <c r="W34" s="66"/>
      <c r="X34" s="66"/>
      <c r="Y34" s="64"/>
    </row>
    <row r="35" spans="1:25">
      <c r="A35" s="101" t="s">
        <v>52</v>
      </c>
      <c r="B35" s="72"/>
      <c r="C35" s="70"/>
      <c r="D35" s="70"/>
      <c r="E35" s="71"/>
      <c r="F35" s="72"/>
      <c r="G35" s="70"/>
      <c r="H35" s="71"/>
      <c r="I35" s="64">
        <f>SUM(G35:H35)</f>
        <v>0</v>
      </c>
      <c r="J35" s="72"/>
      <c r="K35" s="70"/>
      <c r="L35" s="71"/>
      <c r="M35" s="64">
        <f t="shared" si="2"/>
        <v>0</v>
      </c>
      <c r="N35" s="72"/>
      <c r="O35" s="64"/>
      <c r="P35" s="71"/>
      <c r="Q35" s="64">
        <f t="shared" ref="Q35:Q40" si="3">SUM(O35:P35)</f>
        <v>0</v>
      </c>
      <c r="R35" s="72"/>
      <c r="S35" s="70"/>
      <c r="T35" s="71"/>
      <c r="U35" s="64">
        <f t="shared" ref="U35:U40" si="4">SUM(S35:T35)</f>
        <v>0</v>
      </c>
      <c r="V35" s="72"/>
      <c r="W35" s="70"/>
      <c r="X35" s="71"/>
      <c r="Y35" s="64">
        <f t="shared" ref="Y35:Y40" si="5">SUM(W35:X35)</f>
        <v>0</v>
      </c>
    </row>
    <row r="36" spans="1:25">
      <c r="A36" s="99" t="s">
        <v>113</v>
      </c>
      <c r="B36" s="82"/>
      <c r="C36" s="82"/>
      <c r="D36" s="62"/>
      <c r="E36" s="121"/>
      <c r="F36" s="66"/>
      <c r="G36" s="62"/>
      <c r="H36" s="62"/>
      <c r="I36" s="64">
        <f>SUM(G36:H36)</f>
        <v>0</v>
      </c>
      <c r="J36" s="66"/>
      <c r="K36" s="62"/>
      <c r="L36" s="62"/>
      <c r="M36" s="64">
        <f t="shared" si="2"/>
        <v>0</v>
      </c>
      <c r="N36" s="66"/>
      <c r="O36" s="64"/>
      <c r="P36" s="62"/>
      <c r="Q36" s="64">
        <f t="shared" si="3"/>
        <v>0</v>
      </c>
      <c r="R36" s="66"/>
      <c r="S36" s="62"/>
      <c r="T36" s="62"/>
      <c r="U36" s="64">
        <f t="shared" si="4"/>
        <v>0</v>
      </c>
      <c r="V36" s="66"/>
      <c r="W36" s="62"/>
      <c r="X36" s="62"/>
      <c r="Y36" s="64">
        <f t="shared" si="5"/>
        <v>0</v>
      </c>
    </row>
    <row r="37" spans="1:25">
      <c r="A37" s="99" t="s">
        <v>123</v>
      </c>
      <c r="B37" s="82"/>
      <c r="C37" s="82"/>
      <c r="D37" s="62"/>
      <c r="E37" s="121"/>
      <c r="F37" s="66"/>
      <c r="G37" s="62"/>
      <c r="H37" s="62"/>
      <c r="I37" s="64">
        <f>SUM(G37:H37)</f>
        <v>0</v>
      </c>
      <c r="J37" s="66"/>
      <c r="K37" s="62"/>
      <c r="L37" s="62"/>
      <c r="M37" s="64">
        <f t="shared" si="2"/>
        <v>0</v>
      </c>
      <c r="N37" s="66"/>
      <c r="O37" s="64"/>
      <c r="P37" s="62"/>
      <c r="Q37" s="64">
        <f t="shared" si="3"/>
        <v>0</v>
      </c>
      <c r="R37" s="66"/>
      <c r="S37" s="62"/>
      <c r="T37" s="62"/>
      <c r="U37" s="64">
        <f t="shared" si="4"/>
        <v>0</v>
      </c>
      <c r="V37" s="66"/>
      <c r="W37" s="62"/>
      <c r="X37" s="62"/>
      <c r="Y37" s="64">
        <f t="shared" si="5"/>
        <v>0</v>
      </c>
    </row>
    <row r="38" spans="1:25">
      <c r="A38" s="99" t="s">
        <v>114</v>
      </c>
      <c r="B38" s="82"/>
      <c r="C38" s="82"/>
      <c r="D38" s="62"/>
      <c r="E38" s="121"/>
      <c r="F38" s="66"/>
      <c r="G38" s="62"/>
      <c r="H38" s="62"/>
      <c r="I38" s="64">
        <f>SUM(G38:H38)</f>
        <v>0</v>
      </c>
      <c r="J38" s="66"/>
      <c r="K38" s="62"/>
      <c r="L38" s="62"/>
      <c r="M38" s="64">
        <f t="shared" si="2"/>
        <v>0</v>
      </c>
      <c r="N38" s="66"/>
      <c r="O38" s="64"/>
      <c r="P38" s="62"/>
      <c r="Q38" s="64">
        <f t="shared" si="3"/>
        <v>0</v>
      </c>
      <c r="R38" s="66"/>
      <c r="S38" s="62"/>
      <c r="T38" s="62"/>
      <c r="U38" s="64">
        <f t="shared" si="4"/>
        <v>0</v>
      </c>
      <c r="V38" s="66"/>
      <c r="W38" s="62"/>
      <c r="X38" s="62"/>
      <c r="Y38" s="64">
        <f t="shared" si="5"/>
        <v>0</v>
      </c>
    </row>
    <row r="39" spans="1:25">
      <c r="A39" s="99"/>
      <c r="B39" s="66"/>
      <c r="C39" s="62"/>
      <c r="D39" s="62"/>
      <c r="E39" s="79"/>
      <c r="F39" s="66"/>
      <c r="G39" s="62"/>
      <c r="H39" s="62"/>
      <c r="I39" s="64">
        <f>SUM(G39:H39)</f>
        <v>0</v>
      </c>
      <c r="J39" s="66"/>
      <c r="K39" s="62"/>
      <c r="L39" s="62"/>
      <c r="M39" s="64">
        <f t="shared" si="2"/>
        <v>0</v>
      </c>
      <c r="N39" s="66"/>
      <c r="O39" s="64"/>
      <c r="P39" s="62"/>
      <c r="Q39" s="64">
        <f t="shared" si="3"/>
        <v>0</v>
      </c>
      <c r="R39" s="66"/>
      <c r="S39" s="62"/>
      <c r="T39" s="62"/>
      <c r="U39" s="64">
        <f t="shared" si="4"/>
        <v>0</v>
      </c>
      <c r="V39" s="66"/>
      <c r="W39" s="62"/>
      <c r="X39" s="62"/>
      <c r="Y39" s="64">
        <f t="shared" si="5"/>
        <v>0</v>
      </c>
    </row>
    <row r="40" spans="1:25" s="47" customFormat="1">
      <c r="A40" s="100" t="s">
        <v>112</v>
      </c>
      <c r="B40" s="123"/>
      <c r="C40" s="68">
        <f>SUM(C35:C39)</f>
        <v>0</v>
      </c>
      <c r="D40" s="68">
        <f>SUM(D36:D39)</f>
        <v>0</v>
      </c>
      <c r="E40" s="68">
        <f>SUM(E36:E39)</f>
        <v>0</v>
      </c>
      <c r="F40" s="68"/>
      <c r="G40" s="64">
        <f>SUM(G35:G39)</f>
        <v>0</v>
      </c>
      <c r="H40" s="64">
        <f>SUM(H35:H39)</f>
        <v>0</v>
      </c>
      <c r="I40" s="64">
        <f>SUM(I35:I39)</f>
        <v>0</v>
      </c>
      <c r="J40" s="68"/>
      <c r="K40" s="64">
        <f>(K35+K39)</f>
        <v>0</v>
      </c>
      <c r="L40" s="64">
        <f>(L35+L39)</f>
        <v>0</v>
      </c>
      <c r="M40" s="64">
        <f t="shared" si="2"/>
        <v>0</v>
      </c>
      <c r="N40" s="68"/>
      <c r="O40" s="64"/>
      <c r="P40" s="64"/>
      <c r="Q40" s="64">
        <f t="shared" si="3"/>
        <v>0</v>
      </c>
      <c r="R40" s="68"/>
      <c r="S40" s="64"/>
      <c r="T40" s="64"/>
      <c r="U40" s="64">
        <f t="shared" si="4"/>
        <v>0</v>
      </c>
      <c r="V40" s="68"/>
      <c r="W40" s="64"/>
      <c r="X40" s="64"/>
      <c r="Y40" s="64">
        <f t="shared" si="5"/>
        <v>0</v>
      </c>
    </row>
    <row r="41" spans="1:25" ht="4.5" customHeight="1">
      <c r="A41" s="100"/>
      <c r="B41" s="68"/>
      <c r="C41" s="66"/>
      <c r="D41" s="66"/>
      <c r="E41" s="64"/>
      <c r="F41" s="68"/>
      <c r="G41" s="66"/>
      <c r="H41" s="66"/>
      <c r="I41" s="64"/>
      <c r="J41" s="68"/>
      <c r="K41" s="66"/>
      <c r="L41" s="66"/>
      <c r="M41" s="64"/>
      <c r="N41" s="68"/>
      <c r="O41" s="66"/>
      <c r="P41" s="66"/>
      <c r="Q41" s="64"/>
      <c r="R41" s="68"/>
      <c r="S41" s="66"/>
      <c r="T41" s="66"/>
      <c r="U41" s="64"/>
      <c r="V41" s="68"/>
      <c r="W41" s="66"/>
      <c r="X41" s="66"/>
      <c r="Y41" s="64"/>
    </row>
    <row r="42" spans="1:25" ht="17.25" customHeight="1">
      <c r="A42" s="100" t="s">
        <v>109</v>
      </c>
      <c r="B42" s="68"/>
      <c r="C42" s="68">
        <f>C33+C40</f>
        <v>0</v>
      </c>
      <c r="D42" s="68">
        <f>D33+D40</f>
        <v>0</v>
      </c>
      <c r="E42" s="68">
        <f>E33+E40</f>
        <v>0</v>
      </c>
      <c r="F42" s="68"/>
      <c r="G42" s="64">
        <f>G33+G40</f>
        <v>0</v>
      </c>
      <c r="H42" s="64">
        <f>H33+H40</f>
        <v>0</v>
      </c>
      <c r="I42" s="64">
        <f>I33+I40</f>
        <v>0</v>
      </c>
      <c r="J42" s="68"/>
      <c r="K42" s="64">
        <f>(K33+K40)</f>
        <v>0</v>
      </c>
      <c r="L42" s="64">
        <f>(L33+L40)</f>
        <v>0</v>
      </c>
      <c r="M42" s="64">
        <f>(M33+M40)</f>
        <v>0</v>
      </c>
      <c r="N42" s="64">
        <f>N33+N40</f>
        <v>0</v>
      </c>
      <c r="O42" s="64">
        <f>O33+O40</f>
        <v>0</v>
      </c>
      <c r="P42" s="64">
        <f>(P33+P40)</f>
        <v>0</v>
      </c>
      <c r="Q42" s="64">
        <f>(Q33+Q40)</f>
        <v>0</v>
      </c>
      <c r="R42" s="64">
        <f t="shared" ref="R42:Y42" si="6">SUM(R33:R40)</f>
        <v>0</v>
      </c>
      <c r="S42" s="64">
        <f t="shared" si="6"/>
        <v>0</v>
      </c>
      <c r="T42" s="64">
        <f t="shared" si="6"/>
        <v>0</v>
      </c>
      <c r="U42" s="64">
        <f t="shared" si="6"/>
        <v>0</v>
      </c>
      <c r="V42" s="64">
        <f t="shared" si="6"/>
        <v>0</v>
      </c>
      <c r="W42" s="64">
        <f t="shared" si="6"/>
        <v>0</v>
      </c>
      <c r="X42" s="64">
        <f t="shared" si="6"/>
        <v>0</v>
      </c>
      <c r="Y42" s="64">
        <f t="shared" si="6"/>
        <v>0</v>
      </c>
    </row>
    <row r="43" spans="1:25" ht="17.25" customHeight="1">
      <c r="A43" s="102"/>
      <c r="B43" s="74"/>
      <c r="C43" s="73"/>
      <c r="D43" s="73"/>
      <c r="E43" s="74"/>
      <c r="F43" s="74"/>
      <c r="G43" s="73"/>
      <c r="H43" s="73"/>
      <c r="I43" s="74"/>
      <c r="J43" s="74"/>
      <c r="K43" s="73"/>
      <c r="L43" s="73"/>
      <c r="M43" s="74"/>
      <c r="N43" s="74"/>
      <c r="O43" s="73"/>
      <c r="P43" s="73"/>
      <c r="Q43" s="74"/>
      <c r="R43" s="74"/>
      <c r="S43" s="73"/>
      <c r="T43" s="73"/>
      <c r="U43" s="74"/>
      <c r="V43" s="74"/>
      <c r="W43" s="73"/>
      <c r="X43" s="73"/>
      <c r="Y43" s="74"/>
    </row>
    <row r="44" spans="1:25">
      <c r="A44" s="638" t="s">
        <v>115</v>
      </c>
      <c r="B44" s="124"/>
      <c r="C44" s="75"/>
      <c r="D44" s="75"/>
      <c r="E44" s="125"/>
      <c r="F44" s="76"/>
      <c r="G44" s="75"/>
      <c r="H44" s="75"/>
      <c r="I44" s="76"/>
      <c r="J44" s="76"/>
      <c r="K44" s="75"/>
      <c r="L44" s="75"/>
      <c r="M44" s="76"/>
      <c r="N44" s="76"/>
      <c r="O44" s="75"/>
      <c r="P44" s="75"/>
      <c r="Q44" s="76"/>
      <c r="R44" s="76"/>
      <c r="S44" s="75"/>
      <c r="T44" s="75"/>
      <c r="U44" s="76"/>
      <c r="V44" s="76"/>
      <c r="W44" s="75"/>
      <c r="X44" s="75"/>
      <c r="Y44" s="77"/>
    </row>
    <row r="45" spans="1:25">
      <c r="A45" s="103" t="s">
        <v>116</v>
      </c>
      <c r="B45" s="66"/>
      <c r="C45" s="82"/>
      <c r="D45" s="82"/>
      <c r="E45" s="79"/>
      <c r="F45" s="60"/>
      <c r="G45" s="82"/>
      <c r="H45" s="82"/>
      <c r="I45" s="79"/>
      <c r="J45" s="60"/>
      <c r="K45" s="82"/>
      <c r="L45" s="82"/>
      <c r="M45" s="79"/>
      <c r="N45" s="60"/>
      <c r="O45" s="82"/>
      <c r="P45" s="82"/>
      <c r="Q45" s="79"/>
      <c r="R45" s="60"/>
      <c r="S45" s="82"/>
      <c r="T45" s="82"/>
      <c r="U45" s="79"/>
      <c r="V45" s="60"/>
      <c r="W45" s="82"/>
      <c r="X45" s="82"/>
      <c r="Y45" s="79"/>
    </row>
    <row r="46" spans="1:25">
      <c r="A46" s="99"/>
      <c r="B46" s="66"/>
      <c r="C46" s="62"/>
      <c r="D46" s="62"/>
      <c r="E46" s="79"/>
      <c r="F46" s="66"/>
      <c r="G46" s="62"/>
      <c r="H46" s="62"/>
      <c r="I46" s="79"/>
      <c r="J46" s="66"/>
      <c r="K46" s="62"/>
      <c r="L46" s="62"/>
      <c r="M46" s="79"/>
      <c r="N46" s="66"/>
      <c r="O46" s="62"/>
      <c r="P46" s="62"/>
      <c r="Q46" s="79"/>
      <c r="R46" s="66"/>
      <c r="S46" s="62"/>
      <c r="T46" s="62"/>
      <c r="U46" s="79"/>
      <c r="V46" s="66"/>
      <c r="W46" s="62"/>
      <c r="X46" s="62"/>
      <c r="Y46" s="79"/>
    </row>
    <row r="47" spans="1:25" s="47" customFormat="1">
      <c r="A47" s="104" t="s">
        <v>112</v>
      </c>
      <c r="B47" s="68">
        <f>SUM(B45:B46)</f>
        <v>0</v>
      </c>
      <c r="C47" s="68"/>
      <c r="D47" s="68"/>
      <c r="E47" s="68"/>
      <c r="F47" s="68">
        <f>SUM(F45:F46)</f>
        <v>0</v>
      </c>
      <c r="G47" s="68"/>
      <c r="H47" s="68"/>
      <c r="I47" s="68">
        <f>SUM(I45:I46)</f>
        <v>0</v>
      </c>
      <c r="J47" s="68"/>
      <c r="K47" s="68"/>
      <c r="L47" s="68"/>
      <c r="M47" s="68">
        <f>SUM(M45:M46)</f>
        <v>0</v>
      </c>
      <c r="N47" s="68"/>
      <c r="O47" s="68"/>
      <c r="P47" s="68"/>
      <c r="Q47" s="68">
        <f>SUM(Q45:Q46)</f>
        <v>0</v>
      </c>
      <c r="R47" s="68"/>
      <c r="S47" s="68"/>
      <c r="T47" s="68"/>
      <c r="U47" s="68">
        <f>SUM(U45:U46)</f>
        <v>0</v>
      </c>
      <c r="V47" s="68"/>
      <c r="W47" s="68"/>
      <c r="X47" s="68"/>
      <c r="Y47" s="68"/>
    </row>
    <row r="48" spans="1:25" ht="4.5" customHeight="1">
      <c r="A48" s="100"/>
      <c r="B48" s="66"/>
      <c r="C48" s="66"/>
      <c r="D48" s="66"/>
      <c r="E48" s="64"/>
      <c r="F48" s="66"/>
      <c r="G48" s="66"/>
      <c r="H48" s="66"/>
      <c r="I48" s="64"/>
      <c r="J48" s="66"/>
      <c r="K48" s="66"/>
      <c r="L48" s="66"/>
      <c r="M48" s="64"/>
      <c r="N48" s="66"/>
      <c r="O48" s="66"/>
      <c r="P48" s="66"/>
      <c r="Q48" s="64"/>
      <c r="R48" s="66"/>
      <c r="S48" s="66"/>
      <c r="T48" s="66"/>
      <c r="U48" s="64"/>
      <c r="V48" s="66"/>
      <c r="W48" s="66"/>
      <c r="X48" s="66"/>
      <c r="Y48" s="64"/>
    </row>
    <row r="49" spans="1:25" s="50" customFormat="1">
      <c r="A49" s="100" t="s">
        <v>117</v>
      </c>
      <c r="B49" s="84">
        <f>B47</f>
        <v>0</v>
      </c>
      <c r="C49" s="84"/>
      <c r="D49" s="84"/>
      <c r="E49" s="84"/>
      <c r="F49" s="84">
        <f>F47</f>
        <v>0</v>
      </c>
      <c r="G49" s="84"/>
      <c r="H49" s="84"/>
      <c r="I49" s="84">
        <f>I47</f>
        <v>0</v>
      </c>
      <c r="J49" s="84"/>
      <c r="K49" s="84"/>
      <c r="L49" s="84"/>
      <c r="M49" s="84">
        <f>M47</f>
        <v>0</v>
      </c>
      <c r="N49" s="84"/>
      <c r="O49" s="84"/>
      <c r="P49" s="84"/>
      <c r="Q49" s="84">
        <f>Q47</f>
        <v>0</v>
      </c>
      <c r="R49" s="84"/>
      <c r="S49" s="84"/>
      <c r="T49" s="84"/>
      <c r="U49" s="84">
        <f>U47</f>
        <v>0</v>
      </c>
      <c r="V49" s="84"/>
      <c r="W49" s="84"/>
      <c r="X49" s="84"/>
      <c r="Y49" s="84"/>
    </row>
    <row r="50" spans="1:25" s="55" customFormat="1">
      <c r="A50" s="47"/>
      <c r="B50" s="51"/>
      <c r="C50" s="51"/>
      <c r="D50" s="51"/>
      <c r="E50" s="52"/>
      <c r="F50" s="50"/>
      <c r="G50" s="53"/>
      <c r="H50" s="54"/>
      <c r="I50" s="50"/>
      <c r="J50" s="50"/>
      <c r="K50" s="53"/>
      <c r="L50" s="54"/>
      <c r="M50" s="50"/>
      <c r="N50" s="50"/>
      <c r="O50" s="53"/>
      <c r="P50" s="54"/>
      <c r="Q50" s="50"/>
      <c r="R50" s="50"/>
      <c r="S50" s="53"/>
      <c r="T50" s="54"/>
      <c r="U50" s="50"/>
      <c r="V50" s="50"/>
      <c r="W50" s="53"/>
      <c r="X50" s="54"/>
      <c r="Y50" s="50"/>
    </row>
    <row r="51" spans="1:25">
      <c r="A51" s="47" t="s">
        <v>69</v>
      </c>
      <c r="B51" s="47"/>
      <c r="C51" s="49" t="s">
        <v>124</v>
      </c>
      <c r="D51" s="49"/>
      <c r="E51" s="49"/>
      <c r="F51" s="47"/>
      <c r="G51" s="49"/>
      <c r="H51" s="49"/>
      <c r="I51" s="47"/>
      <c r="J51" s="47"/>
      <c r="K51" s="49"/>
      <c r="L51" s="49"/>
      <c r="M51" s="47"/>
      <c r="N51" s="47"/>
      <c r="O51" s="49"/>
      <c r="P51" s="49"/>
      <c r="Q51" s="47"/>
      <c r="R51" s="47"/>
      <c r="S51" s="49"/>
      <c r="T51" s="49"/>
      <c r="V51" s="47"/>
      <c r="W51" s="49"/>
      <c r="X51" s="49"/>
      <c r="Y51" s="47"/>
    </row>
    <row r="52" spans="1:25">
      <c r="W52" s="49"/>
      <c r="X52" s="49"/>
    </row>
    <row r="53" spans="1:25">
      <c r="A53" s="47" t="s">
        <v>125</v>
      </c>
      <c r="B53" s="47" t="s">
        <v>126</v>
      </c>
      <c r="D53" s="49"/>
      <c r="G53" s="49"/>
      <c r="I53" s="47"/>
      <c r="K53" s="49"/>
      <c r="M53" s="47"/>
      <c r="O53" s="49"/>
      <c r="P53" s="49"/>
      <c r="S53" s="49"/>
      <c r="T53" s="49"/>
      <c r="W53" s="49"/>
      <c r="X53" s="49"/>
    </row>
    <row r="54" spans="1:25">
      <c r="A54" s="47" t="s">
        <v>127</v>
      </c>
      <c r="B54" s="47" t="s">
        <v>128</v>
      </c>
      <c r="D54" s="49"/>
      <c r="G54" s="49"/>
      <c r="I54" s="47"/>
      <c r="K54" s="49"/>
      <c r="M54" s="47"/>
      <c r="O54" s="49"/>
      <c r="P54" s="49"/>
      <c r="S54" s="49"/>
      <c r="T54" s="49"/>
    </row>
    <row r="55" spans="1:25">
      <c r="A55" s="47" t="s">
        <v>129</v>
      </c>
      <c r="B55" s="47" t="s">
        <v>130</v>
      </c>
      <c r="D55" s="49"/>
      <c r="G55" s="49"/>
      <c r="I55" s="47"/>
      <c r="K55" s="49"/>
      <c r="M55" s="47"/>
      <c r="U55" s="56"/>
      <c r="V55" s="56"/>
      <c r="Y55" s="56"/>
    </row>
    <row r="56" spans="1:25">
      <c r="A56" s="47" t="s">
        <v>131</v>
      </c>
      <c r="B56" s="47" t="s">
        <v>132</v>
      </c>
      <c r="D56" s="49"/>
      <c r="F56" s="56"/>
      <c r="I56" s="56"/>
      <c r="J56" s="56"/>
      <c r="M56" s="56"/>
      <c r="N56" s="56"/>
      <c r="Q56" s="56"/>
      <c r="R56" s="56"/>
      <c r="W56" s="49"/>
      <c r="X56" s="49"/>
    </row>
    <row r="57" spans="1:25">
      <c r="A57" s="47"/>
      <c r="B57" s="47"/>
      <c r="D57" s="49"/>
      <c r="G57" s="49"/>
      <c r="I57" s="47"/>
      <c r="K57" s="49"/>
      <c r="M57" s="47"/>
      <c r="O57" s="49"/>
      <c r="P57" s="49"/>
      <c r="S57" s="49"/>
      <c r="T57" s="49"/>
      <c r="U57" s="56"/>
      <c r="V57" s="56"/>
      <c r="Y57" s="56"/>
    </row>
    <row r="58" spans="1:25">
      <c r="A58" s="56"/>
      <c r="B58" s="56"/>
      <c r="F58" s="56"/>
      <c r="I58" s="56"/>
      <c r="J58" s="56"/>
      <c r="M58" s="56"/>
      <c r="N58" s="56"/>
      <c r="Q58" s="56"/>
      <c r="R58" s="56"/>
      <c r="U58" s="56"/>
      <c r="V58" s="56"/>
      <c r="Y58" s="56"/>
    </row>
    <row r="59" spans="1:25">
      <c r="A59" s="56"/>
      <c r="B59" s="56"/>
      <c r="F59" s="56"/>
      <c r="I59" s="56"/>
      <c r="J59" s="56"/>
      <c r="M59" s="56"/>
      <c r="N59" s="56"/>
      <c r="Q59" s="56"/>
      <c r="R59" s="56"/>
      <c r="U59" s="56"/>
      <c r="V59" s="56"/>
      <c r="Y59" s="56"/>
    </row>
    <row r="60" spans="1:25">
      <c r="A60" s="56"/>
      <c r="B60" s="56"/>
      <c r="F60" s="56"/>
      <c r="I60" s="56"/>
      <c r="J60" s="56"/>
      <c r="M60" s="56"/>
      <c r="N60" s="56"/>
      <c r="Q60" s="56"/>
      <c r="R60" s="56"/>
      <c r="U60" s="56"/>
      <c r="V60" s="56"/>
      <c r="Y60" s="56"/>
    </row>
  </sheetData>
  <sheetProtection password="F485" sheet="1" objects="1" scenarios="1"/>
  <mergeCells count="12">
    <mergeCell ref="B3:E3"/>
    <mergeCell ref="F3:I3"/>
    <mergeCell ref="B25:E25"/>
    <mergeCell ref="F25:I25"/>
    <mergeCell ref="V3:Y3"/>
    <mergeCell ref="R25:U25"/>
    <mergeCell ref="V25:Y25"/>
    <mergeCell ref="N25:Q25"/>
    <mergeCell ref="J25:M25"/>
    <mergeCell ref="J3:M3"/>
    <mergeCell ref="N3:Q3"/>
    <mergeCell ref="R3:U3"/>
  </mergeCells>
  <phoneticPr fontId="0" type="noConversion"/>
  <printOptions horizontalCentered="1" verticalCentered="1"/>
  <pageMargins left="0" right="0" top="1" bottom="1" header="0.5" footer="0.5"/>
  <pageSetup scale="44" orientation="landscape" cellComments="asDisplayed" r:id="rId1"/>
  <headerFooter alignWithMargins="0">
    <oddHeader xml:space="preserve">&amp;C&amp;"Arial,Bold"San Diego Gas and Electric
Program Subscription Statistics
MARCH 2016
</oddHeader>
    <oddFooter>&amp;L&amp;F</oddFooter>
  </headerFooter>
  <customProperties>
    <customPr name="_pios_id" r:id="rId2"/>
  </customProperties>
  <ignoredErrors>
    <ignoredError sqref="M28:M33 M35:M4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2:N49"/>
  <sheetViews>
    <sheetView showRuler="0" showWhiteSpace="0" zoomScale="80" zoomScaleNormal="80" workbookViewId="0">
      <selection activeCell="I21" sqref="I21"/>
    </sheetView>
  </sheetViews>
  <sheetFormatPr defaultColWidth="9.28515625" defaultRowHeight="12.75"/>
  <cols>
    <col min="1" max="1" width="48" style="48" customWidth="1"/>
    <col min="2" max="3" width="13" style="48" customWidth="1"/>
    <col min="4" max="13" width="13.42578125" style="48" customWidth="1"/>
    <col min="14" max="14" width="23.28515625" style="48" bestFit="1" customWidth="1"/>
    <col min="15" max="16384" width="9.28515625" style="48"/>
  </cols>
  <sheetData>
    <row r="2" spans="1:13" ht="20.25">
      <c r="B2" s="397" t="s">
        <v>39</v>
      </c>
      <c r="C2" s="47"/>
      <c r="D2" s="47"/>
      <c r="E2" s="398"/>
      <c r="F2" s="398"/>
      <c r="G2" s="398"/>
      <c r="H2" s="398"/>
      <c r="I2" s="398"/>
      <c r="J2" s="398"/>
      <c r="K2" s="398"/>
      <c r="L2" s="398"/>
      <c r="M2" s="398"/>
    </row>
    <row r="3" spans="1:13" ht="18">
      <c r="B3" s="682" t="s">
        <v>133</v>
      </c>
      <c r="C3" s="682"/>
      <c r="D3" s="682"/>
      <c r="E3" s="682"/>
      <c r="F3" s="682"/>
      <c r="G3" s="682"/>
      <c r="H3" s="682"/>
      <c r="I3" s="682"/>
      <c r="J3" s="682"/>
      <c r="K3" s="682"/>
      <c r="L3" s="682"/>
      <c r="M3" s="682"/>
    </row>
    <row r="4" spans="1:13" ht="18">
      <c r="A4" s="170"/>
      <c r="B4" s="47"/>
      <c r="C4" s="47"/>
      <c r="D4" s="47"/>
      <c r="E4" s="47"/>
      <c r="F4" s="399"/>
      <c r="G4" s="683" t="str">
        <f>'Program MW '!H3</f>
        <v>June 2020</v>
      </c>
      <c r="H4" s="683"/>
      <c r="I4" s="399"/>
      <c r="J4" s="47"/>
      <c r="K4" s="47"/>
      <c r="L4" s="47"/>
      <c r="M4" s="47"/>
    </row>
    <row r="5" spans="1:13">
      <c r="B5" s="208"/>
      <c r="C5" s="208"/>
      <c r="D5" s="208"/>
    </row>
    <row r="7" spans="1:13" ht="21.75" customHeight="1">
      <c r="A7" s="98"/>
      <c r="B7" s="171" t="s">
        <v>10</v>
      </c>
      <c r="C7" s="171" t="s">
        <v>28</v>
      </c>
      <c r="D7" s="171" t="s">
        <v>44</v>
      </c>
      <c r="E7" s="171" t="s">
        <v>45</v>
      </c>
      <c r="F7" s="171" t="s">
        <v>134</v>
      </c>
      <c r="G7" s="171" t="s">
        <v>46</v>
      </c>
      <c r="H7" s="171" t="s">
        <v>61</v>
      </c>
      <c r="I7" s="171" t="s">
        <v>78</v>
      </c>
      <c r="J7" s="171" t="s">
        <v>79</v>
      </c>
      <c r="K7" s="171" t="s">
        <v>64</v>
      </c>
      <c r="L7" s="171" t="s">
        <v>80</v>
      </c>
      <c r="M7" s="172" t="s">
        <v>66</v>
      </c>
    </row>
    <row r="8" spans="1:13" ht="25.5">
      <c r="A8" s="305" t="s">
        <v>135</v>
      </c>
      <c r="B8" s="337" t="s">
        <v>107</v>
      </c>
      <c r="C8" s="132" t="s">
        <v>107</v>
      </c>
      <c r="D8" s="132" t="s">
        <v>107</v>
      </c>
      <c r="E8" s="132" t="s">
        <v>107</v>
      </c>
      <c r="F8" s="132" t="s">
        <v>107</v>
      </c>
      <c r="G8" s="132" t="s">
        <v>107</v>
      </c>
      <c r="H8" s="132" t="s">
        <v>107</v>
      </c>
      <c r="I8" s="132" t="s">
        <v>107</v>
      </c>
      <c r="J8" s="132" t="s">
        <v>107</v>
      </c>
      <c r="K8" s="132" t="s">
        <v>107</v>
      </c>
      <c r="L8" s="132" t="s">
        <v>136</v>
      </c>
      <c r="M8" s="132" t="s">
        <v>136</v>
      </c>
    </row>
    <row r="9" spans="1:13">
      <c r="A9" s="336" t="s">
        <v>110</v>
      </c>
      <c r="B9" s="338">
        <v>1.23E-2</v>
      </c>
      <c r="C9" s="338">
        <v>1.23E-2</v>
      </c>
      <c r="D9" s="338">
        <v>1.23E-2</v>
      </c>
      <c r="E9" s="338">
        <v>1.23E-2</v>
      </c>
      <c r="F9" s="338">
        <v>1.23E-2</v>
      </c>
      <c r="G9" s="338">
        <v>1.23E-2</v>
      </c>
      <c r="H9" s="338">
        <v>1.23E-2</v>
      </c>
      <c r="I9" s="338">
        <v>0</v>
      </c>
      <c r="J9" s="338">
        <v>0</v>
      </c>
      <c r="K9" s="338">
        <v>0</v>
      </c>
      <c r="L9" s="338">
        <v>0</v>
      </c>
      <c r="M9" s="338">
        <v>1.23E-2</v>
      </c>
    </row>
    <row r="10" spans="1:13">
      <c r="A10" s="336" t="s">
        <v>111</v>
      </c>
      <c r="B10" s="338">
        <v>0</v>
      </c>
      <c r="C10" s="338">
        <v>0</v>
      </c>
      <c r="D10" s="338">
        <v>0</v>
      </c>
      <c r="E10" s="338">
        <v>0</v>
      </c>
      <c r="F10" s="338">
        <v>0</v>
      </c>
      <c r="G10" s="338">
        <v>0</v>
      </c>
      <c r="H10" s="338">
        <v>0</v>
      </c>
      <c r="I10" s="338">
        <v>0</v>
      </c>
      <c r="J10" s="338">
        <v>0</v>
      </c>
      <c r="K10" s="338">
        <v>0</v>
      </c>
      <c r="L10" s="338">
        <v>0</v>
      </c>
      <c r="M10" s="338">
        <v>0</v>
      </c>
    </row>
    <row r="11" spans="1:13">
      <c r="A11" s="174" t="s">
        <v>137</v>
      </c>
      <c r="B11" s="338">
        <v>0</v>
      </c>
      <c r="C11" s="338">
        <v>0</v>
      </c>
      <c r="D11" s="338">
        <v>0</v>
      </c>
      <c r="E11" s="338">
        <v>0</v>
      </c>
      <c r="F11" s="338">
        <v>0</v>
      </c>
      <c r="G11" s="338">
        <v>0</v>
      </c>
      <c r="H11" s="338">
        <v>0</v>
      </c>
      <c r="I11" s="338">
        <v>0</v>
      </c>
      <c r="J11" s="338">
        <v>0</v>
      </c>
      <c r="K11" s="338">
        <v>0</v>
      </c>
      <c r="L11" s="338">
        <v>0</v>
      </c>
      <c r="M11" s="61">
        <v>0</v>
      </c>
    </row>
    <row r="12" spans="1:13">
      <c r="A12" s="174" t="s">
        <v>138</v>
      </c>
      <c r="B12" s="338">
        <v>0</v>
      </c>
      <c r="C12" s="338">
        <v>0</v>
      </c>
      <c r="D12" s="338">
        <v>0</v>
      </c>
      <c r="E12" s="338">
        <v>0</v>
      </c>
      <c r="F12" s="338">
        <v>0</v>
      </c>
      <c r="G12" s="338">
        <v>0</v>
      </c>
      <c r="H12" s="338">
        <v>0</v>
      </c>
      <c r="I12" s="338">
        <v>0</v>
      </c>
      <c r="J12" s="338">
        <v>0</v>
      </c>
      <c r="K12" s="338">
        <v>0</v>
      </c>
      <c r="L12" s="338">
        <v>0</v>
      </c>
      <c r="M12" s="108">
        <v>0</v>
      </c>
    </row>
    <row r="13" spans="1:13" s="47" customFormat="1">
      <c r="A13" s="173" t="s">
        <v>112</v>
      </c>
      <c r="B13" s="110">
        <f t="shared" ref="B13:G13" si="0">SUM(B9:B12)</f>
        <v>1.23E-2</v>
      </c>
      <c r="C13" s="110">
        <f t="shared" si="0"/>
        <v>1.23E-2</v>
      </c>
      <c r="D13" s="110">
        <f t="shared" si="0"/>
        <v>1.23E-2</v>
      </c>
      <c r="E13" s="110">
        <f t="shared" si="0"/>
        <v>1.23E-2</v>
      </c>
      <c r="F13" s="110">
        <f t="shared" si="0"/>
        <v>1.23E-2</v>
      </c>
      <c r="G13" s="110">
        <f t="shared" si="0"/>
        <v>1.23E-2</v>
      </c>
      <c r="H13" s="64">
        <f t="shared" ref="H13" si="1">SUM(H9:H12)</f>
        <v>1.23E-2</v>
      </c>
      <c r="I13" s="64">
        <f t="shared" ref="I13:M13" si="2">SUM(I9:I12)</f>
        <v>0</v>
      </c>
      <c r="J13" s="520">
        <f t="shared" si="2"/>
        <v>0</v>
      </c>
      <c r="K13" s="520">
        <f t="shared" si="2"/>
        <v>0</v>
      </c>
      <c r="L13" s="520">
        <f t="shared" si="2"/>
        <v>0</v>
      </c>
      <c r="M13" s="64">
        <f t="shared" si="2"/>
        <v>1.23E-2</v>
      </c>
    </row>
    <row r="14" spans="1:13" s="55" customFormat="1">
      <c r="A14" s="47"/>
      <c r="B14" s="51"/>
      <c r="C14" s="53"/>
      <c r="D14" s="53"/>
      <c r="E14" s="53"/>
      <c r="F14" s="53"/>
      <c r="G14" s="53"/>
    </row>
    <row r="15" spans="1:13" ht="15">
      <c r="A15" s="268" t="s">
        <v>69</v>
      </c>
      <c r="G15" s="49"/>
    </row>
    <row r="16" spans="1:13" ht="15">
      <c r="A16" s="440" t="s">
        <v>139</v>
      </c>
      <c r="B16" s="208"/>
      <c r="C16" s="208"/>
      <c r="D16" s="318"/>
      <c r="E16" s="318"/>
      <c r="F16" s="318"/>
      <c r="G16" s="208"/>
      <c r="H16" s="208"/>
      <c r="I16" s="208"/>
      <c r="J16" s="208"/>
      <c r="K16" s="208"/>
    </row>
    <row r="17" spans="1:14" ht="15">
      <c r="A17" s="439"/>
    </row>
    <row r="20" spans="1:14" ht="21.75" customHeight="1">
      <c r="A20" s="98"/>
      <c r="B20" s="171" t="s">
        <v>10</v>
      </c>
      <c r="C20" s="171" t="s">
        <v>28</v>
      </c>
      <c r="D20" s="171" t="s">
        <v>44</v>
      </c>
      <c r="E20" s="171" t="s">
        <v>45</v>
      </c>
      <c r="F20" s="171" t="s">
        <v>134</v>
      </c>
      <c r="G20" s="171" t="s">
        <v>46</v>
      </c>
      <c r="H20" s="171" t="s">
        <v>61</v>
      </c>
      <c r="I20" s="171" t="s">
        <v>78</v>
      </c>
      <c r="J20" s="171" t="s">
        <v>79</v>
      </c>
      <c r="K20" s="171" t="s">
        <v>64</v>
      </c>
      <c r="L20" s="171" t="s">
        <v>80</v>
      </c>
      <c r="M20" s="172" t="s">
        <v>66</v>
      </c>
      <c r="N20" s="402"/>
    </row>
    <row r="21" spans="1:14" ht="51">
      <c r="A21" s="304" t="s">
        <v>135</v>
      </c>
      <c r="B21" s="132" t="s">
        <v>140</v>
      </c>
      <c r="C21" s="132" t="str">
        <f>B21</f>
        <v>Technology Deployment- Residential MWs</v>
      </c>
      <c r="D21" s="132" t="str">
        <f>B21</f>
        <v>Technology Deployment- Residential MWs</v>
      </c>
      <c r="E21" s="132" t="str">
        <f t="shared" ref="E21:M21" si="3">C21</f>
        <v>Technology Deployment- Residential MWs</v>
      </c>
      <c r="F21" s="132" t="str">
        <f t="shared" si="3"/>
        <v>Technology Deployment- Residential MWs</v>
      </c>
      <c r="G21" s="132" t="str">
        <f t="shared" si="3"/>
        <v>Technology Deployment- Residential MWs</v>
      </c>
      <c r="H21" s="132" t="str">
        <f t="shared" si="3"/>
        <v>Technology Deployment- Residential MWs</v>
      </c>
      <c r="I21" s="132" t="str">
        <f t="shared" si="3"/>
        <v>Technology Deployment- Residential MWs</v>
      </c>
      <c r="J21" s="132" t="str">
        <f t="shared" si="3"/>
        <v>Technology Deployment- Residential MWs</v>
      </c>
      <c r="K21" s="132" t="str">
        <f t="shared" si="3"/>
        <v>Technology Deployment- Residential MWs</v>
      </c>
      <c r="L21" s="132" t="str">
        <f t="shared" si="3"/>
        <v>Technology Deployment- Residential MWs</v>
      </c>
      <c r="M21" s="132" t="str">
        <f t="shared" si="3"/>
        <v>Technology Deployment- Residential MWs</v>
      </c>
      <c r="N21" s="402"/>
    </row>
    <row r="22" spans="1:14">
      <c r="A22" s="174" t="s">
        <v>17</v>
      </c>
      <c r="B22" s="61">
        <f>'Program MW '!D15</f>
        <v>3.0827200000000001</v>
      </c>
      <c r="C22" s="61">
        <f>'Program MW '!G15</f>
        <v>3.1022400000000001</v>
      </c>
      <c r="D22" s="61">
        <f>'Program MW '!J15</f>
        <v>4.2930799999999998</v>
      </c>
      <c r="E22" s="61">
        <f>'Program MW '!M15</f>
        <v>3.3770000000000002</v>
      </c>
      <c r="F22" s="61">
        <f>'Program MW '!P15</f>
        <v>3.4425600000000003</v>
      </c>
      <c r="G22" s="61">
        <f>'Program MW '!S15</f>
        <v>3.2876799999999999</v>
      </c>
      <c r="H22" s="61">
        <v>0</v>
      </c>
      <c r="I22" s="61">
        <v>0</v>
      </c>
      <c r="J22" s="61">
        <v>0</v>
      </c>
      <c r="K22" s="61">
        <v>0</v>
      </c>
      <c r="L22" s="61">
        <v>0</v>
      </c>
      <c r="M22" s="61">
        <v>0</v>
      </c>
      <c r="N22" s="402"/>
    </row>
    <row r="23" spans="1:14">
      <c r="A23" s="174" t="s">
        <v>27</v>
      </c>
      <c r="B23" s="61">
        <f>'Ex post LI &amp; Eligibility Stats'!B11*1008/1000</f>
        <v>0.16128000000000001</v>
      </c>
      <c r="C23" s="61">
        <f>'Ex post LI &amp; Eligibility Stats'!C11*1014/1000</f>
        <v>0.16224</v>
      </c>
      <c r="D23" s="61">
        <f>'Ex post LI &amp; Eligibility Stats'!D11*1015/1000</f>
        <v>0.2233</v>
      </c>
      <c r="E23" s="61">
        <f>'Ex post LI &amp; Eligibility Stats'!E11*960/1000</f>
        <v>0.2112</v>
      </c>
      <c r="F23" s="61">
        <f>'Ex post LI &amp; Eligibility Stats'!F11*994/1000</f>
        <v>0.21868000000000001</v>
      </c>
      <c r="G23" s="61">
        <f>'Ex post LI &amp; Eligibility Stats'!G11*980/1000</f>
        <v>0.21559999999999999</v>
      </c>
      <c r="H23" s="61">
        <v>0</v>
      </c>
      <c r="I23" s="61">
        <v>0</v>
      </c>
      <c r="J23" s="61">
        <v>0</v>
      </c>
      <c r="K23" s="61">
        <v>0</v>
      </c>
      <c r="L23" s="61">
        <v>0</v>
      </c>
      <c r="M23" s="61">
        <v>0</v>
      </c>
    </row>
    <row r="24" spans="1:14">
      <c r="A24" s="174" t="s">
        <v>138</v>
      </c>
      <c r="B24" s="61">
        <f>'Ex post LI &amp; Eligibility Stats'!B11*1489/1000</f>
        <v>0.23824000000000001</v>
      </c>
      <c r="C24" s="61">
        <f>'Ex post LI &amp; Eligibility Stats'!C11*1487/1000</f>
        <v>0.23792000000000002</v>
      </c>
      <c r="D24" s="61">
        <f>'Ex post LI &amp; Eligibility Stats'!D11*1490/1000</f>
        <v>0.32780000000000004</v>
      </c>
      <c r="E24" s="61">
        <f>'Ex post LI &amp; Eligibility Stats'!E11*1442/1000</f>
        <v>0.31724000000000002</v>
      </c>
      <c r="F24" s="61">
        <f>'Ex post LI &amp; Eligibility Stats'!F11*1513/1000</f>
        <v>0.33285999999999999</v>
      </c>
      <c r="G24" s="61">
        <f>'Ex post LI &amp; Eligibility Stats'!G11*1511/1000</f>
        <v>0.33241999999999999</v>
      </c>
      <c r="H24" s="61">
        <v>0</v>
      </c>
      <c r="I24" s="61">
        <v>0</v>
      </c>
      <c r="J24" s="61">
        <v>0</v>
      </c>
      <c r="K24" s="61">
        <v>0</v>
      </c>
      <c r="L24" s="61">
        <v>0</v>
      </c>
      <c r="M24" s="61">
        <v>0</v>
      </c>
    </row>
    <row r="25" spans="1:14" s="47" customFormat="1">
      <c r="A25" s="173" t="s">
        <v>112</v>
      </c>
      <c r="B25" s="110">
        <f t="shared" ref="B25:L25" si="4">SUM(B22:B24)</f>
        <v>3.48224</v>
      </c>
      <c r="C25" s="64">
        <f t="shared" si="4"/>
        <v>3.5024000000000002</v>
      </c>
      <c r="D25" s="64">
        <f t="shared" si="4"/>
        <v>4.8441799999999997</v>
      </c>
      <c r="E25" s="64">
        <f t="shared" si="4"/>
        <v>3.90544</v>
      </c>
      <c r="F25" s="64">
        <f t="shared" ref="F25" si="5">SUM(F22:F24)</f>
        <v>3.9941000000000004</v>
      </c>
      <c r="G25" s="64">
        <f t="shared" si="4"/>
        <v>3.8356999999999997</v>
      </c>
      <c r="H25" s="64">
        <f t="shared" si="4"/>
        <v>0</v>
      </c>
      <c r="I25" s="64">
        <f t="shared" si="4"/>
        <v>0</v>
      </c>
      <c r="J25" s="64">
        <f t="shared" si="4"/>
        <v>0</v>
      </c>
      <c r="K25" s="64">
        <f t="shared" si="4"/>
        <v>0</v>
      </c>
      <c r="L25" s="64">
        <f t="shared" si="4"/>
        <v>0</v>
      </c>
      <c r="M25" s="64">
        <f t="shared" ref="M25" si="6">SUM(M22:M24)</f>
        <v>0</v>
      </c>
    </row>
    <row r="26" spans="1:14" s="55" customFormat="1">
      <c r="A26" s="47"/>
      <c r="B26" s="51"/>
      <c r="C26" s="53"/>
      <c r="D26" s="53"/>
      <c r="E26" s="53"/>
      <c r="F26" s="53"/>
      <c r="G26" s="53"/>
    </row>
    <row r="27" spans="1:14" ht="15">
      <c r="A27" s="268" t="s">
        <v>69</v>
      </c>
      <c r="G27" s="49"/>
    </row>
    <row r="28" spans="1:14" ht="15">
      <c r="A28" s="438" t="s">
        <v>141</v>
      </c>
      <c r="G28" s="49"/>
    </row>
    <row r="29" spans="1:14" ht="15">
      <c r="A29" s="439"/>
      <c r="C29" s="49"/>
      <c r="D29" s="49"/>
      <c r="E29" s="49"/>
      <c r="F29" s="49"/>
      <c r="G29" s="49"/>
    </row>
    <row r="30" spans="1:14">
      <c r="C30" s="49"/>
      <c r="D30" s="49"/>
      <c r="E30" s="49"/>
      <c r="F30" s="49"/>
      <c r="G30" s="49"/>
    </row>
    <row r="31" spans="1:14" ht="21.75" customHeight="1">
      <c r="A31" s="98"/>
      <c r="B31" s="171" t="s">
        <v>10</v>
      </c>
      <c r="C31" s="171" t="s">
        <v>28</v>
      </c>
      <c r="D31" s="171" t="s">
        <v>44</v>
      </c>
      <c r="E31" s="171" t="s">
        <v>45</v>
      </c>
      <c r="F31" s="171" t="s">
        <v>134</v>
      </c>
      <c r="G31" s="171" t="s">
        <v>46</v>
      </c>
      <c r="H31" s="171" t="s">
        <v>61</v>
      </c>
      <c r="I31" s="171" t="s">
        <v>78</v>
      </c>
      <c r="J31" s="171" t="s">
        <v>79</v>
      </c>
      <c r="K31" s="171" t="s">
        <v>64</v>
      </c>
      <c r="L31" s="171" t="s">
        <v>80</v>
      </c>
      <c r="M31" s="172" t="s">
        <v>66</v>
      </c>
    </row>
    <row r="32" spans="1:14" ht="51">
      <c r="A32" s="304" t="s">
        <v>135</v>
      </c>
      <c r="B32" s="132" t="s">
        <v>142</v>
      </c>
      <c r="C32" s="132" t="str">
        <f>B32</f>
        <v>Technology Deployment- Commercial MWs</v>
      </c>
      <c r="D32" s="132" t="str">
        <f>B32</f>
        <v>Technology Deployment- Commercial MWs</v>
      </c>
      <c r="E32" s="132" t="str">
        <f t="shared" ref="E32" si="7">C32</f>
        <v>Technology Deployment- Commercial MWs</v>
      </c>
      <c r="F32" s="132" t="str">
        <f t="shared" ref="F32" si="8">D32</f>
        <v>Technology Deployment- Commercial MWs</v>
      </c>
      <c r="G32" s="132" t="str">
        <f t="shared" ref="G32" si="9">E32</f>
        <v>Technology Deployment- Commercial MWs</v>
      </c>
      <c r="H32" s="132" t="str">
        <f t="shared" ref="H32" si="10">F32</f>
        <v>Technology Deployment- Commercial MWs</v>
      </c>
      <c r="I32" s="132" t="s">
        <v>143</v>
      </c>
      <c r="J32" s="132" t="str">
        <f t="shared" ref="J32" si="11">H32</f>
        <v>Technology Deployment- Commercial MWs</v>
      </c>
      <c r="K32" s="132" t="str">
        <f>B32</f>
        <v>Technology Deployment- Commercial MWs</v>
      </c>
      <c r="L32" s="132" t="s">
        <v>143</v>
      </c>
      <c r="M32" s="132" t="str">
        <f t="shared" ref="M32" si="12">K32</f>
        <v>Technology Deployment- Commercial MWs</v>
      </c>
    </row>
    <row r="33" spans="1:13">
      <c r="A33" s="174" t="s">
        <v>20</v>
      </c>
      <c r="B33" s="61">
        <f>'Program MW '!D18</f>
        <v>0.37775999999999998</v>
      </c>
      <c r="C33" s="61">
        <f>'Program MW '!G16</f>
        <v>0.76703999999999994</v>
      </c>
      <c r="D33" s="61">
        <f>'Program MW '!J16</f>
        <v>0.58787999999999996</v>
      </c>
      <c r="E33" s="61">
        <f>'Program MW '!M16</f>
        <v>0.34559999999999996</v>
      </c>
      <c r="F33" s="61">
        <f>'Program MW '!P16</f>
        <v>0.34991999999999995</v>
      </c>
      <c r="G33" s="61">
        <f>'Program MW '!S16</f>
        <v>0.35279999999999995</v>
      </c>
      <c r="H33" s="61">
        <v>0</v>
      </c>
      <c r="I33" s="61">
        <v>0</v>
      </c>
      <c r="J33" s="61">
        <v>0</v>
      </c>
      <c r="K33" s="61">
        <v>0</v>
      </c>
      <c r="L33" s="61">
        <v>0</v>
      </c>
      <c r="M33" s="61">
        <v>0</v>
      </c>
    </row>
    <row r="34" spans="1:13">
      <c r="A34" s="174" t="s">
        <v>26</v>
      </c>
      <c r="B34" s="61">
        <f>'Ex post LI &amp; Eligibility Stats'!B12*1165/1000</f>
        <v>0.54754999999999998</v>
      </c>
      <c r="C34" s="61">
        <f>'Ex post LI &amp; Eligibility Stats'!C12*1151/1000</f>
        <v>0.54096999999999995</v>
      </c>
      <c r="D34" s="61">
        <f>'Ex post LI &amp; Eligibility Stats'!D12*727/1000</f>
        <v>0.26171999999999995</v>
      </c>
      <c r="E34" s="61">
        <f>'Ex post LI &amp; Eligibility Stats'!E12*1152/1000</f>
        <v>0.41471999999999998</v>
      </c>
      <c r="F34" s="61">
        <f>'Ex post LI &amp; Eligibility Stats'!F12*774/1000</f>
        <v>0.27864</v>
      </c>
      <c r="G34" s="61">
        <f>'Ex post LI &amp; Eligibility Stats'!G12*709/1000</f>
        <v>0.25523999999999997</v>
      </c>
      <c r="H34" s="61">
        <v>0</v>
      </c>
      <c r="I34" s="61">
        <v>0</v>
      </c>
      <c r="J34" s="61">
        <v>0</v>
      </c>
      <c r="K34" s="61">
        <v>0</v>
      </c>
      <c r="L34" s="61">
        <v>0</v>
      </c>
      <c r="M34" s="61">
        <v>0</v>
      </c>
    </row>
    <row r="35" spans="1:13">
      <c r="A35" s="584" t="s">
        <v>57</v>
      </c>
      <c r="B35" s="556">
        <v>0</v>
      </c>
      <c r="C35" s="556">
        <v>0</v>
      </c>
      <c r="D35" s="556">
        <v>0</v>
      </c>
      <c r="E35" s="556">
        <v>0</v>
      </c>
      <c r="F35" s="556">
        <v>0</v>
      </c>
      <c r="G35" s="556">
        <v>0</v>
      </c>
      <c r="H35" s="61">
        <v>0</v>
      </c>
      <c r="I35" s="61">
        <v>0</v>
      </c>
      <c r="J35" s="61">
        <v>0</v>
      </c>
      <c r="K35" s="61">
        <v>0</v>
      </c>
      <c r="L35" s="61">
        <v>0</v>
      </c>
      <c r="M35" s="61">
        <v>0</v>
      </c>
    </row>
    <row r="36" spans="1:13">
      <c r="A36" s="174" t="s">
        <v>110</v>
      </c>
      <c r="B36" s="61">
        <f>'Ex post LI &amp; Eligibility Stats'!B12*570/1000</f>
        <v>0.26789999999999997</v>
      </c>
      <c r="C36" s="61">
        <f>'Ex post LI &amp; Eligibility Stats'!C12*569/1000</f>
        <v>0.26743</v>
      </c>
      <c r="D36" s="61">
        <f>'Ex post LI &amp; Eligibility Stats'!D12*466/1000</f>
        <v>0.16775999999999999</v>
      </c>
      <c r="E36" s="61">
        <f>'Ex post LI &amp; Eligibility Stats'!E12*569/1000</f>
        <v>0.20483999999999999</v>
      </c>
      <c r="F36" s="61">
        <f>'Ex post LI &amp; Eligibility Stats'!F12*457/1000</f>
        <v>0.16451999999999997</v>
      </c>
      <c r="G36" s="61">
        <f>'Ex post LI &amp; Eligibility Stats'!G12*447/1000</f>
        <v>0.16091999999999998</v>
      </c>
      <c r="H36" s="61">
        <v>0</v>
      </c>
      <c r="I36" s="61">
        <v>0</v>
      </c>
      <c r="J36" s="61">
        <v>0</v>
      </c>
      <c r="K36" s="61">
        <v>0</v>
      </c>
      <c r="L36" s="61">
        <v>0</v>
      </c>
      <c r="M36" s="61">
        <v>0</v>
      </c>
    </row>
    <row r="37" spans="1:13">
      <c r="A37" s="174" t="s">
        <v>111</v>
      </c>
      <c r="B37" s="61">
        <f>'Ex post LI &amp; Eligibility Stats'!B13*570/1000</f>
        <v>0.14249999999999999</v>
      </c>
      <c r="C37" s="61">
        <f>'Program MW '!E19</f>
        <v>0</v>
      </c>
      <c r="D37" s="61">
        <f>'Program MW '!F19</f>
        <v>0</v>
      </c>
      <c r="E37" s="61">
        <v>0</v>
      </c>
      <c r="F37" s="61">
        <v>0</v>
      </c>
      <c r="G37" s="61">
        <v>0</v>
      </c>
      <c r="H37" s="61">
        <v>0</v>
      </c>
      <c r="I37" s="61">
        <v>0</v>
      </c>
      <c r="J37" s="61">
        <v>0</v>
      </c>
      <c r="K37" s="61">
        <v>0</v>
      </c>
      <c r="L37" s="61">
        <v>0</v>
      </c>
      <c r="M37" s="61">
        <v>0</v>
      </c>
    </row>
    <row r="38" spans="1:13">
      <c r="A38" s="174" t="s">
        <v>137</v>
      </c>
      <c r="B38" s="61">
        <f>'Ex post LI &amp; Eligibility Stats'!B14*570/1000</f>
        <v>6.8399999999999989E-2</v>
      </c>
      <c r="C38" s="61">
        <f>'Program MW '!E20</f>
        <v>0</v>
      </c>
      <c r="D38" s="61">
        <f>'Program MW '!F20</f>
        <v>0</v>
      </c>
      <c r="E38" s="61">
        <v>0</v>
      </c>
      <c r="F38" s="61">
        <v>0</v>
      </c>
      <c r="G38" s="61">
        <v>0</v>
      </c>
      <c r="H38" s="61">
        <v>0</v>
      </c>
      <c r="I38" s="61">
        <v>0</v>
      </c>
      <c r="J38" s="61">
        <v>0</v>
      </c>
      <c r="K38" s="61">
        <v>0</v>
      </c>
      <c r="L38" s="61">
        <v>0</v>
      </c>
      <c r="M38" s="61">
        <v>0</v>
      </c>
    </row>
    <row r="39" spans="1:13">
      <c r="A39" s="174" t="s">
        <v>138</v>
      </c>
      <c r="B39" s="61">
        <f>'Ex post LI &amp; Eligibility Stats'!B15*1/1000</f>
        <v>6.9500000000000004E-3</v>
      </c>
      <c r="C39" s="61">
        <f>'Ex post LI &amp; Eligibility Stats'!C15*1/1000</f>
        <v>6.9500000000000004E-3</v>
      </c>
      <c r="D39" s="61">
        <f>'Ex post LI &amp; Eligibility Stats'!D15*1/1000</f>
        <v>2.63E-2</v>
      </c>
      <c r="E39" s="61">
        <v>0</v>
      </c>
      <c r="F39" s="61">
        <v>0</v>
      </c>
      <c r="G39" s="61">
        <v>0</v>
      </c>
      <c r="H39" s="61">
        <v>0</v>
      </c>
      <c r="I39" s="61">
        <v>0</v>
      </c>
      <c r="J39" s="61">
        <v>0</v>
      </c>
      <c r="K39" s="61">
        <v>0</v>
      </c>
      <c r="L39" s="61">
        <v>0</v>
      </c>
      <c r="M39" s="61">
        <v>0</v>
      </c>
    </row>
    <row r="40" spans="1:13" s="47" customFormat="1">
      <c r="A40" s="173" t="s">
        <v>112</v>
      </c>
      <c r="B40" s="110">
        <f t="shared" ref="B40:C40" si="13">SUM(B33:B39)</f>
        <v>1.41106</v>
      </c>
      <c r="C40" s="110">
        <f t="shared" si="13"/>
        <v>1.58239</v>
      </c>
      <c r="D40" s="110">
        <f t="shared" ref="D40:M40" si="14">SUM(D33:D39)</f>
        <v>1.0436599999999998</v>
      </c>
      <c r="E40" s="110">
        <f t="shared" si="14"/>
        <v>0.96515999999999991</v>
      </c>
      <c r="F40" s="110">
        <f t="shared" ref="F40" si="15">SUM(F33:F39)</f>
        <v>0.79308000000000001</v>
      </c>
      <c r="G40" s="110">
        <f t="shared" si="14"/>
        <v>0.76895999999999987</v>
      </c>
      <c r="H40" s="110">
        <f t="shared" si="14"/>
        <v>0</v>
      </c>
      <c r="I40" s="110">
        <f t="shared" si="14"/>
        <v>0</v>
      </c>
      <c r="J40" s="110">
        <f t="shared" si="14"/>
        <v>0</v>
      </c>
      <c r="K40" s="110">
        <f t="shared" si="14"/>
        <v>0</v>
      </c>
      <c r="L40" s="110">
        <f t="shared" si="14"/>
        <v>0</v>
      </c>
      <c r="M40" s="110">
        <f t="shared" si="14"/>
        <v>0</v>
      </c>
    </row>
    <row r="41" spans="1:13">
      <c r="C41" s="49"/>
      <c r="D41" s="49"/>
      <c r="E41" s="49"/>
      <c r="F41" s="49"/>
      <c r="G41" s="49"/>
    </row>
    <row r="42" spans="1:13" ht="15">
      <c r="A42" s="268" t="s">
        <v>69</v>
      </c>
      <c r="G42" s="49"/>
    </row>
    <row r="43" spans="1:13" ht="14.25">
      <c r="A43" s="587" t="s">
        <v>141</v>
      </c>
      <c r="B43" s="208"/>
      <c r="C43" s="208"/>
      <c r="D43" s="318"/>
      <c r="E43" s="318"/>
      <c r="F43" s="318"/>
      <c r="G43" s="208"/>
      <c r="H43" s="208"/>
      <c r="I43" s="208"/>
      <c r="J43" s="208"/>
      <c r="K43" s="208"/>
    </row>
    <row r="44" spans="1:13" ht="14.25">
      <c r="A44" s="594"/>
      <c r="B44" s="208"/>
      <c r="C44" s="208"/>
      <c r="D44" s="318"/>
      <c r="E44" s="318"/>
      <c r="F44" s="318"/>
      <c r="G44" s="208"/>
      <c r="H44" s="208"/>
      <c r="I44" s="208"/>
      <c r="J44" s="208"/>
      <c r="K44" s="208"/>
    </row>
    <row r="45" spans="1:13" ht="15">
      <c r="A45" s="269" t="s">
        <v>76</v>
      </c>
    </row>
    <row r="47" spans="1:13" ht="15">
      <c r="A47" s="153" t="s">
        <v>58</v>
      </c>
    </row>
    <row r="49" spans="1:1">
      <c r="A49" s="218"/>
    </row>
  </sheetData>
  <mergeCells count="2">
    <mergeCell ref="B3:M3"/>
    <mergeCell ref="G4:H4"/>
  </mergeCells>
  <printOptions horizontalCentered="1"/>
  <pageMargins left="0" right="0" top="0.55000000000000004" bottom="0.17" header="0.3" footer="0.15"/>
  <pageSetup paperSize="5" scale="69" orientation="landscape" cellComments="atEnd" r:id="rId1"/>
  <headerFooter alignWithMargins="0">
    <oddHeader xml:space="preserve">&amp;C&amp;"Arial,Bold"
</oddHeader>
    <oddFooter>&amp;Rpage 4 of 12
&amp;A
&amp;D &amp;T</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R45"/>
  <sheetViews>
    <sheetView zoomScaleNormal="100" workbookViewId="0">
      <pane xSplit="1" ySplit="10" topLeftCell="F11" activePane="bottomRight" state="frozen"/>
      <selection pane="topRight" activeCell="V16" sqref="V16"/>
      <selection pane="bottomLeft" activeCell="V16" sqref="V16"/>
      <selection pane="bottomRight"/>
    </sheetView>
  </sheetViews>
  <sheetFormatPr defaultRowHeight="12"/>
  <cols>
    <col min="1" max="1" width="84.28515625" style="293" customWidth="1"/>
    <col min="2" max="3" width="12.7109375" style="293" customWidth="1"/>
    <col min="4" max="4" width="9.42578125" style="293" bestFit="1" customWidth="1"/>
    <col min="5" max="10" width="12.7109375" style="293" customWidth="1"/>
    <col min="11" max="11" width="10.7109375" style="293" customWidth="1"/>
    <col min="12" max="13" width="12.7109375" style="293" customWidth="1"/>
    <col min="14" max="14" width="17.28515625" style="293" customWidth="1"/>
    <col min="15" max="15" width="11.7109375" style="293" customWidth="1"/>
    <col min="16" max="16" width="13.28515625" style="293" hidden="1" customWidth="1"/>
    <col min="17" max="17" width="11.7109375" style="293" customWidth="1"/>
    <col min="18" max="256" width="9.28515625" style="293"/>
    <col min="257" max="257" width="70" style="293" customWidth="1"/>
    <col min="258" max="269" width="12.7109375" style="293" customWidth="1"/>
    <col min="270" max="270" width="11" style="293" customWidth="1"/>
    <col min="271" max="271" width="0" style="293" hidden="1" customWidth="1"/>
    <col min="272" max="273" width="11.7109375" style="293" customWidth="1"/>
    <col min="274" max="512" width="9.28515625" style="293"/>
    <col min="513" max="513" width="70" style="293" customWidth="1"/>
    <col min="514" max="525" width="12.7109375" style="293" customWidth="1"/>
    <col min="526" max="526" width="11" style="293" customWidth="1"/>
    <col min="527" max="527" width="0" style="293" hidden="1" customWidth="1"/>
    <col min="528" max="529" width="11.7109375" style="293" customWidth="1"/>
    <col min="530" max="768" width="9.28515625" style="293"/>
    <col min="769" max="769" width="70" style="293" customWidth="1"/>
    <col min="770" max="781" width="12.7109375" style="293" customWidth="1"/>
    <col min="782" max="782" width="11" style="293" customWidth="1"/>
    <col min="783" max="783" width="0" style="293" hidden="1" customWidth="1"/>
    <col min="784" max="785" width="11.7109375" style="293" customWidth="1"/>
    <col min="786" max="1024" width="9.28515625" style="293"/>
    <col min="1025" max="1025" width="70" style="293" customWidth="1"/>
    <col min="1026" max="1037" width="12.7109375" style="293" customWidth="1"/>
    <col min="1038" max="1038" width="11" style="293" customWidth="1"/>
    <col min="1039" max="1039" width="0" style="293" hidden="1" customWidth="1"/>
    <col min="1040" max="1041" width="11.7109375" style="293" customWidth="1"/>
    <col min="1042" max="1280" width="9.28515625" style="293"/>
    <col min="1281" max="1281" width="70" style="293" customWidth="1"/>
    <col min="1282" max="1293" width="12.7109375" style="293" customWidth="1"/>
    <col min="1294" max="1294" width="11" style="293" customWidth="1"/>
    <col min="1295" max="1295" width="0" style="293" hidden="1" customWidth="1"/>
    <col min="1296" max="1297" width="11.7109375" style="293" customWidth="1"/>
    <col min="1298" max="1536" width="9.28515625" style="293"/>
    <col min="1537" max="1537" width="70" style="293" customWidth="1"/>
    <col min="1538" max="1549" width="12.7109375" style="293" customWidth="1"/>
    <col min="1550" max="1550" width="11" style="293" customWidth="1"/>
    <col min="1551" max="1551" width="0" style="293" hidden="1" customWidth="1"/>
    <col min="1552" max="1553" width="11.7109375" style="293" customWidth="1"/>
    <col min="1554" max="1792" width="9.28515625" style="293"/>
    <col min="1793" max="1793" width="70" style="293" customWidth="1"/>
    <col min="1794" max="1805" width="12.7109375" style="293" customWidth="1"/>
    <col min="1806" max="1806" width="11" style="293" customWidth="1"/>
    <col min="1807" max="1807" width="0" style="293" hidden="1" customWidth="1"/>
    <col min="1808" max="1809" width="11.7109375" style="293" customWidth="1"/>
    <col min="1810" max="2048" width="9.28515625" style="293"/>
    <col min="2049" max="2049" width="70" style="293" customWidth="1"/>
    <col min="2050" max="2061" width="12.7109375" style="293" customWidth="1"/>
    <col min="2062" max="2062" width="11" style="293" customWidth="1"/>
    <col min="2063" max="2063" width="0" style="293" hidden="1" customWidth="1"/>
    <col min="2064" max="2065" width="11.7109375" style="293" customWidth="1"/>
    <col min="2066" max="2304" width="9.28515625" style="293"/>
    <col min="2305" max="2305" width="70" style="293" customWidth="1"/>
    <col min="2306" max="2317" width="12.7109375" style="293" customWidth="1"/>
    <col min="2318" max="2318" width="11" style="293" customWidth="1"/>
    <col min="2319" max="2319" width="0" style="293" hidden="1" customWidth="1"/>
    <col min="2320" max="2321" width="11.7109375" style="293" customWidth="1"/>
    <col min="2322" max="2560" width="9.28515625" style="293"/>
    <col min="2561" max="2561" width="70" style="293" customWidth="1"/>
    <col min="2562" max="2573" width="12.7109375" style="293" customWidth="1"/>
    <col min="2574" max="2574" width="11" style="293" customWidth="1"/>
    <col min="2575" max="2575" width="0" style="293" hidden="1" customWidth="1"/>
    <col min="2576" max="2577" width="11.7109375" style="293" customWidth="1"/>
    <col min="2578" max="2816" width="9.28515625" style="293"/>
    <col min="2817" max="2817" width="70" style="293" customWidth="1"/>
    <col min="2818" max="2829" width="12.7109375" style="293" customWidth="1"/>
    <col min="2830" max="2830" width="11" style="293" customWidth="1"/>
    <col min="2831" max="2831" width="0" style="293" hidden="1" customWidth="1"/>
    <col min="2832" max="2833" width="11.7109375" style="293" customWidth="1"/>
    <col min="2834" max="3072" width="9.28515625" style="293"/>
    <col min="3073" max="3073" width="70" style="293" customWidth="1"/>
    <col min="3074" max="3085" width="12.7109375" style="293" customWidth="1"/>
    <col min="3086" max="3086" width="11" style="293" customWidth="1"/>
    <col min="3087" max="3087" width="0" style="293" hidden="1" customWidth="1"/>
    <col min="3088" max="3089" width="11.7109375" style="293" customWidth="1"/>
    <col min="3090" max="3328" width="9.28515625" style="293"/>
    <col min="3329" max="3329" width="70" style="293" customWidth="1"/>
    <col min="3330" max="3341" width="12.7109375" style="293" customWidth="1"/>
    <col min="3342" max="3342" width="11" style="293" customWidth="1"/>
    <col min="3343" max="3343" width="0" style="293" hidden="1" customWidth="1"/>
    <col min="3344" max="3345" width="11.7109375" style="293" customWidth="1"/>
    <col min="3346" max="3584" width="9.28515625" style="293"/>
    <col min="3585" max="3585" width="70" style="293" customWidth="1"/>
    <col min="3586" max="3597" width="12.7109375" style="293" customWidth="1"/>
    <col min="3598" max="3598" width="11" style="293" customWidth="1"/>
    <col min="3599" max="3599" width="0" style="293" hidden="1" customWidth="1"/>
    <col min="3600" max="3601" width="11.7109375" style="293" customWidth="1"/>
    <col min="3602" max="3840" width="9.28515625" style="293"/>
    <col min="3841" max="3841" width="70" style="293" customWidth="1"/>
    <col min="3842" max="3853" width="12.7109375" style="293" customWidth="1"/>
    <col min="3854" max="3854" width="11" style="293" customWidth="1"/>
    <col min="3855" max="3855" width="0" style="293" hidden="1" customWidth="1"/>
    <col min="3856" max="3857" width="11.7109375" style="293" customWidth="1"/>
    <col min="3858" max="4096" width="9.28515625" style="293"/>
    <col min="4097" max="4097" width="70" style="293" customWidth="1"/>
    <col min="4098" max="4109" width="12.7109375" style="293" customWidth="1"/>
    <col min="4110" max="4110" width="11" style="293" customWidth="1"/>
    <col min="4111" max="4111" width="0" style="293" hidden="1" customWidth="1"/>
    <col min="4112" max="4113" width="11.7109375" style="293" customWidth="1"/>
    <col min="4114" max="4352" width="9.28515625" style="293"/>
    <col min="4353" max="4353" width="70" style="293" customWidth="1"/>
    <col min="4354" max="4365" width="12.7109375" style="293" customWidth="1"/>
    <col min="4366" max="4366" width="11" style="293" customWidth="1"/>
    <col min="4367" max="4367" width="0" style="293" hidden="1" customWidth="1"/>
    <col min="4368" max="4369" width="11.7109375" style="293" customWidth="1"/>
    <col min="4370" max="4608" width="9.28515625" style="293"/>
    <col min="4609" max="4609" width="70" style="293" customWidth="1"/>
    <col min="4610" max="4621" width="12.7109375" style="293" customWidth="1"/>
    <col min="4622" max="4622" width="11" style="293" customWidth="1"/>
    <col min="4623" max="4623" width="0" style="293" hidden="1" customWidth="1"/>
    <col min="4624" max="4625" width="11.7109375" style="293" customWidth="1"/>
    <col min="4626" max="4864" width="9.28515625" style="293"/>
    <col min="4865" max="4865" width="70" style="293" customWidth="1"/>
    <col min="4866" max="4877" width="12.7109375" style="293" customWidth="1"/>
    <col min="4878" max="4878" width="11" style="293" customWidth="1"/>
    <col min="4879" max="4879" width="0" style="293" hidden="1" customWidth="1"/>
    <col min="4880" max="4881" width="11.7109375" style="293" customWidth="1"/>
    <col min="4882" max="5120" width="9.28515625" style="293"/>
    <col min="5121" max="5121" width="70" style="293" customWidth="1"/>
    <col min="5122" max="5133" width="12.7109375" style="293" customWidth="1"/>
    <col min="5134" max="5134" width="11" style="293" customWidth="1"/>
    <col min="5135" max="5135" width="0" style="293" hidden="1" customWidth="1"/>
    <col min="5136" max="5137" width="11.7109375" style="293" customWidth="1"/>
    <col min="5138" max="5376" width="9.28515625" style="293"/>
    <col min="5377" max="5377" width="70" style="293" customWidth="1"/>
    <col min="5378" max="5389" width="12.7109375" style="293" customWidth="1"/>
    <col min="5390" max="5390" width="11" style="293" customWidth="1"/>
    <col min="5391" max="5391" width="0" style="293" hidden="1" customWidth="1"/>
    <col min="5392" max="5393" width="11.7109375" style="293" customWidth="1"/>
    <col min="5394" max="5632" width="9.28515625" style="293"/>
    <col min="5633" max="5633" width="70" style="293" customWidth="1"/>
    <col min="5634" max="5645" width="12.7109375" style="293" customWidth="1"/>
    <col min="5646" max="5646" width="11" style="293" customWidth="1"/>
    <col min="5647" max="5647" width="0" style="293" hidden="1" customWidth="1"/>
    <col min="5648" max="5649" width="11.7109375" style="293" customWidth="1"/>
    <col min="5650" max="5888" width="9.28515625" style="293"/>
    <col min="5889" max="5889" width="70" style="293" customWidth="1"/>
    <col min="5890" max="5901" width="12.7109375" style="293" customWidth="1"/>
    <col min="5902" max="5902" width="11" style="293" customWidth="1"/>
    <col min="5903" max="5903" width="0" style="293" hidden="1" customWidth="1"/>
    <col min="5904" max="5905" width="11.7109375" style="293" customWidth="1"/>
    <col min="5906" max="6144" width="9.28515625" style="293"/>
    <col min="6145" max="6145" width="70" style="293" customWidth="1"/>
    <col min="6146" max="6157" width="12.7109375" style="293" customWidth="1"/>
    <col min="6158" max="6158" width="11" style="293" customWidth="1"/>
    <col min="6159" max="6159" width="0" style="293" hidden="1" customWidth="1"/>
    <col min="6160" max="6161" width="11.7109375" style="293" customWidth="1"/>
    <col min="6162" max="6400" width="9.28515625" style="293"/>
    <col min="6401" max="6401" width="70" style="293" customWidth="1"/>
    <col min="6402" max="6413" width="12.7109375" style="293" customWidth="1"/>
    <col min="6414" max="6414" width="11" style="293" customWidth="1"/>
    <col min="6415" max="6415" width="0" style="293" hidden="1" customWidth="1"/>
    <col min="6416" max="6417" width="11.7109375" style="293" customWidth="1"/>
    <col min="6418" max="6656" width="9.28515625" style="293"/>
    <col min="6657" max="6657" width="70" style="293" customWidth="1"/>
    <col min="6658" max="6669" width="12.7109375" style="293" customWidth="1"/>
    <col min="6670" max="6670" width="11" style="293" customWidth="1"/>
    <col min="6671" max="6671" width="0" style="293" hidden="1" customWidth="1"/>
    <col min="6672" max="6673" width="11.7109375" style="293" customWidth="1"/>
    <col min="6674" max="6912" width="9.28515625" style="293"/>
    <col min="6913" max="6913" width="70" style="293" customWidth="1"/>
    <col min="6914" max="6925" width="12.7109375" style="293" customWidth="1"/>
    <col min="6926" max="6926" width="11" style="293" customWidth="1"/>
    <col min="6927" max="6927" width="0" style="293" hidden="1" customWidth="1"/>
    <col min="6928" max="6929" width="11.7109375" style="293" customWidth="1"/>
    <col min="6930" max="7168" width="9.28515625" style="293"/>
    <col min="7169" max="7169" width="70" style="293" customWidth="1"/>
    <col min="7170" max="7181" width="12.7109375" style="293" customWidth="1"/>
    <col min="7182" max="7182" width="11" style="293" customWidth="1"/>
    <col min="7183" max="7183" width="0" style="293" hidden="1" customWidth="1"/>
    <col min="7184" max="7185" width="11.7109375" style="293" customWidth="1"/>
    <col min="7186" max="7424" width="9.28515625" style="293"/>
    <col min="7425" max="7425" width="70" style="293" customWidth="1"/>
    <col min="7426" max="7437" width="12.7109375" style="293" customWidth="1"/>
    <col min="7438" max="7438" width="11" style="293" customWidth="1"/>
    <col min="7439" max="7439" width="0" style="293" hidden="1" customWidth="1"/>
    <col min="7440" max="7441" width="11.7109375" style="293" customWidth="1"/>
    <col min="7442" max="7680" width="9.28515625" style="293"/>
    <col min="7681" max="7681" width="70" style="293" customWidth="1"/>
    <col min="7682" max="7693" width="12.7109375" style="293" customWidth="1"/>
    <col min="7694" max="7694" width="11" style="293" customWidth="1"/>
    <col min="7695" max="7695" width="0" style="293" hidden="1" customWidth="1"/>
    <col min="7696" max="7697" width="11.7109375" style="293" customWidth="1"/>
    <col min="7698" max="7936" width="9.28515625" style="293"/>
    <col min="7937" max="7937" width="70" style="293" customWidth="1"/>
    <col min="7938" max="7949" width="12.7109375" style="293" customWidth="1"/>
    <col min="7950" max="7950" width="11" style="293" customWidth="1"/>
    <col min="7951" max="7951" width="0" style="293" hidden="1" customWidth="1"/>
    <col min="7952" max="7953" width="11.7109375" style="293" customWidth="1"/>
    <col min="7954" max="8192" width="9.28515625" style="293"/>
    <col min="8193" max="8193" width="70" style="293" customWidth="1"/>
    <col min="8194" max="8205" width="12.7109375" style="293" customWidth="1"/>
    <col min="8206" max="8206" width="11" style="293" customWidth="1"/>
    <col min="8207" max="8207" width="0" style="293" hidden="1" customWidth="1"/>
    <col min="8208" max="8209" width="11.7109375" style="293" customWidth="1"/>
    <col min="8210" max="8448" width="9.28515625" style="293"/>
    <col min="8449" max="8449" width="70" style="293" customWidth="1"/>
    <col min="8450" max="8461" width="12.7109375" style="293" customWidth="1"/>
    <col min="8462" max="8462" width="11" style="293" customWidth="1"/>
    <col min="8463" max="8463" width="0" style="293" hidden="1" customWidth="1"/>
    <col min="8464" max="8465" width="11.7109375" style="293" customWidth="1"/>
    <col min="8466" max="8704" width="9.28515625" style="293"/>
    <col min="8705" max="8705" width="70" style="293" customWidth="1"/>
    <col min="8706" max="8717" width="12.7109375" style="293" customWidth="1"/>
    <col min="8718" max="8718" width="11" style="293" customWidth="1"/>
    <col min="8719" max="8719" width="0" style="293" hidden="1" customWidth="1"/>
    <col min="8720" max="8721" width="11.7109375" style="293" customWidth="1"/>
    <col min="8722" max="8960" width="9.28515625" style="293"/>
    <col min="8961" max="8961" width="70" style="293" customWidth="1"/>
    <col min="8962" max="8973" width="12.7109375" style="293" customWidth="1"/>
    <col min="8974" max="8974" width="11" style="293" customWidth="1"/>
    <col min="8975" max="8975" width="0" style="293" hidden="1" customWidth="1"/>
    <col min="8976" max="8977" width="11.7109375" style="293" customWidth="1"/>
    <col min="8978" max="9216" width="9.28515625" style="293"/>
    <col min="9217" max="9217" width="70" style="293" customWidth="1"/>
    <col min="9218" max="9229" width="12.7109375" style="293" customWidth="1"/>
    <col min="9230" max="9230" width="11" style="293" customWidth="1"/>
    <col min="9231" max="9231" width="0" style="293" hidden="1" customWidth="1"/>
    <col min="9232" max="9233" width="11.7109375" style="293" customWidth="1"/>
    <col min="9234" max="9472" width="9.28515625" style="293"/>
    <col min="9473" max="9473" width="70" style="293" customWidth="1"/>
    <col min="9474" max="9485" width="12.7109375" style="293" customWidth="1"/>
    <col min="9486" max="9486" width="11" style="293" customWidth="1"/>
    <col min="9487" max="9487" width="0" style="293" hidden="1" customWidth="1"/>
    <col min="9488" max="9489" width="11.7109375" style="293" customWidth="1"/>
    <col min="9490" max="9728" width="9.28515625" style="293"/>
    <col min="9729" max="9729" width="70" style="293" customWidth="1"/>
    <col min="9730" max="9741" width="12.7109375" style="293" customWidth="1"/>
    <col min="9742" max="9742" width="11" style="293" customWidth="1"/>
    <col min="9743" max="9743" width="0" style="293" hidden="1" customWidth="1"/>
    <col min="9744" max="9745" width="11.7109375" style="293" customWidth="1"/>
    <col min="9746" max="9984" width="9.28515625" style="293"/>
    <col min="9985" max="9985" width="70" style="293" customWidth="1"/>
    <col min="9986" max="9997" width="12.7109375" style="293" customWidth="1"/>
    <col min="9998" max="9998" width="11" style="293" customWidth="1"/>
    <col min="9999" max="9999" width="0" style="293" hidden="1" customWidth="1"/>
    <col min="10000" max="10001" width="11.7109375" style="293" customWidth="1"/>
    <col min="10002" max="10240" width="9.28515625" style="293"/>
    <col min="10241" max="10241" width="70" style="293" customWidth="1"/>
    <col min="10242" max="10253" width="12.7109375" style="293" customWidth="1"/>
    <col min="10254" max="10254" width="11" style="293" customWidth="1"/>
    <col min="10255" max="10255" width="0" style="293" hidden="1" customWidth="1"/>
    <col min="10256" max="10257" width="11.7109375" style="293" customWidth="1"/>
    <col min="10258" max="10496" width="9.28515625" style="293"/>
    <col min="10497" max="10497" width="70" style="293" customWidth="1"/>
    <col min="10498" max="10509" width="12.7109375" style="293" customWidth="1"/>
    <col min="10510" max="10510" width="11" style="293" customWidth="1"/>
    <col min="10511" max="10511" width="0" style="293" hidden="1" customWidth="1"/>
    <col min="10512" max="10513" width="11.7109375" style="293" customWidth="1"/>
    <col min="10514" max="10752" width="9.28515625" style="293"/>
    <col min="10753" max="10753" width="70" style="293" customWidth="1"/>
    <col min="10754" max="10765" width="12.7109375" style="293" customWidth="1"/>
    <col min="10766" max="10766" width="11" style="293" customWidth="1"/>
    <col min="10767" max="10767" width="0" style="293" hidden="1" customWidth="1"/>
    <col min="10768" max="10769" width="11.7109375" style="293" customWidth="1"/>
    <col min="10770" max="11008" width="9.28515625" style="293"/>
    <col min="11009" max="11009" width="70" style="293" customWidth="1"/>
    <col min="11010" max="11021" width="12.7109375" style="293" customWidth="1"/>
    <col min="11022" max="11022" width="11" style="293" customWidth="1"/>
    <col min="11023" max="11023" width="0" style="293" hidden="1" customWidth="1"/>
    <col min="11024" max="11025" width="11.7109375" style="293" customWidth="1"/>
    <col min="11026" max="11264" width="9.28515625" style="293"/>
    <col min="11265" max="11265" width="70" style="293" customWidth="1"/>
    <col min="11266" max="11277" width="12.7109375" style="293" customWidth="1"/>
    <col min="11278" max="11278" width="11" style="293" customWidth="1"/>
    <col min="11279" max="11279" width="0" style="293" hidden="1" customWidth="1"/>
    <col min="11280" max="11281" width="11.7109375" style="293" customWidth="1"/>
    <col min="11282" max="11520" width="9.28515625" style="293"/>
    <col min="11521" max="11521" width="70" style="293" customWidth="1"/>
    <col min="11522" max="11533" width="12.7109375" style="293" customWidth="1"/>
    <col min="11534" max="11534" width="11" style="293" customWidth="1"/>
    <col min="11535" max="11535" width="0" style="293" hidden="1" customWidth="1"/>
    <col min="11536" max="11537" width="11.7109375" style="293" customWidth="1"/>
    <col min="11538" max="11776" width="9.28515625" style="293"/>
    <col min="11777" max="11777" width="70" style="293" customWidth="1"/>
    <col min="11778" max="11789" width="12.7109375" style="293" customWidth="1"/>
    <col min="11790" max="11790" width="11" style="293" customWidth="1"/>
    <col min="11791" max="11791" width="0" style="293" hidden="1" customWidth="1"/>
    <col min="11792" max="11793" width="11.7109375" style="293" customWidth="1"/>
    <col min="11794" max="12032" width="9.28515625" style="293"/>
    <col min="12033" max="12033" width="70" style="293" customWidth="1"/>
    <col min="12034" max="12045" width="12.7109375" style="293" customWidth="1"/>
    <col min="12046" max="12046" width="11" style="293" customWidth="1"/>
    <col min="12047" max="12047" width="0" style="293" hidden="1" customWidth="1"/>
    <col min="12048" max="12049" width="11.7109375" style="293" customWidth="1"/>
    <col min="12050" max="12288" width="9.28515625" style="293"/>
    <col min="12289" max="12289" width="70" style="293" customWidth="1"/>
    <col min="12290" max="12301" width="12.7109375" style="293" customWidth="1"/>
    <col min="12302" max="12302" width="11" style="293" customWidth="1"/>
    <col min="12303" max="12303" width="0" style="293" hidden="1" customWidth="1"/>
    <col min="12304" max="12305" width="11.7109375" style="293" customWidth="1"/>
    <col min="12306" max="12544" width="9.28515625" style="293"/>
    <col min="12545" max="12545" width="70" style="293" customWidth="1"/>
    <col min="12546" max="12557" width="12.7109375" style="293" customWidth="1"/>
    <col min="12558" max="12558" width="11" style="293" customWidth="1"/>
    <col min="12559" max="12559" width="0" style="293" hidden="1" customWidth="1"/>
    <col min="12560" max="12561" width="11.7109375" style="293" customWidth="1"/>
    <col min="12562" max="12800" width="9.28515625" style="293"/>
    <col min="12801" max="12801" width="70" style="293" customWidth="1"/>
    <col min="12802" max="12813" width="12.7109375" style="293" customWidth="1"/>
    <col min="12814" max="12814" width="11" style="293" customWidth="1"/>
    <col min="12815" max="12815" width="0" style="293" hidden="1" customWidth="1"/>
    <col min="12816" max="12817" width="11.7109375" style="293" customWidth="1"/>
    <col min="12818" max="13056" width="9.28515625" style="293"/>
    <col min="13057" max="13057" width="70" style="293" customWidth="1"/>
    <col min="13058" max="13069" width="12.7109375" style="293" customWidth="1"/>
    <col min="13070" max="13070" width="11" style="293" customWidth="1"/>
    <col min="13071" max="13071" width="0" style="293" hidden="1" customWidth="1"/>
    <col min="13072" max="13073" width="11.7109375" style="293" customWidth="1"/>
    <col min="13074" max="13312" width="9.28515625" style="293"/>
    <col min="13313" max="13313" width="70" style="293" customWidth="1"/>
    <col min="13314" max="13325" width="12.7109375" style="293" customWidth="1"/>
    <col min="13326" max="13326" width="11" style="293" customWidth="1"/>
    <col min="13327" max="13327" width="0" style="293" hidden="1" customWidth="1"/>
    <col min="13328" max="13329" width="11.7109375" style="293" customWidth="1"/>
    <col min="13330" max="13568" width="9.28515625" style="293"/>
    <col min="13569" max="13569" width="70" style="293" customWidth="1"/>
    <col min="13570" max="13581" width="12.7109375" style="293" customWidth="1"/>
    <col min="13582" max="13582" width="11" style="293" customWidth="1"/>
    <col min="13583" max="13583" width="0" style="293" hidden="1" customWidth="1"/>
    <col min="13584" max="13585" width="11.7109375" style="293" customWidth="1"/>
    <col min="13586" max="13824" width="9.28515625" style="293"/>
    <col min="13825" max="13825" width="70" style="293" customWidth="1"/>
    <col min="13826" max="13837" width="12.7109375" style="293" customWidth="1"/>
    <col min="13838" max="13838" width="11" style="293" customWidth="1"/>
    <col min="13839" max="13839" width="0" style="293" hidden="1" customWidth="1"/>
    <col min="13840" max="13841" width="11.7109375" style="293" customWidth="1"/>
    <col min="13842" max="14080" width="9.28515625" style="293"/>
    <col min="14081" max="14081" width="70" style="293" customWidth="1"/>
    <col min="14082" max="14093" width="12.7109375" style="293" customWidth="1"/>
    <col min="14094" max="14094" width="11" style="293" customWidth="1"/>
    <col min="14095" max="14095" width="0" style="293" hidden="1" customWidth="1"/>
    <col min="14096" max="14097" width="11.7109375" style="293" customWidth="1"/>
    <col min="14098" max="14336" width="9.28515625" style="293"/>
    <col min="14337" max="14337" width="70" style="293" customWidth="1"/>
    <col min="14338" max="14349" width="12.7109375" style="293" customWidth="1"/>
    <col min="14350" max="14350" width="11" style="293" customWidth="1"/>
    <col min="14351" max="14351" width="0" style="293" hidden="1" customWidth="1"/>
    <col min="14352" max="14353" width="11.7109375" style="293" customWidth="1"/>
    <col min="14354" max="14592" width="9.28515625" style="293"/>
    <col min="14593" max="14593" width="70" style="293" customWidth="1"/>
    <col min="14594" max="14605" width="12.7109375" style="293" customWidth="1"/>
    <col min="14606" max="14606" width="11" style="293" customWidth="1"/>
    <col min="14607" max="14607" width="0" style="293" hidden="1" customWidth="1"/>
    <col min="14608" max="14609" width="11.7109375" style="293" customWidth="1"/>
    <col min="14610" max="14848" width="9.28515625" style="293"/>
    <col min="14849" max="14849" width="70" style="293" customWidth="1"/>
    <col min="14850" max="14861" width="12.7109375" style="293" customWidth="1"/>
    <col min="14862" max="14862" width="11" style="293" customWidth="1"/>
    <col min="14863" max="14863" width="0" style="293" hidden="1" customWidth="1"/>
    <col min="14864" max="14865" width="11.7109375" style="293" customWidth="1"/>
    <col min="14866" max="15104" width="9.28515625" style="293"/>
    <col min="15105" max="15105" width="70" style="293" customWidth="1"/>
    <col min="15106" max="15117" width="12.7109375" style="293" customWidth="1"/>
    <col min="15118" max="15118" width="11" style="293" customWidth="1"/>
    <col min="15119" max="15119" width="0" style="293" hidden="1" customWidth="1"/>
    <col min="15120" max="15121" width="11.7109375" style="293" customWidth="1"/>
    <col min="15122" max="15360" width="9.28515625" style="293"/>
    <col min="15361" max="15361" width="70" style="293" customWidth="1"/>
    <col min="15362" max="15373" width="12.7109375" style="293" customWidth="1"/>
    <col min="15374" max="15374" width="11" style="293" customWidth="1"/>
    <col min="15375" max="15375" width="0" style="293" hidden="1" customWidth="1"/>
    <col min="15376" max="15377" width="11.7109375" style="293" customWidth="1"/>
    <col min="15378" max="15616" width="9.28515625" style="293"/>
    <col min="15617" max="15617" width="70" style="293" customWidth="1"/>
    <col min="15618" max="15629" width="12.7109375" style="293" customWidth="1"/>
    <col min="15630" max="15630" width="11" style="293" customWidth="1"/>
    <col min="15631" max="15631" width="0" style="293" hidden="1" customWidth="1"/>
    <col min="15632" max="15633" width="11.7109375" style="293" customWidth="1"/>
    <col min="15634" max="15872" width="9.28515625" style="293"/>
    <col min="15873" max="15873" width="70" style="293" customWidth="1"/>
    <col min="15874" max="15885" width="12.7109375" style="293" customWidth="1"/>
    <col min="15886" max="15886" width="11" style="293" customWidth="1"/>
    <col min="15887" max="15887" width="0" style="293" hidden="1" customWidth="1"/>
    <col min="15888" max="15889" width="11.7109375" style="293" customWidth="1"/>
    <col min="15890" max="16128" width="9.28515625" style="293"/>
    <col min="16129" max="16129" width="70" style="293" customWidth="1"/>
    <col min="16130" max="16141" width="12.7109375" style="293" customWidth="1"/>
    <col min="16142" max="16142" width="11" style="293" customWidth="1"/>
    <col min="16143" max="16143" width="0" style="293" hidden="1" customWidth="1"/>
    <col min="16144" max="16145" width="11.7109375" style="293" customWidth="1"/>
    <col min="16146" max="16384" width="9.28515625" style="293"/>
  </cols>
  <sheetData>
    <row r="1" spans="1:17" ht="13.5" customHeight="1">
      <c r="L1" s="294"/>
      <c r="O1" s="294"/>
      <c r="P1" s="294"/>
      <c r="Q1" s="294"/>
    </row>
    <row r="2" spans="1:17" ht="13.5" customHeight="1">
      <c r="C2" s="450" t="s">
        <v>39</v>
      </c>
      <c r="L2" s="294"/>
      <c r="O2" s="294"/>
      <c r="P2" s="294"/>
      <c r="Q2" s="294"/>
    </row>
    <row r="3" spans="1:17" ht="13.5" customHeight="1">
      <c r="C3" s="450" t="s">
        <v>144</v>
      </c>
      <c r="F3" s="295"/>
      <c r="G3" s="295"/>
      <c r="H3" s="295"/>
      <c r="I3" s="295"/>
      <c r="L3" s="294"/>
      <c r="O3" s="294"/>
      <c r="P3" s="294"/>
      <c r="Q3" s="294"/>
    </row>
    <row r="4" spans="1:17" ht="13.5" customHeight="1">
      <c r="B4" s="295"/>
      <c r="C4" s="451" t="str">
        <f>'Program MW '!H3</f>
        <v>June 2020</v>
      </c>
      <c r="D4" s="295"/>
      <c r="L4" s="294"/>
      <c r="O4" s="294"/>
      <c r="P4" s="294"/>
      <c r="Q4" s="294"/>
    </row>
    <row r="5" spans="1:17" ht="13.5" customHeight="1">
      <c r="L5" s="294"/>
      <c r="O5" s="294"/>
      <c r="P5" s="294"/>
      <c r="Q5" s="294"/>
    </row>
    <row r="6" spans="1:17" s="307" customFormat="1" ht="13.5" customHeight="1"/>
    <row r="7" spans="1:17" s="307" customFormat="1" ht="18" customHeight="1">
      <c r="A7" s="352"/>
      <c r="B7" s="452" t="s">
        <v>145</v>
      </c>
      <c r="C7" s="352"/>
      <c r="D7" s="352"/>
      <c r="E7" s="352"/>
      <c r="F7" s="352"/>
      <c r="G7" s="352"/>
      <c r="H7" s="352"/>
      <c r="I7" s="352"/>
      <c r="J7" s="352"/>
      <c r="K7" s="352"/>
      <c r="L7" s="352"/>
      <c r="M7" s="353"/>
      <c r="N7" s="686" t="s">
        <v>146</v>
      </c>
      <c r="O7" s="684" t="s">
        <v>147</v>
      </c>
      <c r="P7" s="308"/>
      <c r="Q7" s="686" t="s">
        <v>148</v>
      </c>
    </row>
    <row r="8" spans="1:17" s="307" customFormat="1" ht="39" customHeight="1">
      <c r="A8" s="433"/>
      <c r="B8" s="454" t="s">
        <v>42</v>
      </c>
      <c r="C8" s="455" t="s">
        <v>43</v>
      </c>
      <c r="D8" s="455" t="s">
        <v>44</v>
      </c>
      <c r="E8" s="455" t="s">
        <v>45</v>
      </c>
      <c r="F8" s="455" t="s">
        <v>31</v>
      </c>
      <c r="G8" s="455" t="s">
        <v>46</v>
      </c>
      <c r="H8" s="455" t="s">
        <v>61</v>
      </c>
      <c r="I8" s="455" t="s">
        <v>78</v>
      </c>
      <c r="J8" s="455" t="s">
        <v>79</v>
      </c>
      <c r="K8" s="516" t="s">
        <v>149</v>
      </c>
      <c r="L8" s="455" t="s">
        <v>80</v>
      </c>
      <c r="M8" s="456" t="s">
        <v>66</v>
      </c>
      <c r="N8" s="687"/>
      <c r="O8" s="685"/>
      <c r="P8" s="309" t="s">
        <v>150</v>
      </c>
      <c r="Q8" s="687"/>
    </row>
    <row r="9" spans="1:17" s="307" customFormat="1" ht="15.75">
      <c r="A9" s="478" t="s">
        <v>151</v>
      </c>
      <c r="B9" s="431"/>
      <c r="N9" s="366"/>
      <c r="Q9" s="319"/>
    </row>
    <row r="10" spans="1:17" s="307" customFormat="1" ht="12.75">
      <c r="A10" s="474" t="s">
        <v>152</v>
      </c>
      <c r="B10" s="431"/>
      <c r="C10" s="431"/>
      <c r="D10" s="431"/>
      <c r="E10" s="431"/>
      <c r="F10" s="431"/>
      <c r="G10" s="431"/>
      <c r="H10" s="431"/>
      <c r="I10" s="431"/>
      <c r="J10" s="431"/>
      <c r="K10" s="431"/>
      <c r="L10" s="431"/>
      <c r="M10" s="431"/>
      <c r="N10" s="367"/>
      <c r="O10" s="430"/>
      <c r="P10" s="311"/>
      <c r="Q10" s="320"/>
    </row>
    <row r="11" spans="1:17" s="307" customFormat="1" ht="12.75">
      <c r="A11" s="475" t="s">
        <v>153</v>
      </c>
      <c r="B11" s="460">
        <v>14260.61</v>
      </c>
      <c r="C11" s="460">
        <v>38618.559999999998</v>
      </c>
      <c r="D11" s="460">
        <v>65925.58</v>
      </c>
      <c r="E11" s="460">
        <v>60546.049999999996</v>
      </c>
      <c r="F11" s="460">
        <v>28183</v>
      </c>
      <c r="G11" s="460">
        <v>27409.63</v>
      </c>
      <c r="H11" s="460">
        <v>0</v>
      </c>
      <c r="I11" s="460">
        <v>0</v>
      </c>
      <c r="J11" s="460">
        <v>0</v>
      </c>
      <c r="K11" s="460">
        <v>0</v>
      </c>
      <c r="L11" s="460">
        <v>0</v>
      </c>
      <c r="M11" s="461">
        <v>0</v>
      </c>
      <c r="N11" s="469">
        <f>SUM(B11:M11)</f>
        <v>234943.43</v>
      </c>
      <c r="O11" s="530">
        <f>1138457.01+N11</f>
        <v>1373400.44</v>
      </c>
      <c r="P11" s="514"/>
      <c r="Q11" s="473">
        <f>857842+424005+425005</f>
        <v>1706852</v>
      </c>
    </row>
    <row r="12" spans="1:17" s="307" customFormat="1" ht="12.75">
      <c r="A12" s="475" t="s">
        <v>154</v>
      </c>
      <c r="B12" s="460">
        <v>0</v>
      </c>
      <c r="C12" s="460">
        <v>0</v>
      </c>
      <c r="D12" s="460">
        <v>0</v>
      </c>
      <c r="E12" s="460">
        <v>105.33</v>
      </c>
      <c r="F12" s="460">
        <v>47.64</v>
      </c>
      <c r="G12" s="460">
        <v>1049.6499999999999</v>
      </c>
      <c r="H12" s="460">
        <v>0</v>
      </c>
      <c r="I12" s="460">
        <v>0</v>
      </c>
      <c r="J12" s="460">
        <v>0</v>
      </c>
      <c r="K12" s="460">
        <v>0</v>
      </c>
      <c r="L12" s="460">
        <v>0</v>
      </c>
      <c r="M12" s="461">
        <v>0</v>
      </c>
      <c r="N12" s="470">
        <f t="shared" ref="N12:N22" si="0">SUM(B12:M12)</f>
        <v>1202.6199999999999</v>
      </c>
      <c r="O12" s="461">
        <f>17287.65+N12</f>
        <v>18490.27</v>
      </c>
      <c r="P12" s="472"/>
      <c r="Q12" s="473">
        <v>35302</v>
      </c>
    </row>
    <row r="13" spans="1:17" s="307" customFormat="1" ht="12.75">
      <c r="A13" s="475" t="s">
        <v>155</v>
      </c>
      <c r="B13" s="460">
        <v>0</v>
      </c>
      <c r="C13" s="460">
        <v>0</v>
      </c>
      <c r="D13" s="460">
        <v>0</v>
      </c>
      <c r="E13" s="460">
        <v>0</v>
      </c>
      <c r="F13" s="460">
        <v>0</v>
      </c>
      <c r="G13" s="460">
        <v>0</v>
      </c>
      <c r="H13" s="460">
        <v>0</v>
      </c>
      <c r="I13" s="460">
        <v>0</v>
      </c>
      <c r="J13" s="460">
        <v>0</v>
      </c>
      <c r="K13" s="460">
        <v>0</v>
      </c>
      <c r="L13" s="460">
        <v>0</v>
      </c>
      <c r="M13" s="461">
        <v>0</v>
      </c>
      <c r="N13" s="470">
        <f t="shared" si="0"/>
        <v>0</v>
      </c>
      <c r="O13" s="461">
        <f>0+N13</f>
        <v>0</v>
      </c>
      <c r="P13" s="468"/>
      <c r="Q13" s="461">
        <v>1000</v>
      </c>
    </row>
    <row r="14" spans="1:17" s="307" customFormat="1" ht="12.75">
      <c r="A14" s="475" t="s">
        <v>156</v>
      </c>
      <c r="B14" s="460">
        <v>0</v>
      </c>
      <c r="C14" s="460">
        <v>0</v>
      </c>
      <c r="D14" s="460">
        <v>0</v>
      </c>
      <c r="E14" s="460">
        <v>209.39</v>
      </c>
      <c r="F14" s="460">
        <v>478.83</v>
      </c>
      <c r="G14" s="460">
        <v>2086.67</v>
      </c>
      <c r="H14" s="460">
        <v>0</v>
      </c>
      <c r="I14" s="460">
        <v>0</v>
      </c>
      <c r="J14" s="460">
        <v>0</v>
      </c>
      <c r="K14" s="460">
        <v>0</v>
      </c>
      <c r="L14" s="460">
        <v>0</v>
      </c>
      <c r="M14" s="461">
        <v>0</v>
      </c>
      <c r="N14" s="470">
        <f t="shared" si="0"/>
        <v>2774.8900000000003</v>
      </c>
      <c r="O14" s="461">
        <f>21554.35+N14</f>
        <v>24329.239999999998</v>
      </c>
      <c r="P14" s="468"/>
      <c r="Q14" s="461">
        <v>78149</v>
      </c>
    </row>
    <row r="15" spans="1:17" s="307" customFormat="1" ht="12.75">
      <c r="A15" s="475" t="s">
        <v>157</v>
      </c>
      <c r="B15" s="460">
        <v>0</v>
      </c>
      <c r="C15" s="460">
        <v>0</v>
      </c>
      <c r="D15" s="460">
        <v>0</v>
      </c>
      <c r="E15" s="460">
        <v>519.02</v>
      </c>
      <c r="F15" s="460">
        <v>1186.9199999999998</v>
      </c>
      <c r="G15" s="460">
        <v>5168.42</v>
      </c>
      <c r="H15" s="460">
        <v>0</v>
      </c>
      <c r="I15" s="460">
        <v>0</v>
      </c>
      <c r="J15" s="460">
        <v>0</v>
      </c>
      <c r="K15" s="460">
        <v>0</v>
      </c>
      <c r="L15" s="460">
        <v>0</v>
      </c>
      <c r="M15" s="461">
        <v>0</v>
      </c>
      <c r="N15" s="470">
        <v>15648</v>
      </c>
      <c r="O15" s="461">
        <f>93148.79+N15</f>
        <v>108796.79</v>
      </c>
      <c r="P15" s="472"/>
      <c r="Q15" s="473">
        <f>606299/2</f>
        <v>303149.5</v>
      </c>
    </row>
    <row r="16" spans="1:17" s="307" customFormat="1" ht="12.75">
      <c r="A16" s="475" t="s">
        <v>158</v>
      </c>
      <c r="B16" s="460">
        <v>0</v>
      </c>
      <c r="C16" s="460">
        <v>0</v>
      </c>
      <c r="D16" s="460">
        <v>0</v>
      </c>
      <c r="E16" s="460">
        <v>1211.9000000000001</v>
      </c>
      <c r="F16" s="460">
        <v>5021.41</v>
      </c>
      <c r="G16" s="460">
        <v>16592.310000000001</v>
      </c>
      <c r="H16" s="460">
        <v>0</v>
      </c>
      <c r="I16" s="460">
        <v>0</v>
      </c>
      <c r="J16" s="460">
        <v>0</v>
      </c>
      <c r="K16" s="460">
        <v>0</v>
      </c>
      <c r="L16" s="460">
        <v>0</v>
      </c>
      <c r="M16" s="461">
        <v>0</v>
      </c>
      <c r="N16" s="470">
        <v>972</v>
      </c>
      <c r="O16" s="461">
        <f>149696.59+N16</f>
        <v>150668.59</v>
      </c>
      <c r="P16" s="468"/>
      <c r="Q16" s="461">
        <v>303150</v>
      </c>
    </row>
    <row r="17" spans="1:122" s="307" customFormat="1" ht="12.75">
      <c r="A17" s="475" t="s">
        <v>159</v>
      </c>
      <c r="B17" s="460">
        <v>0</v>
      </c>
      <c r="C17" s="460">
        <v>0</v>
      </c>
      <c r="D17" s="460">
        <v>0</v>
      </c>
      <c r="E17" s="460">
        <v>1834.97</v>
      </c>
      <c r="F17" s="460">
        <v>4196.3</v>
      </c>
      <c r="G17" s="460">
        <v>18286.830000000002</v>
      </c>
      <c r="H17" s="460">
        <v>0</v>
      </c>
      <c r="I17" s="460">
        <v>0</v>
      </c>
      <c r="J17" s="460">
        <v>0</v>
      </c>
      <c r="K17" s="460">
        <v>0</v>
      </c>
      <c r="L17" s="460">
        <v>0</v>
      </c>
      <c r="M17" s="461">
        <v>0</v>
      </c>
      <c r="N17" s="470">
        <f t="shared" si="0"/>
        <v>24318.100000000002</v>
      </c>
      <c r="O17" s="461">
        <f>228510.82+N17</f>
        <v>252828.92</v>
      </c>
      <c r="P17" s="468"/>
      <c r="Q17" s="461">
        <v>643043</v>
      </c>
    </row>
    <row r="18" spans="1:122" s="307" customFormat="1" ht="12.75">
      <c r="A18" s="476" t="s">
        <v>160</v>
      </c>
      <c r="B18" s="460">
        <v>0</v>
      </c>
      <c r="C18" s="460">
        <v>0</v>
      </c>
      <c r="D18" s="460">
        <v>0</v>
      </c>
      <c r="E18" s="460">
        <v>944.13000000000011</v>
      </c>
      <c r="F18" s="460">
        <v>2352.33</v>
      </c>
      <c r="G18" s="460">
        <v>9408.9700000000012</v>
      </c>
      <c r="H18" s="460">
        <v>0</v>
      </c>
      <c r="I18" s="460">
        <v>0</v>
      </c>
      <c r="J18" s="460">
        <v>0</v>
      </c>
      <c r="K18" s="460">
        <v>0</v>
      </c>
      <c r="L18" s="460">
        <v>0</v>
      </c>
      <c r="M18" s="461">
        <v>0</v>
      </c>
      <c r="N18" s="470">
        <f t="shared" si="0"/>
        <v>12705.43</v>
      </c>
      <c r="O18" s="461">
        <f>113137.94+N18</f>
        <v>125843.37</v>
      </c>
      <c r="P18" s="468"/>
      <c r="Q18" s="461">
        <v>383701</v>
      </c>
    </row>
    <row r="19" spans="1:122" s="307" customFormat="1" ht="16.5">
      <c r="A19" s="476" t="s">
        <v>161</v>
      </c>
      <c r="B19" s="460">
        <v>385</v>
      </c>
      <c r="C19" s="460">
        <v>5068</v>
      </c>
      <c r="D19" s="460">
        <v>-1050</v>
      </c>
      <c r="E19" s="460">
        <v>3145.85</v>
      </c>
      <c r="F19" s="460">
        <v>7194.05</v>
      </c>
      <c r="G19" s="460">
        <v>31405.890000000003</v>
      </c>
      <c r="H19" s="460">
        <v>0</v>
      </c>
      <c r="I19" s="460">
        <v>0</v>
      </c>
      <c r="J19" s="460">
        <v>0</v>
      </c>
      <c r="K19" s="460">
        <v>0</v>
      </c>
      <c r="L19" s="460">
        <v>0</v>
      </c>
      <c r="M19" s="461">
        <v>0</v>
      </c>
      <c r="N19" s="470">
        <f t="shared" si="0"/>
        <v>46148.790000000008</v>
      </c>
      <c r="O19" s="461">
        <f>439827.35+N19</f>
        <v>485976.14</v>
      </c>
      <c r="P19" s="468"/>
      <c r="Q19" s="461">
        <v>1102357</v>
      </c>
    </row>
    <row r="20" spans="1:122" s="307" customFormat="1" ht="16.5">
      <c r="A20" s="476" t="s">
        <v>162</v>
      </c>
      <c r="B20" s="460">
        <v>5222.442</v>
      </c>
      <c r="C20" s="460">
        <v>0</v>
      </c>
      <c r="D20" s="460">
        <v>-244.96</v>
      </c>
      <c r="E20" s="460">
        <v>4719.42</v>
      </c>
      <c r="F20" s="460">
        <v>10792.54</v>
      </c>
      <c r="G20" s="460">
        <v>47032.25</v>
      </c>
      <c r="H20" s="460">
        <v>0</v>
      </c>
      <c r="I20" s="460">
        <v>0</v>
      </c>
      <c r="J20" s="460">
        <v>0</v>
      </c>
      <c r="K20" s="460">
        <v>0</v>
      </c>
      <c r="L20" s="460">
        <v>0</v>
      </c>
      <c r="M20" s="461">
        <v>0</v>
      </c>
      <c r="N20" s="470">
        <f t="shared" si="0"/>
        <v>67521.69200000001</v>
      </c>
      <c r="O20" s="461">
        <f>665097.58+N20</f>
        <v>732619.272</v>
      </c>
      <c r="P20" s="468"/>
      <c r="Q20" s="461">
        <v>1653537</v>
      </c>
    </row>
    <row r="21" spans="1:122" s="307" customFormat="1" ht="12.75">
      <c r="A21" s="476" t="s">
        <v>163</v>
      </c>
      <c r="B21" s="460">
        <v>0</v>
      </c>
      <c r="C21" s="460">
        <v>0</v>
      </c>
      <c r="D21" s="460">
        <v>0</v>
      </c>
      <c r="E21" s="460">
        <v>0</v>
      </c>
      <c r="F21" s="460">
        <v>0</v>
      </c>
      <c r="G21" s="460">
        <v>0</v>
      </c>
      <c r="H21" s="460">
        <v>0</v>
      </c>
      <c r="I21" s="460">
        <v>0</v>
      </c>
      <c r="J21" s="460">
        <v>0</v>
      </c>
      <c r="K21" s="460">
        <v>0</v>
      </c>
      <c r="L21" s="460">
        <v>0</v>
      </c>
      <c r="M21" s="461">
        <v>0</v>
      </c>
      <c r="N21" s="470">
        <f t="shared" si="0"/>
        <v>0</v>
      </c>
      <c r="O21" s="461">
        <f>2328.72+N21</f>
        <v>2328.7199999999998</v>
      </c>
      <c r="P21" s="468"/>
      <c r="Q21" s="461">
        <v>0</v>
      </c>
    </row>
    <row r="22" spans="1:122" s="307" customFormat="1" ht="12.75">
      <c r="A22" s="477" t="s">
        <v>164</v>
      </c>
      <c r="B22" s="460">
        <v>0</v>
      </c>
      <c r="C22" s="460">
        <v>0</v>
      </c>
      <c r="D22" s="460">
        <v>0</v>
      </c>
      <c r="E22" s="460">
        <v>0</v>
      </c>
      <c r="F22" s="460">
        <v>0</v>
      </c>
      <c r="G22" s="460">
        <v>0</v>
      </c>
      <c r="H22" s="460">
        <v>0</v>
      </c>
      <c r="I22" s="460">
        <v>0</v>
      </c>
      <c r="J22" s="460">
        <v>0</v>
      </c>
      <c r="K22" s="460">
        <v>0</v>
      </c>
      <c r="L22" s="460">
        <v>0</v>
      </c>
      <c r="M22" s="461">
        <v>0</v>
      </c>
      <c r="N22" s="470">
        <f t="shared" si="0"/>
        <v>0</v>
      </c>
      <c r="O22" s="461">
        <f>530.37+N22</f>
        <v>530.37</v>
      </c>
      <c r="P22" s="468"/>
      <c r="Q22" s="461">
        <v>50000</v>
      </c>
    </row>
    <row r="23" spans="1:122" s="312" customFormat="1" ht="15.75">
      <c r="A23" s="479" t="s">
        <v>165</v>
      </c>
      <c r="B23" s="465">
        <f t="shared" ref="B23:O23" si="1">SUM(B11:B22)</f>
        <v>19868.052</v>
      </c>
      <c r="C23" s="465">
        <f t="shared" si="1"/>
        <v>43686.559999999998</v>
      </c>
      <c r="D23" s="465">
        <f t="shared" si="1"/>
        <v>64630.62</v>
      </c>
      <c r="E23" s="465">
        <f t="shared" si="1"/>
        <v>73236.06</v>
      </c>
      <c r="F23" s="465">
        <f t="shared" si="1"/>
        <v>59453.020000000011</v>
      </c>
      <c r="G23" s="465">
        <f t="shared" si="1"/>
        <v>158440.62</v>
      </c>
      <c r="H23" s="465">
        <f t="shared" si="1"/>
        <v>0</v>
      </c>
      <c r="I23" s="465">
        <f t="shared" si="1"/>
        <v>0</v>
      </c>
      <c r="J23" s="465">
        <f t="shared" si="1"/>
        <v>0</v>
      </c>
      <c r="K23" s="465">
        <f t="shared" si="1"/>
        <v>0</v>
      </c>
      <c r="L23" s="465">
        <f t="shared" si="1"/>
        <v>0</v>
      </c>
      <c r="M23" s="465">
        <f t="shared" si="1"/>
        <v>0</v>
      </c>
      <c r="N23" s="531">
        <f t="shared" si="1"/>
        <v>406234.95200000005</v>
      </c>
      <c r="O23" s="531">
        <f t="shared" si="1"/>
        <v>3275812.1220000004</v>
      </c>
      <c r="P23" s="349"/>
      <c r="Q23" s="531">
        <f>SUM(Q11:Q22)</f>
        <v>6260240.5</v>
      </c>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row>
    <row r="24" spans="1:122" s="307" customFormat="1" ht="12.75">
      <c r="A24" s="323"/>
      <c r="B24" s="364"/>
      <c r="C24" s="310"/>
      <c r="D24" s="310"/>
      <c r="E24" s="310"/>
      <c r="F24" s="310"/>
      <c r="G24" s="310"/>
      <c r="H24" s="310"/>
      <c r="I24" s="310"/>
      <c r="J24" s="310"/>
      <c r="K24" s="310"/>
      <c r="L24" s="310"/>
      <c r="M24" s="310"/>
      <c r="N24" s="310"/>
      <c r="O24" s="310"/>
      <c r="P24" s="310"/>
      <c r="Q24" s="319"/>
    </row>
    <row r="25" spans="1:122" s="307" customFormat="1" ht="15.75">
      <c r="A25" s="480" t="s">
        <v>166</v>
      </c>
      <c r="B25" s="364"/>
      <c r="C25" s="430"/>
      <c r="D25" s="430"/>
      <c r="E25" s="430"/>
      <c r="F25" s="430"/>
      <c r="G25" s="430"/>
      <c r="H25" s="430"/>
      <c r="I25" s="430"/>
      <c r="J25" s="430"/>
      <c r="K25" s="430"/>
      <c r="L25" s="430"/>
      <c r="M25" s="430"/>
      <c r="N25" s="311"/>
      <c r="O25" s="430"/>
      <c r="P25" s="310"/>
      <c r="Q25" s="320"/>
    </row>
    <row r="26" spans="1:122" s="307" customFormat="1" ht="12.75">
      <c r="A26" s="476" t="s">
        <v>167</v>
      </c>
      <c r="B26" s="457">
        <v>0</v>
      </c>
      <c r="C26" s="453">
        <v>0</v>
      </c>
      <c r="D26" s="453">
        <v>0</v>
      </c>
      <c r="E26" s="453">
        <v>0</v>
      </c>
      <c r="F26" s="453">
        <v>0</v>
      </c>
      <c r="G26" s="453">
        <v>0</v>
      </c>
      <c r="H26" s="453">
        <v>0</v>
      </c>
      <c r="I26" s="453">
        <v>0</v>
      </c>
      <c r="J26" s="453">
        <v>0</v>
      </c>
      <c r="K26" s="453">
        <v>0</v>
      </c>
      <c r="L26" s="453">
        <v>0</v>
      </c>
      <c r="M26" s="459">
        <v>0</v>
      </c>
      <c r="N26" s="461">
        <f t="shared" ref="N26:N30" si="2">SUM(B26:M26)</f>
        <v>0</v>
      </c>
      <c r="O26" s="459">
        <f>0+N26</f>
        <v>0</v>
      </c>
      <c r="P26" s="310"/>
      <c r="Q26" s="319"/>
    </row>
    <row r="27" spans="1:122" s="307" customFormat="1" ht="16.5">
      <c r="A27" s="475" t="s">
        <v>168</v>
      </c>
      <c r="B27" s="458">
        <v>400.64</v>
      </c>
      <c r="C27" s="460">
        <v>0</v>
      </c>
      <c r="D27" s="460">
        <v>-1294.95</v>
      </c>
      <c r="E27" s="460">
        <v>0</v>
      </c>
      <c r="F27" s="460">
        <v>2250</v>
      </c>
      <c r="G27" s="460">
        <v>0</v>
      </c>
      <c r="H27" s="460">
        <v>0</v>
      </c>
      <c r="I27" s="460">
        <v>0</v>
      </c>
      <c r="J27" s="460">
        <v>0</v>
      </c>
      <c r="K27" s="460">
        <v>0</v>
      </c>
      <c r="L27" s="460">
        <v>0</v>
      </c>
      <c r="M27" s="461">
        <v>0</v>
      </c>
      <c r="N27" s="461">
        <f t="shared" si="2"/>
        <v>1355.69</v>
      </c>
      <c r="O27" s="461">
        <f>67339.6+N27</f>
        <v>68695.290000000008</v>
      </c>
      <c r="P27" s="310"/>
      <c r="Q27" s="319"/>
    </row>
    <row r="28" spans="1:122" s="307" customFormat="1" ht="12.75">
      <c r="A28" s="475" t="s">
        <v>169</v>
      </c>
      <c r="B28" s="458">
        <v>14249.57</v>
      </c>
      <c r="C28" s="460">
        <v>23788.179999999993</v>
      </c>
      <c r="D28" s="460">
        <v>23213.869999999992</v>
      </c>
      <c r="E28" s="460">
        <v>28825.01999999999</v>
      </c>
      <c r="F28" s="460">
        <v>23882.450000000004</v>
      </c>
      <c r="G28" s="460">
        <v>24572.129999999997</v>
      </c>
      <c r="H28" s="460">
        <v>0</v>
      </c>
      <c r="I28" s="460">
        <v>0</v>
      </c>
      <c r="J28" s="460">
        <v>0</v>
      </c>
      <c r="K28" s="460">
        <v>0</v>
      </c>
      <c r="L28" s="460">
        <v>0</v>
      </c>
      <c r="M28" s="461">
        <v>0</v>
      </c>
      <c r="N28" s="461">
        <f t="shared" si="2"/>
        <v>138531.21999999997</v>
      </c>
      <c r="O28" s="461">
        <f>692251.7+N28</f>
        <v>830782.91999999993</v>
      </c>
      <c r="Q28" s="321"/>
    </row>
    <row r="29" spans="1:122" s="307" customFormat="1" ht="12.75">
      <c r="A29" s="475" t="s">
        <v>170</v>
      </c>
      <c r="B29" s="458">
        <v>0</v>
      </c>
      <c r="C29" s="460">
        <v>10843</v>
      </c>
      <c r="D29" s="460">
        <v>0</v>
      </c>
      <c r="E29" s="460">
        <v>12690</v>
      </c>
      <c r="F29" s="460">
        <v>29432.5</v>
      </c>
      <c r="G29" s="460">
        <v>131030.98999999999</v>
      </c>
      <c r="H29" s="460">
        <v>0</v>
      </c>
      <c r="I29" s="460">
        <v>0</v>
      </c>
      <c r="J29" s="460">
        <v>0</v>
      </c>
      <c r="K29" s="460">
        <v>0</v>
      </c>
      <c r="L29" s="460">
        <v>0</v>
      </c>
      <c r="M29" s="461">
        <v>0</v>
      </c>
      <c r="N29" s="461">
        <f t="shared" si="2"/>
        <v>183996.49</v>
      </c>
      <c r="O29" s="461">
        <f>2387765.94+N29</f>
        <v>2571762.4299999997</v>
      </c>
      <c r="Q29" s="321"/>
    </row>
    <row r="30" spans="1:122" s="307" customFormat="1" ht="12.75">
      <c r="A30" s="475" t="s">
        <v>171</v>
      </c>
      <c r="B30" s="462">
        <v>5217.82</v>
      </c>
      <c r="C30" s="463">
        <v>9055.380000000001</v>
      </c>
      <c r="D30" s="463">
        <v>42711.71</v>
      </c>
      <c r="E30" s="463">
        <v>31721</v>
      </c>
      <c r="F30" s="463">
        <v>3888.0299999999997</v>
      </c>
      <c r="G30" s="463">
        <v>2837.5</v>
      </c>
      <c r="H30" s="463">
        <v>0</v>
      </c>
      <c r="I30" s="463">
        <v>0</v>
      </c>
      <c r="J30" s="463">
        <v>0</v>
      </c>
      <c r="K30" s="463">
        <v>0</v>
      </c>
      <c r="L30" s="463">
        <v>0</v>
      </c>
      <c r="M30" s="464">
        <v>0</v>
      </c>
      <c r="N30" s="461">
        <f t="shared" si="2"/>
        <v>95431.44</v>
      </c>
      <c r="O30" s="464">
        <f>184247.8+N30</f>
        <v>279679.24</v>
      </c>
      <c r="Q30" s="321"/>
    </row>
    <row r="31" spans="1:122" s="307" customFormat="1" ht="15.75">
      <c r="A31" s="479" t="s">
        <v>172</v>
      </c>
      <c r="B31" s="466">
        <f>SUM(B26:B30)</f>
        <v>19868.03</v>
      </c>
      <c r="C31" s="467">
        <f t="shared" ref="C31:M31" si="3">SUM(C26:C30)</f>
        <v>43686.559999999998</v>
      </c>
      <c r="D31" s="467">
        <f t="shared" si="3"/>
        <v>64630.62999999999</v>
      </c>
      <c r="E31" s="467">
        <f t="shared" si="3"/>
        <v>73236.01999999999</v>
      </c>
      <c r="F31" s="467">
        <f t="shared" si="3"/>
        <v>59452.98</v>
      </c>
      <c r="G31" s="467">
        <f t="shared" si="3"/>
        <v>158440.62</v>
      </c>
      <c r="H31" s="467">
        <f t="shared" si="3"/>
        <v>0</v>
      </c>
      <c r="I31" s="467">
        <f t="shared" si="3"/>
        <v>0</v>
      </c>
      <c r="J31" s="467">
        <f t="shared" si="3"/>
        <v>0</v>
      </c>
      <c r="K31" s="467">
        <f t="shared" si="3"/>
        <v>0</v>
      </c>
      <c r="L31" s="467">
        <f t="shared" si="3"/>
        <v>0</v>
      </c>
      <c r="M31" s="467">
        <f t="shared" si="3"/>
        <v>0</v>
      </c>
      <c r="N31" s="465">
        <f>SUM(N26:N30)</f>
        <v>419314.83999999997</v>
      </c>
      <c r="O31" s="467">
        <f>SUM(O26:O30)</f>
        <v>3750919.88</v>
      </c>
      <c r="P31" s="350"/>
      <c r="Q31" s="351"/>
    </row>
    <row r="32" spans="1:122" s="307" customFormat="1" ht="12.75">
      <c r="A32" s="324"/>
      <c r="B32" s="365"/>
      <c r="C32" s="313"/>
      <c r="D32" s="313"/>
      <c r="E32" s="313"/>
      <c r="F32" s="313"/>
      <c r="G32" s="313"/>
      <c r="H32" s="313"/>
      <c r="I32" s="313"/>
      <c r="J32" s="313"/>
      <c r="K32" s="313"/>
      <c r="L32" s="313"/>
      <c r="M32" s="313"/>
      <c r="N32" s="313"/>
      <c r="O32" s="313"/>
      <c r="P32" s="314"/>
      <c r="Q32" s="322"/>
    </row>
    <row r="33" spans="1:17" s="307" customFormat="1" ht="15.75">
      <c r="A33" s="480" t="s">
        <v>173</v>
      </c>
      <c r="B33" s="364"/>
      <c r="C33" s="430"/>
      <c r="D33" s="430"/>
      <c r="E33" s="430"/>
      <c r="F33" s="430"/>
      <c r="G33" s="430"/>
      <c r="H33" s="430"/>
      <c r="I33" s="430"/>
      <c r="J33" s="430"/>
      <c r="K33" s="430"/>
      <c r="L33" s="430"/>
      <c r="M33" s="430"/>
      <c r="N33" s="311"/>
      <c r="O33" s="311"/>
      <c r="P33" s="310"/>
      <c r="Q33" s="320"/>
    </row>
    <row r="34" spans="1:17" s="307" customFormat="1" ht="14.25">
      <c r="A34" s="475" t="s">
        <v>174</v>
      </c>
      <c r="B34" s="457">
        <v>0</v>
      </c>
      <c r="C34" s="453">
        <v>0</v>
      </c>
      <c r="D34" s="453">
        <v>0</v>
      </c>
      <c r="E34" s="453">
        <v>0</v>
      </c>
      <c r="F34" s="453">
        <v>0</v>
      </c>
      <c r="G34" s="453">
        <v>0</v>
      </c>
      <c r="H34" s="453">
        <v>0</v>
      </c>
      <c r="I34" s="453">
        <v>0</v>
      </c>
      <c r="J34" s="453">
        <v>0</v>
      </c>
      <c r="K34" s="453">
        <v>0</v>
      </c>
      <c r="L34" s="453">
        <v>0</v>
      </c>
      <c r="M34" s="459">
        <v>0</v>
      </c>
      <c r="N34" s="461">
        <f t="shared" ref="N34:N37" si="4">SUM(B34:M34)</f>
        <v>0</v>
      </c>
      <c r="O34" s="469">
        <f>0+N34</f>
        <v>0</v>
      </c>
      <c r="P34" s="310"/>
      <c r="Q34" s="319"/>
    </row>
    <row r="35" spans="1:17" s="307" customFormat="1" ht="12.75">
      <c r="A35" s="476" t="s">
        <v>175</v>
      </c>
      <c r="B35" s="458">
        <v>4699.5</v>
      </c>
      <c r="C35" s="460">
        <v>16866.929999999993</v>
      </c>
      <c r="D35" s="460">
        <v>18398.279999999995</v>
      </c>
      <c r="E35" s="460">
        <v>22848</v>
      </c>
      <c r="F35" s="460">
        <v>17380.620000000003</v>
      </c>
      <c r="G35" s="460">
        <v>51766.670000000006</v>
      </c>
      <c r="H35" s="460">
        <v>0</v>
      </c>
      <c r="I35" s="460">
        <v>0</v>
      </c>
      <c r="J35" s="460">
        <v>0</v>
      </c>
      <c r="K35" s="460">
        <v>0</v>
      </c>
      <c r="L35" s="460">
        <v>0</v>
      </c>
      <c r="M35" s="461">
        <v>0</v>
      </c>
      <c r="N35" s="461">
        <f t="shared" si="4"/>
        <v>131960</v>
      </c>
      <c r="O35" s="470">
        <f>930036.22+N35</f>
        <v>1061996.22</v>
      </c>
      <c r="P35" s="310"/>
      <c r="Q35" s="319"/>
    </row>
    <row r="36" spans="1:17" s="307" customFormat="1" ht="14.25" customHeight="1">
      <c r="A36" s="475" t="s">
        <v>176</v>
      </c>
      <c r="B36" s="458">
        <v>6925.72</v>
      </c>
      <c r="C36" s="460">
        <v>11798.960000000001</v>
      </c>
      <c r="D36" s="460">
        <v>19325.809999999998</v>
      </c>
      <c r="E36" s="460">
        <v>21012.579999999994</v>
      </c>
      <c r="F36" s="460">
        <v>13182.89</v>
      </c>
      <c r="G36" s="460">
        <v>33418.259999999995</v>
      </c>
      <c r="H36" s="460">
        <v>0</v>
      </c>
      <c r="I36" s="460">
        <v>0</v>
      </c>
      <c r="J36" s="460">
        <v>0</v>
      </c>
      <c r="K36" s="460">
        <v>0</v>
      </c>
      <c r="L36" s="460">
        <v>0</v>
      </c>
      <c r="M36" s="461">
        <v>0</v>
      </c>
      <c r="N36" s="461">
        <f t="shared" si="4"/>
        <v>105664.21999999999</v>
      </c>
      <c r="O36" s="470">
        <f>699035.88+N36</f>
        <v>804700.1</v>
      </c>
      <c r="P36" s="310"/>
      <c r="Q36" s="319"/>
    </row>
    <row r="37" spans="1:17" s="307" customFormat="1" ht="12.75">
      <c r="A37" s="475" t="s">
        <v>177</v>
      </c>
      <c r="B37" s="462">
        <v>8242.81</v>
      </c>
      <c r="C37" s="463">
        <v>15020.67</v>
      </c>
      <c r="D37" s="463">
        <v>26906.529999999995</v>
      </c>
      <c r="E37" s="463">
        <v>29375.899999999991</v>
      </c>
      <c r="F37" s="463">
        <v>28889.49</v>
      </c>
      <c r="G37" s="463">
        <v>73255.69</v>
      </c>
      <c r="H37" s="463">
        <v>0</v>
      </c>
      <c r="I37" s="463">
        <v>0</v>
      </c>
      <c r="J37" s="463">
        <v>0</v>
      </c>
      <c r="K37" s="463">
        <v>0</v>
      </c>
      <c r="L37" s="463">
        <v>0</v>
      </c>
      <c r="M37" s="464">
        <v>0</v>
      </c>
      <c r="N37" s="461">
        <f t="shared" si="4"/>
        <v>181691.09</v>
      </c>
      <c r="O37" s="471">
        <f>1240507.24+N37</f>
        <v>1422198.33</v>
      </c>
      <c r="Q37" s="321"/>
    </row>
    <row r="38" spans="1:17" s="307" customFormat="1" ht="15.75">
      <c r="A38" s="479" t="s">
        <v>178</v>
      </c>
      <c r="B38" s="466">
        <f t="shared" ref="B38:M38" si="5">SUM(B34:B37)</f>
        <v>19868.03</v>
      </c>
      <c r="C38" s="467">
        <f t="shared" si="5"/>
        <v>43686.55999999999</v>
      </c>
      <c r="D38" s="467">
        <f>SUM(D34:D37)</f>
        <v>64630.619999999995</v>
      </c>
      <c r="E38" s="467">
        <f t="shared" si="5"/>
        <v>73236.479999999981</v>
      </c>
      <c r="F38" s="467">
        <f t="shared" si="5"/>
        <v>59453</v>
      </c>
      <c r="G38" s="467">
        <f t="shared" si="5"/>
        <v>158440.62</v>
      </c>
      <c r="H38" s="467">
        <f t="shared" si="5"/>
        <v>0</v>
      </c>
      <c r="I38" s="467">
        <f t="shared" si="5"/>
        <v>0</v>
      </c>
      <c r="J38" s="467">
        <f t="shared" si="5"/>
        <v>0</v>
      </c>
      <c r="K38" s="467">
        <f t="shared" si="5"/>
        <v>0</v>
      </c>
      <c r="L38" s="467">
        <f t="shared" si="5"/>
        <v>0</v>
      </c>
      <c r="M38" s="467">
        <f t="shared" si="5"/>
        <v>0</v>
      </c>
      <c r="N38" s="465">
        <f>SUM(N34:N37)</f>
        <v>419315.30999999994</v>
      </c>
      <c r="O38" s="465">
        <f>SUM(O34:O37)</f>
        <v>3288894.65</v>
      </c>
      <c r="P38" s="349">
        <f>SUM(P34:P37)</f>
        <v>0</v>
      </c>
      <c r="Q38" s="351"/>
    </row>
    <row r="39" spans="1:17" s="307" customFormat="1" ht="12.75">
      <c r="B39" s="310"/>
      <c r="C39" s="310"/>
      <c r="D39" s="310"/>
      <c r="E39" s="310"/>
      <c r="F39" s="310"/>
      <c r="G39" s="310"/>
      <c r="H39" s="310"/>
      <c r="I39" s="310"/>
      <c r="J39" s="310"/>
      <c r="K39" s="310"/>
      <c r="L39" s="310"/>
      <c r="M39" s="310"/>
      <c r="O39" s="310"/>
      <c r="P39" s="310"/>
      <c r="Q39" s="310"/>
    </row>
    <row r="40" spans="1:17" s="307" customFormat="1" ht="15">
      <c r="A40" s="595" t="s">
        <v>69</v>
      </c>
      <c r="B40" s="316"/>
      <c r="C40" s="316"/>
      <c r="D40" s="316"/>
      <c r="E40" s="316"/>
      <c r="F40" s="316"/>
      <c r="G40" s="316"/>
      <c r="H40" s="316"/>
      <c r="I40" s="316"/>
      <c r="J40" s="316"/>
      <c r="K40" s="316"/>
      <c r="L40" s="316"/>
      <c r="M40" s="316"/>
      <c r="N40" s="315"/>
      <c r="O40" s="316"/>
      <c r="P40" s="316"/>
      <c r="Q40" s="316"/>
    </row>
    <row r="41" spans="1:17" ht="16.5">
      <c r="A41" s="368" t="s">
        <v>179</v>
      </c>
      <c r="D41" s="291"/>
      <c r="E41" s="220"/>
      <c r="F41" s="291"/>
      <c r="N41" s="368"/>
    </row>
    <row r="42" spans="1:17" ht="16.5">
      <c r="A42" s="368" t="s">
        <v>180</v>
      </c>
      <c r="D42" s="291"/>
      <c r="E42" s="220"/>
      <c r="F42" s="291"/>
      <c r="N42" s="368"/>
    </row>
    <row r="43" spans="1:17" ht="14.25">
      <c r="A43" s="368"/>
      <c r="D43" s="291"/>
      <c r="E43" s="220"/>
      <c r="F43" s="291"/>
      <c r="N43" s="368"/>
    </row>
    <row r="44" spans="1:17" ht="16.5">
      <c r="A44" s="249" t="s">
        <v>76</v>
      </c>
      <c r="D44" s="291"/>
      <c r="E44" s="220"/>
      <c r="F44" s="291"/>
      <c r="N44" s="384"/>
    </row>
    <row r="45" spans="1:17">
      <c r="E45" s="296"/>
      <c r="F45" s="291"/>
    </row>
  </sheetData>
  <mergeCells count="3">
    <mergeCell ref="O7:O8"/>
    <mergeCell ref="Q7:Q8"/>
    <mergeCell ref="N7:N8"/>
  </mergeCells>
  <printOptions horizontalCentered="1"/>
  <pageMargins left="0" right="0" top="0.55000000000000004" bottom="0.17" header="0.3" footer="0.15"/>
  <pageSetup paperSize="5" scale="65" orientation="landscape" cellComments="atEnd" r:id="rId1"/>
  <headerFooter alignWithMargins="0">
    <oddHeader xml:space="preserve">&amp;C&amp;"Arial,Bold"
</oddHeader>
    <oddFooter xml:space="preserve">&amp;Rpage 5 of 11
&amp;A
&amp;D  &amp;T
</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1"/>
  <sheetViews>
    <sheetView showGridLines="0" zoomScale="110" zoomScaleNormal="110" zoomScaleSheetLayoutView="80" workbookViewId="0">
      <pane xSplit="1" ySplit="9" topLeftCell="D10" activePane="bottomRight" state="frozen"/>
      <selection pane="topRight" activeCell="V16" sqref="V16"/>
      <selection pane="bottomLeft" activeCell="V16" sqref="V16"/>
      <selection pane="bottomRight" activeCell="G44" sqref="G44"/>
    </sheetView>
  </sheetViews>
  <sheetFormatPr defaultColWidth="9.28515625" defaultRowHeight="12.75"/>
  <cols>
    <col min="1" max="1" width="54.5703125" style="134" customWidth="1"/>
    <col min="2" max="2" width="13" style="134" customWidth="1"/>
    <col min="3" max="3" width="11.42578125" style="134" customWidth="1"/>
    <col min="4" max="4" width="15.5703125" style="134" customWidth="1"/>
    <col min="5" max="5" width="12" style="134" customWidth="1"/>
    <col min="6" max="6" width="11.28515625" style="134" bestFit="1" customWidth="1"/>
    <col min="7" max="7" width="12.7109375" style="134" customWidth="1"/>
    <col min="8" max="8" width="11.7109375" style="134" bestFit="1" customWidth="1"/>
    <col min="9" max="9" width="11.7109375" style="134" customWidth="1"/>
    <col min="10" max="10" width="12" style="134" customWidth="1"/>
    <col min="11" max="11" width="10.7109375" style="134" customWidth="1"/>
    <col min="12" max="13" width="11.7109375" style="134" customWidth="1"/>
    <col min="14" max="14" width="23.28515625" style="134" bestFit="1" customWidth="1"/>
    <col min="15" max="15" width="16" style="134" customWidth="1"/>
    <col min="16" max="16" width="17.28515625" style="134" customWidth="1"/>
    <col min="17" max="17" width="14.7109375" style="134" customWidth="1"/>
    <col min="18" max="18" width="13.42578125" style="134" bestFit="1" customWidth="1"/>
    <col min="19" max="16384" width="9.28515625" style="134"/>
  </cols>
  <sheetData>
    <row r="2" spans="1:18">
      <c r="A2" s="133"/>
      <c r="G2" s="154" t="s">
        <v>181</v>
      </c>
    </row>
    <row r="3" spans="1:18">
      <c r="A3" s="133"/>
      <c r="G3" s="154" t="s">
        <v>182</v>
      </c>
    </row>
    <row r="4" spans="1:18">
      <c r="A4" s="133"/>
      <c r="F4" s="206"/>
      <c r="G4" s="207" t="str">
        <f>'Program MW '!H3</f>
        <v>June 2020</v>
      </c>
      <c r="H4" s="206"/>
      <c r="I4" s="206"/>
    </row>
    <row r="5" spans="1:18">
      <c r="A5" s="133"/>
      <c r="B5" s="206"/>
      <c r="C5" s="206"/>
      <c r="D5" s="206"/>
    </row>
    <row r="6" spans="1:18" ht="13.5" thickBot="1"/>
    <row r="7" spans="1:18">
      <c r="A7" s="339"/>
      <c r="B7" s="135"/>
      <c r="C7" s="135"/>
      <c r="D7" s="135"/>
      <c r="E7" s="135"/>
      <c r="F7" s="135"/>
      <c r="G7" s="135"/>
      <c r="H7" s="135"/>
      <c r="I7" s="135"/>
      <c r="J7" s="135"/>
      <c r="K7" s="135"/>
      <c r="L7" s="135"/>
      <c r="M7" s="136"/>
      <c r="N7" s="136"/>
      <c r="O7" s="136"/>
      <c r="P7" s="137"/>
      <c r="Q7" s="137"/>
      <c r="R7" s="325"/>
    </row>
    <row r="8" spans="1:18" ht="9" customHeight="1">
      <c r="A8" s="340"/>
      <c r="B8" s="138"/>
      <c r="C8" s="138"/>
      <c r="D8" s="138"/>
      <c r="E8" s="138"/>
      <c r="F8" s="138"/>
      <c r="G8" s="138"/>
      <c r="H8" s="138"/>
      <c r="I8" s="138"/>
      <c r="J8" s="138"/>
      <c r="K8" s="138"/>
      <c r="L8" s="138"/>
      <c r="M8" s="139"/>
      <c r="N8" s="139"/>
      <c r="O8" s="139"/>
      <c r="P8" s="140"/>
      <c r="Q8" s="140"/>
      <c r="R8" s="326"/>
    </row>
    <row r="9" spans="1:18" ht="57.75" customHeight="1">
      <c r="A9" s="428" t="s">
        <v>183</v>
      </c>
      <c r="B9" s="441" t="s">
        <v>42</v>
      </c>
      <c r="C9" s="286" t="s">
        <v>43</v>
      </c>
      <c r="D9" s="286" t="s">
        <v>44</v>
      </c>
      <c r="E9" s="286" t="s">
        <v>45</v>
      </c>
      <c r="F9" s="286" t="s">
        <v>31</v>
      </c>
      <c r="G9" s="286" t="s">
        <v>46</v>
      </c>
      <c r="H9" s="286" t="s">
        <v>61</v>
      </c>
      <c r="I9" s="287" t="s">
        <v>62</v>
      </c>
      <c r="J9" s="287" t="s">
        <v>79</v>
      </c>
      <c r="K9" s="286" t="s">
        <v>64</v>
      </c>
      <c r="L9" s="286" t="s">
        <v>80</v>
      </c>
      <c r="M9" s="286" t="s">
        <v>66</v>
      </c>
      <c r="N9" s="141" t="s">
        <v>146</v>
      </c>
      <c r="O9" s="141" t="s">
        <v>184</v>
      </c>
      <c r="P9" s="141" t="s">
        <v>185</v>
      </c>
      <c r="Q9" s="141" t="s">
        <v>186</v>
      </c>
      <c r="R9" s="327" t="s">
        <v>187</v>
      </c>
    </row>
    <row r="10" spans="1:18">
      <c r="A10" s="341" t="s">
        <v>188</v>
      </c>
      <c r="B10" s="442"/>
      <c r="C10" s="15"/>
      <c r="D10" s="15"/>
      <c r="E10" s="15"/>
      <c r="F10" s="142"/>
      <c r="G10" s="277"/>
      <c r="H10" s="142"/>
      <c r="I10" s="142"/>
      <c r="J10" s="142"/>
      <c r="K10" s="142"/>
      <c r="L10" s="142"/>
      <c r="M10" s="537"/>
      <c r="N10" s="532"/>
      <c r="O10" s="143" t="s">
        <v>58</v>
      </c>
      <c r="P10" s="359"/>
      <c r="Q10" s="144"/>
      <c r="R10" s="328"/>
    </row>
    <row r="11" spans="1:18">
      <c r="A11" s="342" t="s">
        <v>189</v>
      </c>
      <c r="B11" s="443">
        <v>2420.3000000000002</v>
      </c>
      <c r="C11" s="429">
        <v>4071.44</v>
      </c>
      <c r="D11" s="429">
        <v>10975.180000000002</v>
      </c>
      <c r="E11" s="429">
        <v>10144.85</v>
      </c>
      <c r="F11" s="429">
        <v>10202.710000000001</v>
      </c>
      <c r="G11" s="429">
        <v>10280.720000000001</v>
      </c>
      <c r="H11" s="429">
        <v>0</v>
      </c>
      <c r="I11" s="429">
        <v>0</v>
      </c>
      <c r="J11" s="429">
        <v>0</v>
      </c>
      <c r="K11" s="429">
        <v>0</v>
      </c>
      <c r="L11" s="429">
        <v>0</v>
      </c>
      <c r="M11" s="532">
        <v>0</v>
      </c>
      <c r="N11" s="532">
        <f>SUM(B11:M11)</f>
        <v>48095.200000000004</v>
      </c>
      <c r="O11" s="15">
        <f>665232.07+N11</f>
        <v>713327.2699999999</v>
      </c>
      <c r="P11" s="360">
        <v>2869200</v>
      </c>
      <c r="Q11" s="17">
        <v>0</v>
      </c>
      <c r="R11" s="329">
        <f>+O11/P11</f>
        <v>0.24861538756447787</v>
      </c>
    </row>
    <row r="12" spans="1:18">
      <c r="A12" s="342" t="s">
        <v>190</v>
      </c>
      <c r="B12" s="443">
        <v>40192.76</v>
      </c>
      <c r="C12" s="429">
        <v>45716.240000000005</v>
      </c>
      <c r="D12" s="429">
        <v>46109.96</v>
      </c>
      <c r="E12" s="429">
        <v>47099.759999999995</v>
      </c>
      <c r="F12" s="429">
        <v>13054.750000000002</v>
      </c>
      <c r="G12" s="429">
        <v>78294</v>
      </c>
      <c r="H12" s="429">
        <v>0</v>
      </c>
      <c r="I12" s="429">
        <v>0</v>
      </c>
      <c r="J12" s="429">
        <v>0</v>
      </c>
      <c r="K12" s="429">
        <v>0</v>
      </c>
      <c r="L12" s="429">
        <v>0</v>
      </c>
      <c r="M12" s="532">
        <v>0</v>
      </c>
      <c r="N12" s="532">
        <f t="shared" ref="N12:N15" si="0">SUM(B12:M12)</f>
        <v>270467.46999999997</v>
      </c>
      <c r="O12" s="15">
        <f>2788267.14+N12</f>
        <v>3058734.6100000003</v>
      </c>
      <c r="P12" s="360">
        <v>9020700</v>
      </c>
      <c r="Q12" s="17">
        <v>0</v>
      </c>
      <c r="R12" s="329">
        <f t="shared" ref="R12:R15" si="1">+O12/P12</f>
        <v>0.33907951821920695</v>
      </c>
    </row>
    <row r="13" spans="1:18">
      <c r="A13" s="342" t="s">
        <v>191</v>
      </c>
      <c r="B13" s="443">
        <v>9050.1</v>
      </c>
      <c r="C13" s="429">
        <v>16667.080000000002</v>
      </c>
      <c r="D13" s="429">
        <v>20819.95</v>
      </c>
      <c r="E13" s="429">
        <v>15177.59</v>
      </c>
      <c r="F13" s="429">
        <v>11172.62</v>
      </c>
      <c r="G13" s="429">
        <v>13547.25</v>
      </c>
      <c r="H13" s="429">
        <v>0</v>
      </c>
      <c r="I13" s="429">
        <v>0</v>
      </c>
      <c r="J13" s="429">
        <v>0</v>
      </c>
      <c r="K13" s="429">
        <v>0</v>
      </c>
      <c r="L13" s="429">
        <v>0</v>
      </c>
      <c r="M13" s="532">
        <v>0</v>
      </c>
      <c r="N13" s="532">
        <f t="shared" si="0"/>
        <v>86434.59</v>
      </c>
      <c r="O13" s="15">
        <f>361425.18+N13</f>
        <v>447859.77</v>
      </c>
      <c r="P13" s="360">
        <v>4664400</v>
      </c>
      <c r="Q13" s="17">
        <v>0</v>
      </c>
      <c r="R13" s="329">
        <f t="shared" si="1"/>
        <v>9.6016587342423465E-2</v>
      </c>
    </row>
    <row r="14" spans="1:18" ht="14.25">
      <c r="A14" s="342" t="s">
        <v>192</v>
      </c>
      <c r="B14" s="443">
        <v>12636.34</v>
      </c>
      <c r="C14" s="429">
        <v>12249.720000000001</v>
      </c>
      <c r="D14" s="429">
        <v>11862.43</v>
      </c>
      <c r="E14" s="429">
        <v>12099.63</v>
      </c>
      <c r="F14" s="429">
        <v>11029.05</v>
      </c>
      <c r="G14" s="429">
        <v>10163.5</v>
      </c>
      <c r="H14" s="429">
        <v>0</v>
      </c>
      <c r="I14" s="429">
        <v>0</v>
      </c>
      <c r="J14" s="429">
        <v>0</v>
      </c>
      <c r="K14" s="429">
        <v>0</v>
      </c>
      <c r="L14" s="429">
        <v>0</v>
      </c>
      <c r="M14" s="532">
        <v>0</v>
      </c>
      <c r="N14" s="532">
        <f t="shared" si="0"/>
        <v>70040.67</v>
      </c>
      <c r="O14" s="15">
        <f>756268+N14</f>
        <v>826308.67</v>
      </c>
      <c r="P14" s="17">
        <v>10301202</v>
      </c>
      <c r="Q14" s="17">
        <v>0</v>
      </c>
      <c r="R14" s="329">
        <f t="shared" si="1"/>
        <v>8.0214781731296994E-2</v>
      </c>
    </row>
    <row r="15" spans="1:18" ht="14.25">
      <c r="A15" s="343" t="s">
        <v>193</v>
      </c>
      <c r="B15" s="540">
        <v>0</v>
      </c>
      <c r="C15" s="536">
        <v>0</v>
      </c>
      <c r="D15" s="536">
        <v>0</v>
      </c>
      <c r="E15" s="536">
        <v>0</v>
      </c>
      <c r="F15" s="536">
        <v>0</v>
      </c>
      <c r="G15" s="536">
        <v>0</v>
      </c>
      <c r="H15" s="536">
        <v>0</v>
      </c>
      <c r="I15" s="536">
        <v>0</v>
      </c>
      <c r="J15" s="536">
        <v>0</v>
      </c>
      <c r="K15" s="536">
        <v>0</v>
      </c>
      <c r="L15" s="536">
        <v>0</v>
      </c>
      <c r="M15" s="538">
        <v>0</v>
      </c>
      <c r="N15" s="532">
        <f t="shared" si="0"/>
        <v>0</v>
      </c>
      <c r="O15" s="15">
        <v>15326.449999999999</v>
      </c>
      <c r="P15" s="360">
        <v>20000</v>
      </c>
      <c r="Q15" s="17">
        <v>0</v>
      </c>
      <c r="R15" s="329">
        <f t="shared" si="1"/>
        <v>0.76632249999999991</v>
      </c>
    </row>
    <row r="16" spans="1:18">
      <c r="A16" s="344" t="s">
        <v>194</v>
      </c>
      <c r="B16" s="534">
        <f>SUM(B11:B15)</f>
        <v>64299.5</v>
      </c>
      <c r="C16" s="535">
        <f t="shared" ref="C16:M16" si="2">SUM(C11:C15)</f>
        <v>78704.48000000001</v>
      </c>
      <c r="D16" s="535">
        <f t="shared" si="2"/>
        <v>89767.51999999999</v>
      </c>
      <c r="E16" s="535">
        <f t="shared" si="2"/>
        <v>84521.83</v>
      </c>
      <c r="F16" s="535">
        <f t="shared" si="2"/>
        <v>45459.130000000005</v>
      </c>
      <c r="G16" s="535">
        <f t="shared" si="2"/>
        <v>112285.47</v>
      </c>
      <c r="H16" s="535">
        <f t="shared" si="2"/>
        <v>0</v>
      </c>
      <c r="I16" s="535">
        <f t="shared" si="2"/>
        <v>0</v>
      </c>
      <c r="J16" s="535">
        <f t="shared" si="2"/>
        <v>0</v>
      </c>
      <c r="K16" s="535">
        <f>SUM(K11:K15)</f>
        <v>0</v>
      </c>
      <c r="L16" s="535">
        <f t="shared" si="2"/>
        <v>0</v>
      </c>
      <c r="M16" s="535">
        <f t="shared" si="2"/>
        <v>0</v>
      </c>
      <c r="N16" s="18">
        <f>SUM(N11:N15)</f>
        <v>475037.93</v>
      </c>
      <c r="O16" s="18">
        <f>SUM(O11:O15)</f>
        <v>5061556.7700000005</v>
      </c>
      <c r="P16" s="361">
        <f>SUM(P11:P15)</f>
        <v>26875502</v>
      </c>
      <c r="Q16" s="19">
        <f>SUM(Q11:Q15)</f>
        <v>0</v>
      </c>
      <c r="R16" s="330">
        <f>O16/P16</f>
        <v>0.18833347819884444</v>
      </c>
    </row>
    <row r="17" spans="1:18">
      <c r="A17" s="343"/>
      <c r="B17" s="443"/>
      <c r="C17" s="15"/>
      <c r="D17" s="15"/>
      <c r="E17" s="15"/>
      <c r="F17" s="142"/>
      <c r="G17" s="289"/>
      <c r="H17" s="142"/>
      <c r="I17" s="142"/>
      <c r="J17" s="142"/>
      <c r="K17" s="142"/>
      <c r="L17" s="142"/>
      <c r="M17" s="142"/>
      <c r="N17" s="16"/>
      <c r="O17" s="16"/>
      <c r="P17" s="360"/>
      <c r="Q17" s="17"/>
      <c r="R17" s="329"/>
    </row>
    <row r="18" spans="1:18">
      <c r="A18" s="341" t="s">
        <v>195</v>
      </c>
      <c r="B18" s="443"/>
      <c r="C18" s="15"/>
      <c r="D18" s="15"/>
      <c r="E18" s="15"/>
      <c r="F18" s="142"/>
      <c r="G18" s="289"/>
      <c r="H18" s="142"/>
      <c r="I18" s="142"/>
      <c r="J18" s="142"/>
      <c r="K18" s="142"/>
      <c r="L18" s="142"/>
      <c r="M18" s="142"/>
      <c r="N18" s="16"/>
      <c r="O18" s="16"/>
      <c r="P18" s="360"/>
      <c r="Q18" s="17"/>
      <c r="R18" s="329"/>
    </row>
    <row r="19" spans="1:18">
      <c r="A19" s="342"/>
      <c r="B19" s="443">
        <v>0</v>
      </c>
      <c r="C19" s="15">
        <v>0</v>
      </c>
      <c r="D19" s="15">
        <v>0</v>
      </c>
      <c r="E19" s="15">
        <v>0</v>
      </c>
      <c r="F19" s="15">
        <v>0</v>
      </c>
      <c r="G19" s="15">
        <v>0</v>
      </c>
      <c r="H19" s="15">
        <v>0</v>
      </c>
      <c r="I19" s="15">
        <v>0</v>
      </c>
      <c r="J19" s="15">
        <v>0</v>
      </c>
      <c r="K19" s="15">
        <v>0</v>
      </c>
      <c r="L19" s="15">
        <v>0</v>
      </c>
      <c r="M19" s="15">
        <v>0</v>
      </c>
      <c r="N19" s="16">
        <f>SUM(B19:M19)</f>
        <v>0</v>
      </c>
      <c r="O19" s="15">
        <v>0</v>
      </c>
      <c r="P19" s="362">
        <v>0</v>
      </c>
      <c r="Q19" s="16">
        <v>0</v>
      </c>
      <c r="R19" s="329">
        <v>0</v>
      </c>
    </row>
    <row r="20" spans="1:18">
      <c r="A20" s="344" t="s">
        <v>196</v>
      </c>
      <c r="B20" s="444">
        <f t="shared" ref="B20:N20" si="3">SUM(B19:B19)</f>
        <v>0</v>
      </c>
      <c r="C20" s="18">
        <f t="shared" si="3"/>
        <v>0</v>
      </c>
      <c r="D20" s="18">
        <f t="shared" si="3"/>
        <v>0</v>
      </c>
      <c r="E20" s="18">
        <f t="shared" si="3"/>
        <v>0</v>
      </c>
      <c r="F20" s="18">
        <f t="shared" si="3"/>
        <v>0</v>
      </c>
      <c r="G20" s="290">
        <f t="shared" si="3"/>
        <v>0</v>
      </c>
      <c r="H20" s="18">
        <f t="shared" si="3"/>
        <v>0</v>
      </c>
      <c r="I20" s="18">
        <f t="shared" si="3"/>
        <v>0</v>
      </c>
      <c r="J20" s="18">
        <f t="shared" si="3"/>
        <v>0</v>
      </c>
      <c r="K20" s="18">
        <f t="shared" si="3"/>
        <v>0</v>
      </c>
      <c r="L20" s="18">
        <f t="shared" si="3"/>
        <v>0</v>
      </c>
      <c r="M20" s="18">
        <f t="shared" si="3"/>
        <v>0</v>
      </c>
      <c r="N20" s="19">
        <f t="shared" si="3"/>
        <v>0</v>
      </c>
      <c r="O20" s="19">
        <f>SUM(B20:M20)</f>
        <v>0</v>
      </c>
      <c r="P20" s="361">
        <f>SUM(P19:P19)</f>
        <v>0</v>
      </c>
      <c r="Q20" s="19">
        <f>SUM(Q19:Q19)</f>
        <v>0</v>
      </c>
      <c r="R20" s="331">
        <v>0</v>
      </c>
    </row>
    <row r="21" spans="1:18">
      <c r="A21" s="345"/>
      <c r="B21" s="443"/>
      <c r="C21" s="15"/>
      <c r="D21" s="15"/>
      <c r="E21" s="15"/>
      <c r="F21" s="15"/>
      <c r="G21" s="289"/>
      <c r="H21" s="15"/>
      <c r="I21" s="15"/>
      <c r="J21" s="15"/>
      <c r="K21" s="15"/>
      <c r="L21" s="15"/>
      <c r="M21" s="15"/>
      <c r="N21" s="16"/>
      <c r="O21" s="16"/>
      <c r="P21" s="362"/>
      <c r="Q21" s="16"/>
      <c r="R21" s="332"/>
    </row>
    <row r="22" spans="1:18" ht="25.5">
      <c r="A22" s="341" t="s">
        <v>197</v>
      </c>
      <c r="B22" s="443"/>
      <c r="C22" s="15"/>
      <c r="D22" s="15"/>
      <c r="E22" s="15"/>
      <c r="F22" s="142"/>
      <c r="G22" s="289"/>
      <c r="H22" s="142"/>
      <c r="I22" s="142"/>
      <c r="J22" s="142"/>
      <c r="K22" s="142"/>
      <c r="L22" s="142"/>
      <c r="M22" s="142"/>
      <c r="N22" s="16"/>
      <c r="O22" s="16"/>
      <c r="P22" s="360"/>
      <c r="Q22" s="17"/>
      <c r="R22" s="329"/>
    </row>
    <row r="23" spans="1:18">
      <c r="A23" s="342" t="s">
        <v>198</v>
      </c>
      <c r="B23" s="540">
        <v>25434.629999999997</v>
      </c>
      <c r="C23" s="536">
        <v>140465.22</v>
      </c>
      <c r="D23" s="536">
        <v>157673.19000000003</v>
      </c>
      <c r="E23" s="536">
        <v>147762.50999999995</v>
      </c>
      <c r="F23" s="536">
        <v>15596.34</v>
      </c>
      <c r="G23" s="536">
        <v>40691.949999999997</v>
      </c>
      <c r="H23" s="536">
        <v>0</v>
      </c>
      <c r="I23" s="536">
        <v>0</v>
      </c>
      <c r="J23" s="536">
        <v>0</v>
      </c>
      <c r="K23" s="536">
        <v>0</v>
      </c>
      <c r="L23" s="536">
        <v>0</v>
      </c>
      <c r="M23" s="538">
        <v>0</v>
      </c>
      <c r="N23" s="539">
        <f>SUM(B23:M23)</f>
        <v>527623.84</v>
      </c>
      <c r="O23" s="15">
        <f>2336825.61+N23</f>
        <v>2864449.4499999997</v>
      </c>
      <c r="P23" s="362">
        <v>8320000</v>
      </c>
      <c r="Q23" s="16">
        <v>0</v>
      </c>
      <c r="R23" s="329">
        <f t="shared" ref="R23" si="4">+O23/P23</f>
        <v>0.34428478966346149</v>
      </c>
    </row>
    <row r="24" spans="1:18">
      <c r="A24" s="344" t="s">
        <v>199</v>
      </c>
      <c r="B24" s="540">
        <f t="shared" ref="B24:N24" si="5">SUM(B23:B23)</f>
        <v>25434.629999999997</v>
      </c>
      <c r="C24" s="535">
        <f t="shared" si="5"/>
        <v>140465.22</v>
      </c>
      <c r="D24" s="535">
        <f t="shared" si="5"/>
        <v>157673.19000000003</v>
      </c>
      <c r="E24" s="535">
        <f t="shared" si="5"/>
        <v>147762.50999999995</v>
      </c>
      <c r="F24" s="535">
        <f t="shared" si="5"/>
        <v>15596.34</v>
      </c>
      <c r="G24" s="536">
        <f t="shared" si="5"/>
        <v>40691.949999999997</v>
      </c>
      <c r="H24" s="535">
        <f t="shared" si="5"/>
        <v>0</v>
      </c>
      <c r="I24" s="535">
        <f t="shared" si="5"/>
        <v>0</v>
      </c>
      <c r="J24" s="535">
        <f t="shared" si="5"/>
        <v>0</v>
      </c>
      <c r="K24" s="535">
        <f t="shared" si="5"/>
        <v>0</v>
      </c>
      <c r="L24" s="535">
        <f t="shared" si="5"/>
        <v>0</v>
      </c>
      <c r="M24" s="535">
        <f t="shared" si="5"/>
        <v>0</v>
      </c>
      <c r="N24" s="19">
        <f t="shared" si="5"/>
        <v>527623.84</v>
      </c>
      <c r="O24" s="19">
        <f>O23</f>
        <v>2864449.4499999997</v>
      </c>
      <c r="P24" s="361">
        <f>SUM(P23:P23)</f>
        <v>8320000</v>
      </c>
      <c r="Q24" s="19">
        <f>SUM(Q23:Q23)</f>
        <v>0</v>
      </c>
      <c r="R24" s="331">
        <f>O24/P24</f>
        <v>0.34428478966346149</v>
      </c>
    </row>
    <row r="25" spans="1:18">
      <c r="A25" s="341"/>
      <c r="B25" s="443"/>
      <c r="C25" s="15"/>
      <c r="D25" s="15"/>
      <c r="E25" s="15"/>
      <c r="F25" s="142"/>
      <c r="G25" s="289"/>
      <c r="H25" s="142"/>
      <c r="I25" s="142"/>
      <c r="J25" s="142"/>
      <c r="K25" s="142"/>
      <c r="L25" s="142"/>
      <c r="M25" s="142"/>
      <c r="N25" s="16"/>
      <c r="O25" s="16"/>
      <c r="P25" s="360"/>
      <c r="Q25" s="17"/>
      <c r="R25" s="329"/>
    </row>
    <row r="26" spans="1:18">
      <c r="A26" s="341" t="s">
        <v>200</v>
      </c>
      <c r="B26" s="443"/>
      <c r="C26" s="15"/>
      <c r="D26" s="15"/>
      <c r="E26" s="15"/>
      <c r="F26" s="142"/>
      <c r="G26" s="289"/>
      <c r="H26" s="142"/>
      <c r="I26" s="142"/>
      <c r="J26" s="142"/>
      <c r="K26" s="142"/>
      <c r="L26" s="142"/>
      <c r="M26" s="142"/>
      <c r="N26" s="16"/>
      <c r="O26" s="16"/>
      <c r="P26" s="360"/>
      <c r="Q26" s="17"/>
      <c r="R26" s="329"/>
    </row>
    <row r="27" spans="1:18">
      <c r="A27" s="342" t="s">
        <v>201</v>
      </c>
      <c r="B27" s="442">
        <v>40100.240000000005</v>
      </c>
      <c r="C27" s="542">
        <v>64044.32</v>
      </c>
      <c r="D27" s="542">
        <v>6594.79</v>
      </c>
      <c r="E27" s="542">
        <v>6966.230000000005</v>
      </c>
      <c r="F27" s="542">
        <v>11639.820000000005</v>
      </c>
      <c r="G27" s="542">
        <v>67467.72</v>
      </c>
      <c r="H27" s="542">
        <v>0</v>
      </c>
      <c r="I27" s="542">
        <v>0</v>
      </c>
      <c r="J27" s="542">
        <v>0</v>
      </c>
      <c r="K27" s="542">
        <v>0</v>
      </c>
      <c r="L27" s="542">
        <v>0</v>
      </c>
      <c r="M27" s="543">
        <v>0</v>
      </c>
      <c r="N27" s="539">
        <f>SUM(B27:M27)</f>
        <v>196813.12</v>
      </c>
      <c r="O27" s="15">
        <f>876453.01+N27</f>
        <v>1073266.1299999999</v>
      </c>
      <c r="P27" s="362">
        <v>3483000</v>
      </c>
      <c r="Q27" s="16">
        <v>0</v>
      </c>
      <c r="R27" s="329">
        <f t="shared" ref="R27:R29" si="6">+O27/P27</f>
        <v>0.3081441659488946</v>
      </c>
    </row>
    <row r="28" spans="1:18">
      <c r="A28" s="342" t="s">
        <v>202</v>
      </c>
      <c r="B28" s="443">
        <v>32236.809999999998</v>
      </c>
      <c r="C28" s="429">
        <v>34720.53</v>
      </c>
      <c r="D28" s="429">
        <v>24027.439999999999</v>
      </c>
      <c r="E28" s="429">
        <v>30223.21</v>
      </c>
      <c r="F28" s="429">
        <v>42039.67</v>
      </c>
      <c r="G28" s="429">
        <v>45971.29</v>
      </c>
      <c r="H28" s="429">
        <v>0</v>
      </c>
      <c r="I28" s="429">
        <v>0</v>
      </c>
      <c r="J28" s="429">
        <v>0</v>
      </c>
      <c r="K28" s="429">
        <v>0</v>
      </c>
      <c r="L28" s="429">
        <v>0</v>
      </c>
      <c r="M28" s="532">
        <v>0</v>
      </c>
      <c r="N28" s="539">
        <f>SUM(B28:M28)</f>
        <v>209218.94999999998</v>
      </c>
      <c r="O28" s="15">
        <f>1065210.38+N28</f>
        <v>1274429.3299999998</v>
      </c>
      <c r="P28" s="362">
        <v>3794000</v>
      </c>
      <c r="Q28" s="16">
        <v>0</v>
      </c>
      <c r="R28" s="329">
        <f t="shared" si="6"/>
        <v>0.33590651818661038</v>
      </c>
    </row>
    <row r="29" spans="1:18">
      <c r="A29" s="346" t="s">
        <v>203</v>
      </c>
      <c r="B29" s="540">
        <v>19221.389999999996</v>
      </c>
      <c r="C29" s="536">
        <v>19881.62</v>
      </c>
      <c r="D29" s="536">
        <v>19473.639999999992</v>
      </c>
      <c r="E29" s="536">
        <v>98066.9</v>
      </c>
      <c r="F29" s="536">
        <v>65554.180000000008</v>
      </c>
      <c r="G29" s="536">
        <v>16421.170000000006</v>
      </c>
      <c r="H29" s="536">
        <v>0</v>
      </c>
      <c r="I29" s="536">
        <v>0</v>
      </c>
      <c r="J29" s="536">
        <v>0</v>
      </c>
      <c r="K29" s="536">
        <v>0</v>
      </c>
      <c r="L29" s="536">
        <v>0</v>
      </c>
      <c r="M29" s="538">
        <v>0</v>
      </c>
      <c r="N29" s="539">
        <f>SUM(B29:M29)</f>
        <v>238618.9</v>
      </c>
      <c r="O29" s="15">
        <f>591946.07+N29</f>
        <v>830564.97</v>
      </c>
      <c r="P29" s="16">
        <v>11267000</v>
      </c>
      <c r="Q29" s="16">
        <v>0</v>
      </c>
      <c r="R29" s="329">
        <f t="shared" si="6"/>
        <v>7.3716603354930327E-2</v>
      </c>
    </row>
    <row r="30" spans="1:18">
      <c r="A30" s="344" t="s">
        <v>204</v>
      </c>
      <c r="B30" s="540">
        <f t="shared" ref="B30:J30" si="7">SUM(B27:B29)</f>
        <v>91558.44</v>
      </c>
      <c r="C30" s="535">
        <f t="shared" si="7"/>
        <v>118646.47</v>
      </c>
      <c r="D30" s="535">
        <f t="shared" si="7"/>
        <v>50095.869999999995</v>
      </c>
      <c r="E30" s="535">
        <f>SUM(E27:E29)</f>
        <v>135256.34</v>
      </c>
      <c r="F30" s="541">
        <f t="shared" si="7"/>
        <v>119233.67000000001</v>
      </c>
      <c r="G30" s="536">
        <f t="shared" si="7"/>
        <v>129860.18000000002</v>
      </c>
      <c r="H30" s="541">
        <f t="shared" si="7"/>
        <v>0</v>
      </c>
      <c r="I30" s="541">
        <f t="shared" si="7"/>
        <v>0</v>
      </c>
      <c r="J30" s="541">
        <f t="shared" si="7"/>
        <v>0</v>
      </c>
      <c r="K30" s="541">
        <f t="shared" ref="K30:Q30" si="8">SUM(K27:K29)</f>
        <v>0</v>
      </c>
      <c r="L30" s="541">
        <f t="shared" si="8"/>
        <v>0</v>
      </c>
      <c r="M30" s="541">
        <f t="shared" si="8"/>
        <v>0</v>
      </c>
      <c r="N30" s="19">
        <f t="shared" si="8"/>
        <v>644650.97</v>
      </c>
      <c r="O30" s="19">
        <f t="shared" si="8"/>
        <v>3178260.4299999997</v>
      </c>
      <c r="P30" s="361">
        <f>SUM(P27:P29)</f>
        <v>18544000</v>
      </c>
      <c r="Q30" s="19">
        <f t="shared" si="8"/>
        <v>0</v>
      </c>
      <c r="R30" s="331">
        <f>O30/P30</f>
        <v>0.17139023026315789</v>
      </c>
    </row>
    <row r="31" spans="1:18">
      <c r="A31" s="342"/>
      <c r="B31" s="443"/>
      <c r="C31" s="15"/>
      <c r="D31" s="15"/>
      <c r="E31" s="15"/>
      <c r="F31" s="142"/>
      <c r="G31" s="289"/>
      <c r="H31" s="142"/>
      <c r="I31" s="142"/>
      <c r="J31" s="142"/>
      <c r="K31" s="142"/>
      <c r="L31" s="142"/>
      <c r="M31" s="142"/>
      <c r="N31" s="16"/>
      <c r="O31" s="16"/>
      <c r="P31" s="362"/>
      <c r="Q31" s="16"/>
      <c r="R31" s="329"/>
    </row>
    <row r="32" spans="1:18">
      <c r="A32" s="341" t="s">
        <v>205</v>
      </c>
      <c r="B32" s="443"/>
      <c r="C32" s="15"/>
      <c r="D32" s="15"/>
      <c r="E32" s="15"/>
      <c r="F32" s="142"/>
      <c r="G32" s="289"/>
      <c r="H32" s="142"/>
      <c r="I32" s="142"/>
      <c r="J32" s="142"/>
      <c r="K32" s="142"/>
      <c r="L32" s="142"/>
      <c r="M32" s="142"/>
      <c r="N32" s="16"/>
      <c r="O32" s="16"/>
      <c r="P32" s="362"/>
      <c r="Q32" s="16"/>
      <c r="R32" s="329"/>
    </row>
    <row r="33" spans="1:18">
      <c r="A33" s="342" t="s">
        <v>206</v>
      </c>
      <c r="B33" s="442">
        <v>0</v>
      </c>
      <c r="C33" s="542">
        <v>0</v>
      </c>
      <c r="D33" s="542">
        <v>0</v>
      </c>
      <c r="E33" s="542">
        <v>0</v>
      </c>
      <c r="F33" s="542">
        <v>0</v>
      </c>
      <c r="G33" s="542">
        <v>0</v>
      </c>
      <c r="H33" s="542">
        <v>0</v>
      </c>
      <c r="I33" s="542">
        <v>0</v>
      </c>
      <c r="J33" s="542">
        <v>0</v>
      </c>
      <c r="K33" s="542">
        <v>0</v>
      </c>
      <c r="L33" s="542">
        <v>0</v>
      </c>
      <c r="M33" s="543">
        <v>0</v>
      </c>
      <c r="N33" s="539">
        <f>SUM(B33:M33)</f>
        <v>0</v>
      </c>
      <c r="O33" s="15">
        <f>8111.66+N33</f>
        <v>8111.66</v>
      </c>
      <c r="P33" s="362">
        <v>2507000</v>
      </c>
      <c r="Q33" s="16">
        <v>0</v>
      </c>
      <c r="R33" s="329">
        <f t="shared" ref="R33:R36" si="9">+O33/P33</f>
        <v>3.2356043079377742E-3</v>
      </c>
    </row>
    <row r="34" spans="1:18">
      <c r="A34" s="342" t="s">
        <v>207</v>
      </c>
      <c r="B34" s="443">
        <v>0</v>
      </c>
      <c r="C34" s="429">
        <v>256.56</v>
      </c>
      <c r="D34" s="429">
        <v>2131.08</v>
      </c>
      <c r="E34" s="429">
        <v>1943.22</v>
      </c>
      <c r="F34" s="429">
        <v>1669.8600000000001</v>
      </c>
      <c r="G34" s="429">
        <v>1846.42</v>
      </c>
      <c r="H34" s="429">
        <v>0</v>
      </c>
      <c r="I34" s="429">
        <v>0</v>
      </c>
      <c r="J34" s="429">
        <v>0</v>
      </c>
      <c r="K34" s="429">
        <v>0</v>
      </c>
      <c r="L34" s="429">
        <v>0</v>
      </c>
      <c r="M34" s="532">
        <v>0</v>
      </c>
      <c r="N34" s="539">
        <f>SUM(B34:M34)</f>
        <v>7847.1399999999994</v>
      </c>
      <c r="O34" s="15">
        <f>0+N34</f>
        <v>7847.1399999999994</v>
      </c>
      <c r="P34" s="16">
        <v>500000</v>
      </c>
      <c r="Q34" s="16">
        <v>0</v>
      </c>
      <c r="R34" s="329">
        <f t="shared" si="9"/>
        <v>1.5694279999999998E-2</v>
      </c>
    </row>
    <row r="35" spans="1:18">
      <c r="A35" s="369" t="s">
        <v>208</v>
      </c>
      <c r="B35" s="443">
        <v>1411.1</v>
      </c>
      <c r="C35" s="429">
        <v>1603.54</v>
      </c>
      <c r="D35" s="429">
        <v>74418.97</v>
      </c>
      <c r="E35" s="429">
        <v>3134.75</v>
      </c>
      <c r="F35" s="429">
        <v>3788.91</v>
      </c>
      <c r="G35" s="429">
        <v>3934.96</v>
      </c>
      <c r="H35" s="429">
        <v>0</v>
      </c>
      <c r="I35" s="429">
        <v>0</v>
      </c>
      <c r="J35" s="429">
        <v>0</v>
      </c>
      <c r="K35" s="429">
        <v>0</v>
      </c>
      <c r="L35" s="429">
        <v>0</v>
      </c>
      <c r="M35" s="532">
        <v>0</v>
      </c>
      <c r="N35" s="539">
        <f>SUM(B35:M35)</f>
        <v>88292.23000000001</v>
      </c>
      <c r="O35" s="15">
        <f>389509.21+N35</f>
        <v>477801.44000000006</v>
      </c>
      <c r="P35" s="362">
        <v>2148000</v>
      </c>
      <c r="Q35" s="16">
        <v>0</v>
      </c>
      <c r="R35" s="329">
        <f t="shared" si="9"/>
        <v>0.22244014897579145</v>
      </c>
    </row>
    <row r="36" spans="1:18">
      <c r="A36" s="370" t="s">
        <v>209</v>
      </c>
      <c r="B36" s="540">
        <v>0</v>
      </c>
      <c r="C36" s="536">
        <v>0</v>
      </c>
      <c r="D36" s="536">
        <v>0</v>
      </c>
      <c r="E36" s="536">
        <v>0</v>
      </c>
      <c r="F36" s="536">
        <v>0</v>
      </c>
      <c r="G36" s="536">
        <v>0</v>
      </c>
      <c r="H36" s="536">
        <v>0</v>
      </c>
      <c r="I36" s="536">
        <v>0</v>
      </c>
      <c r="J36" s="536">
        <v>0</v>
      </c>
      <c r="K36" s="536">
        <v>0</v>
      </c>
      <c r="L36" s="536">
        <v>0</v>
      </c>
      <c r="M36" s="538">
        <v>0</v>
      </c>
      <c r="N36" s="539">
        <f>SUM(B36:M36)</f>
        <v>0</v>
      </c>
      <c r="O36" s="15">
        <f>36788.21+N36</f>
        <v>36788.21</v>
      </c>
      <c r="P36" s="16">
        <v>340000</v>
      </c>
      <c r="Q36" s="16">
        <v>0</v>
      </c>
      <c r="R36" s="329">
        <f t="shared" si="9"/>
        <v>0.10820061764705882</v>
      </c>
    </row>
    <row r="37" spans="1:18" ht="14.25">
      <c r="A37" s="344" t="s">
        <v>210</v>
      </c>
      <c r="B37" s="540">
        <f t="shared" ref="B37:Q37" si="10">SUM(B33:B36)</f>
        <v>1411.1</v>
      </c>
      <c r="C37" s="535">
        <f t="shared" si="10"/>
        <v>1860.1</v>
      </c>
      <c r="D37" s="535">
        <f t="shared" si="10"/>
        <v>76550.05</v>
      </c>
      <c r="E37" s="535">
        <f t="shared" si="10"/>
        <v>5077.97</v>
      </c>
      <c r="F37" s="535">
        <f t="shared" si="10"/>
        <v>5458.77</v>
      </c>
      <c r="G37" s="536">
        <f t="shared" si="10"/>
        <v>5781.38</v>
      </c>
      <c r="H37" s="535">
        <f t="shared" si="10"/>
        <v>0</v>
      </c>
      <c r="I37" s="535">
        <f t="shared" si="10"/>
        <v>0</v>
      </c>
      <c r="J37" s="535">
        <f t="shared" si="10"/>
        <v>0</v>
      </c>
      <c r="K37" s="535">
        <f t="shared" si="10"/>
        <v>0</v>
      </c>
      <c r="L37" s="535">
        <f t="shared" si="10"/>
        <v>0</v>
      </c>
      <c r="M37" s="533">
        <f t="shared" si="10"/>
        <v>0</v>
      </c>
      <c r="N37" s="213">
        <f>SUM(N33:N36)</f>
        <v>96139.37000000001</v>
      </c>
      <c r="O37" s="19">
        <f>SUM(O33:O36)</f>
        <v>530548.45000000007</v>
      </c>
      <c r="P37" s="361">
        <f t="shared" si="10"/>
        <v>5495000</v>
      </c>
      <c r="Q37" s="19">
        <f t="shared" si="10"/>
        <v>0</v>
      </c>
      <c r="R37" s="331">
        <f>O37/P37</f>
        <v>9.6551128298453151E-2</v>
      </c>
    </row>
    <row r="38" spans="1:18">
      <c r="A38" s="342"/>
      <c r="B38" s="443"/>
      <c r="C38" s="15"/>
      <c r="D38" s="15"/>
      <c r="E38" s="15"/>
      <c r="F38" s="142"/>
      <c r="G38" s="289"/>
      <c r="H38" s="142"/>
      <c r="I38" s="142"/>
      <c r="J38" s="142"/>
      <c r="K38" s="142"/>
      <c r="L38" s="142"/>
      <c r="M38" s="142"/>
      <c r="N38" s="16"/>
      <c r="O38" s="16"/>
      <c r="P38" s="362"/>
      <c r="Q38" s="16"/>
      <c r="R38" s="329"/>
    </row>
    <row r="39" spans="1:18">
      <c r="A39" s="341" t="s">
        <v>211</v>
      </c>
      <c r="B39" s="443"/>
      <c r="C39" s="15"/>
      <c r="D39" s="15"/>
      <c r="E39" s="15"/>
      <c r="F39" s="142"/>
      <c r="G39" s="289"/>
      <c r="H39" s="142"/>
      <c r="I39" s="142"/>
      <c r="J39" s="142"/>
      <c r="K39" s="142"/>
      <c r="L39" s="142"/>
      <c r="M39" s="142"/>
      <c r="N39" s="16"/>
      <c r="O39" s="16"/>
      <c r="P39" s="362"/>
      <c r="Q39" s="16"/>
      <c r="R39" s="329"/>
    </row>
    <row r="40" spans="1:18" ht="14.25">
      <c r="A40" s="342" t="s">
        <v>212</v>
      </c>
      <c r="B40" s="544">
        <v>5607.42</v>
      </c>
      <c r="C40" s="545">
        <v>5068</v>
      </c>
      <c r="D40" s="545">
        <v>-1294.95</v>
      </c>
      <c r="E40" s="545">
        <v>12690</v>
      </c>
      <c r="F40" s="545">
        <v>31269.999999999996</v>
      </c>
      <c r="G40" s="545">
        <v>131030.98999999998</v>
      </c>
      <c r="H40" s="545">
        <v>0</v>
      </c>
      <c r="I40" s="545">
        <v>0</v>
      </c>
      <c r="J40" s="545">
        <v>0</v>
      </c>
      <c r="K40" s="545">
        <v>0</v>
      </c>
      <c r="L40" s="545">
        <v>0</v>
      </c>
      <c r="M40" s="546">
        <v>0</v>
      </c>
      <c r="N40" s="539">
        <f>SUM(B40:M40)</f>
        <v>184371.45999999996</v>
      </c>
      <c r="O40" s="15">
        <f>1811464.47+N40</f>
        <v>1995835.93</v>
      </c>
      <c r="P40" s="362">
        <v>4502000</v>
      </c>
      <c r="Q40" s="16">
        <v>0</v>
      </c>
      <c r="R40" s="329">
        <f t="shared" ref="R40" si="11">+O40/P40</f>
        <v>0.44332206352732118</v>
      </c>
    </row>
    <row r="41" spans="1:18">
      <c r="A41" s="344" t="s">
        <v>213</v>
      </c>
      <c r="B41" s="540">
        <f t="shared" ref="B41:N41" si="12">SUM(B40:B40)</f>
        <v>5607.42</v>
      </c>
      <c r="C41" s="535">
        <f t="shared" si="12"/>
        <v>5068</v>
      </c>
      <c r="D41" s="535">
        <f t="shared" si="12"/>
        <v>-1294.95</v>
      </c>
      <c r="E41" s="535">
        <f t="shared" si="12"/>
        <v>12690</v>
      </c>
      <c r="F41" s="541">
        <f t="shared" si="12"/>
        <v>31269.999999999996</v>
      </c>
      <c r="G41" s="536">
        <f t="shared" si="12"/>
        <v>131030.98999999998</v>
      </c>
      <c r="H41" s="541">
        <f t="shared" si="12"/>
        <v>0</v>
      </c>
      <c r="I41" s="541">
        <f t="shared" si="12"/>
        <v>0</v>
      </c>
      <c r="J41" s="541">
        <f t="shared" si="12"/>
        <v>0</v>
      </c>
      <c r="K41" s="541">
        <f t="shared" si="12"/>
        <v>0</v>
      </c>
      <c r="L41" s="541">
        <f t="shared" si="12"/>
        <v>0</v>
      </c>
      <c r="M41" s="541">
        <f t="shared" si="12"/>
        <v>0</v>
      </c>
      <c r="N41" s="19">
        <f t="shared" si="12"/>
        <v>184371.45999999996</v>
      </c>
      <c r="O41" s="19">
        <f>O40</f>
        <v>1995835.93</v>
      </c>
      <c r="P41" s="361">
        <f>SUM(P40)</f>
        <v>4502000</v>
      </c>
      <c r="Q41" s="19">
        <f>SUM(Q40:Q40)</f>
        <v>0</v>
      </c>
      <c r="R41" s="331">
        <f>O41/P41</f>
        <v>0.44332206352732118</v>
      </c>
    </row>
    <row r="42" spans="1:18">
      <c r="A42" s="341"/>
      <c r="B42" s="443"/>
      <c r="C42" s="15"/>
      <c r="D42" s="15"/>
      <c r="E42" s="15"/>
      <c r="F42" s="142"/>
      <c r="G42" s="289"/>
      <c r="H42" s="142"/>
      <c r="I42" s="142"/>
      <c r="J42" s="142"/>
      <c r="K42" s="142"/>
      <c r="L42" s="142"/>
      <c r="M42" s="142"/>
      <c r="N42" s="16"/>
      <c r="O42" s="445"/>
      <c r="P42" s="446"/>
      <c r="Q42" s="16"/>
      <c r="R42" s="329"/>
    </row>
    <row r="43" spans="1:18">
      <c r="A43" s="341" t="s">
        <v>214</v>
      </c>
      <c r="B43" s="443"/>
      <c r="C43" s="15"/>
      <c r="D43" s="15"/>
      <c r="E43" s="15"/>
      <c r="F43" s="142"/>
      <c r="G43" s="289"/>
      <c r="H43" s="142"/>
      <c r="I43" s="142"/>
      <c r="J43" s="142"/>
      <c r="K43" s="142"/>
      <c r="L43" s="142"/>
      <c r="M43" s="142"/>
      <c r="N43" s="16"/>
      <c r="O43" s="445"/>
      <c r="P43" s="362"/>
      <c r="Q43" s="16"/>
      <c r="R43" s="329"/>
    </row>
    <row r="44" spans="1:18">
      <c r="A44" s="342" t="s">
        <v>215</v>
      </c>
      <c r="B44" s="443">
        <v>28658.379999999997</v>
      </c>
      <c r="C44" s="429">
        <v>29536.71</v>
      </c>
      <c r="D44" s="429">
        <v>49590.439999999995</v>
      </c>
      <c r="E44" s="429">
        <v>50044.15</v>
      </c>
      <c r="F44" s="429">
        <v>46539.71</v>
      </c>
      <c r="G44" s="429">
        <v>48785.2</v>
      </c>
      <c r="H44" s="429">
        <v>0</v>
      </c>
      <c r="I44" s="429">
        <v>0</v>
      </c>
      <c r="J44" s="429">
        <v>0</v>
      </c>
      <c r="K44" s="429">
        <v>0</v>
      </c>
      <c r="L44" s="429">
        <v>0</v>
      </c>
      <c r="M44" s="429">
        <v>0</v>
      </c>
      <c r="N44" s="16">
        <f>SUM(B44:M44)</f>
        <v>253154.58999999997</v>
      </c>
      <c r="O44" s="15">
        <f>1022198.73+N44</f>
        <v>1275353.3199999998</v>
      </c>
      <c r="P44" s="447">
        <v>4095000</v>
      </c>
      <c r="Q44" s="16">
        <v>0</v>
      </c>
      <c r="R44" s="329">
        <f t="shared" ref="R44:R47" si="13">+O44/P44</f>
        <v>0.31144159218559214</v>
      </c>
    </row>
    <row r="45" spans="1:18" s="206" customFormat="1" ht="14.25">
      <c r="A45" s="343" t="s">
        <v>216</v>
      </c>
      <c r="B45" s="443">
        <v>40093.299999999996</v>
      </c>
      <c r="C45" s="429">
        <v>309649.94</v>
      </c>
      <c r="D45" s="429">
        <v>241075.76</v>
      </c>
      <c r="E45" s="429">
        <v>-126678.38999999996</v>
      </c>
      <c r="F45" s="429">
        <v>120194.03</v>
      </c>
      <c r="G45" s="429">
        <v>321849.10000000003</v>
      </c>
      <c r="H45" s="429">
        <v>0</v>
      </c>
      <c r="I45" s="429">
        <v>0</v>
      </c>
      <c r="J45" s="429">
        <v>0</v>
      </c>
      <c r="K45" s="429">
        <v>0</v>
      </c>
      <c r="L45" s="429">
        <v>0</v>
      </c>
      <c r="M45" s="429">
        <v>0</v>
      </c>
      <c r="N45" s="362">
        <f>SUM(B45:M45)</f>
        <v>906183.74</v>
      </c>
      <c r="O45" s="526">
        <f>3230727.24+N45</f>
        <v>4136910.9800000004</v>
      </c>
      <c r="P45" s="447">
        <v>7948000</v>
      </c>
      <c r="Q45" s="362">
        <v>0</v>
      </c>
      <c r="R45" s="527">
        <f t="shared" si="13"/>
        <v>0.52049710367388025</v>
      </c>
    </row>
    <row r="46" spans="1:18" ht="14.25">
      <c r="A46" s="342" t="s">
        <v>217</v>
      </c>
      <c r="B46" s="443">
        <v>76793.719999999987</v>
      </c>
      <c r="C46" s="429">
        <v>100941.29999999999</v>
      </c>
      <c r="D46" s="429">
        <v>74772.52</v>
      </c>
      <c r="E46" s="429">
        <v>-10865.939999999999</v>
      </c>
      <c r="F46" s="429">
        <v>87840</v>
      </c>
      <c r="G46" s="429">
        <v>32978.149999999994</v>
      </c>
      <c r="H46" s="429">
        <v>0</v>
      </c>
      <c r="I46" s="429">
        <v>0</v>
      </c>
      <c r="J46" s="429">
        <v>0</v>
      </c>
      <c r="K46" s="429">
        <v>0</v>
      </c>
      <c r="L46" s="429">
        <v>0</v>
      </c>
      <c r="M46" s="429">
        <v>0</v>
      </c>
      <c r="N46" s="16">
        <f>SUM(B46:M46)</f>
        <v>362459.75</v>
      </c>
      <c r="O46" s="15">
        <f>1507881.71+N46</f>
        <v>1870341.46</v>
      </c>
      <c r="P46" s="448">
        <v>5600600</v>
      </c>
      <c r="Q46" s="16">
        <v>0</v>
      </c>
      <c r="R46" s="329">
        <f t="shared" si="13"/>
        <v>0.33395376566796414</v>
      </c>
    </row>
    <row r="47" spans="1:18">
      <c r="A47" s="342" t="s">
        <v>218</v>
      </c>
      <c r="B47" s="443">
        <v>0</v>
      </c>
      <c r="C47" s="429">
        <v>0</v>
      </c>
      <c r="D47" s="429">
        <v>0</v>
      </c>
      <c r="E47" s="429">
        <v>22346.01</v>
      </c>
      <c r="F47" s="429">
        <v>0</v>
      </c>
      <c r="G47" s="429">
        <v>0</v>
      </c>
      <c r="H47" s="429">
        <v>0</v>
      </c>
      <c r="I47" s="429">
        <v>0</v>
      </c>
      <c r="J47" s="429">
        <v>0</v>
      </c>
      <c r="K47" s="429">
        <v>0</v>
      </c>
      <c r="L47" s="429">
        <v>0</v>
      </c>
      <c r="M47" s="429">
        <v>0</v>
      </c>
      <c r="N47" s="16">
        <f>SUM(B47:M47)</f>
        <v>22346.01</v>
      </c>
      <c r="O47" s="15">
        <f>217109.79+N47</f>
        <v>239455.80000000002</v>
      </c>
      <c r="P47" s="449">
        <v>1000000</v>
      </c>
      <c r="Q47" s="16">
        <v>0</v>
      </c>
      <c r="R47" s="329">
        <f t="shared" si="13"/>
        <v>0.23945580000000002</v>
      </c>
    </row>
    <row r="48" spans="1:18">
      <c r="A48" s="344" t="s">
        <v>219</v>
      </c>
      <c r="B48" s="444">
        <f>SUM(B44:B47)</f>
        <v>145545.39999999997</v>
      </c>
      <c r="C48" s="290">
        <f t="shared" ref="C48:M48" si="14">SUM(C44:C47)</f>
        <v>440127.95</v>
      </c>
      <c r="D48" s="290">
        <f t="shared" si="14"/>
        <v>365438.72000000003</v>
      </c>
      <c r="E48" s="290">
        <f t="shared" si="14"/>
        <v>-65154.169999999969</v>
      </c>
      <c r="F48" s="290">
        <f t="shared" si="14"/>
        <v>254573.74</v>
      </c>
      <c r="G48" s="290">
        <f>SUM(G44:G47)</f>
        <v>403612.45000000007</v>
      </c>
      <c r="H48" s="290">
        <f t="shared" si="14"/>
        <v>0</v>
      </c>
      <c r="I48" s="290">
        <f t="shared" si="14"/>
        <v>0</v>
      </c>
      <c r="J48" s="290">
        <f t="shared" si="14"/>
        <v>0</v>
      </c>
      <c r="K48" s="290">
        <f t="shared" si="14"/>
        <v>0</v>
      </c>
      <c r="L48" s="290">
        <f t="shared" si="14"/>
        <v>0</v>
      </c>
      <c r="M48" s="290">
        <f t="shared" si="14"/>
        <v>0</v>
      </c>
      <c r="N48" s="481">
        <f>N47+N46+N45+N44</f>
        <v>1544144.0899999999</v>
      </c>
      <c r="O48" s="19">
        <f>SUM(O44:O47)</f>
        <v>7522061.5600000005</v>
      </c>
      <c r="P48" s="361">
        <f>SUM(P44:P47)</f>
        <v>18643600</v>
      </c>
      <c r="Q48" s="19">
        <f>SUM(Q44:Q47)</f>
        <v>0</v>
      </c>
      <c r="R48" s="331">
        <f>O48/P48</f>
        <v>0.40346615245982537</v>
      </c>
    </row>
    <row r="49" spans="1:18">
      <c r="A49" s="341"/>
      <c r="B49" s="443"/>
      <c r="C49" s="15"/>
      <c r="D49" s="15"/>
      <c r="E49" s="15"/>
      <c r="F49" s="142"/>
      <c r="G49" s="289"/>
      <c r="H49" s="142"/>
      <c r="I49" s="142"/>
      <c r="J49" s="142"/>
      <c r="K49" s="142"/>
      <c r="L49" s="142"/>
      <c r="M49" s="142"/>
      <c r="N49" s="16"/>
      <c r="O49" s="16"/>
      <c r="P49" s="362"/>
      <c r="Q49" s="16"/>
      <c r="R49" s="329"/>
    </row>
    <row r="50" spans="1:18" ht="15" customHeight="1" thickBot="1">
      <c r="A50" s="347" t="s">
        <v>220</v>
      </c>
      <c r="B50" s="444">
        <f>B48+B41+B37+B30+B24+B20+B16</f>
        <v>333856.49</v>
      </c>
      <c r="C50" s="290">
        <f>C48+C41+C37+C30+C24+C20+C16</f>
        <v>784872.22</v>
      </c>
      <c r="D50" s="290">
        <f t="shared" ref="D50:M50" si="15">D48+D41+D37+D30+D24+D20+D16</f>
        <v>738230.4</v>
      </c>
      <c r="E50" s="290">
        <f t="shared" si="15"/>
        <v>320154.48</v>
      </c>
      <c r="F50" s="290">
        <f t="shared" si="15"/>
        <v>471591.65000000008</v>
      </c>
      <c r="G50" s="290">
        <f t="shared" si="15"/>
        <v>823262.42</v>
      </c>
      <c r="H50" s="290">
        <f t="shared" si="15"/>
        <v>0</v>
      </c>
      <c r="I50" s="290">
        <f t="shared" si="15"/>
        <v>0</v>
      </c>
      <c r="J50" s="290">
        <f t="shared" si="15"/>
        <v>0</v>
      </c>
      <c r="K50" s="290">
        <f t="shared" si="15"/>
        <v>0</v>
      </c>
      <c r="L50" s="290">
        <f t="shared" si="15"/>
        <v>0</v>
      </c>
      <c r="M50" s="290">
        <f t="shared" si="15"/>
        <v>0</v>
      </c>
      <c r="N50" s="317">
        <f>N48+N41+N37+N30+N24+N20+N16</f>
        <v>3471967.6599999997</v>
      </c>
      <c r="O50" s="317">
        <f>O48+O41+O37+O30+O24+O20+O16</f>
        <v>21152712.59</v>
      </c>
      <c r="P50" s="363">
        <f>P48+P41+P37+P30+P24+P20+P16</f>
        <v>82380102</v>
      </c>
      <c r="Q50" s="363">
        <f>Q16+Q30+Q48</f>
        <v>0</v>
      </c>
      <c r="R50" s="333">
        <f>O50/P50</f>
        <v>0.25676968195548</v>
      </c>
    </row>
    <row r="51" spans="1:18" ht="15" customHeight="1" thickTop="1">
      <c r="A51" s="348"/>
      <c r="B51" s="288"/>
      <c r="C51" s="142"/>
      <c r="D51" s="142"/>
      <c r="E51" s="142"/>
      <c r="F51" s="142"/>
      <c r="G51" s="147"/>
      <c r="H51" s="142"/>
      <c r="I51" s="142"/>
      <c r="J51" s="142"/>
      <c r="K51" s="142"/>
      <c r="L51" s="142"/>
      <c r="M51" s="142"/>
      <c r="N51" s="142"/>
      <c r="O51" s="142"/>
      <c r="P51" s="142" t="s">
        <v>58</v>
      </c>
      <c r="Q51" s="142"/>
      <c r="R51" s="334"/>
    </row>
    <row r="52" spans="1:18" ht="10.5" customHeight="1" thickBot="1">
      <c r="A52" s="211"/>
      <c r="B52" s="209"/>
      <c r="C52" s="145"/>
      <c r="D52" s="145"/>
      <c r="E52" s="145"/>
      <c r="F52" s="145"/>
      <c r="G52" s="145"/>
      <c r="H52" s="145"/>
      <c r="I52" s="145"/>
      <c r="J52" s="145"/>
      <c r="K52" s="145"/>
      <c r="L52" s="145"/>
      <c r="M52" s="145"/>
      <c r="N52" s="145"/>
      <c r="O52" s="145"/>
      <c r="P52" s="146"/>
      <c r="Q52" s="146"/>
      <c r="R52" s="335"/>
    </row>
    <row r="53" spans="1:18">
      <c r="A53" s="206"/>
      <c r="G53" s="270"/>
      <c r="P53" s="270" t="s">
        <v>58</v>
      </c>
    </row>
    <row r="54" spans="1:18" ht="15">
      <c r="A54" s="292" t="s">
        <v>69</v>
      </c>
      <c r="B54" s="206"/>
      <c r="N54" s="401"/>
      <c r="P54" s="134" t="s">
        <v>58</v>
      </c>
    </row>
    <row r="55" spans="1:18" ht="14.25">
      <c r="A55" s="627" t="s">
        <v>221</v>
      </c>
      <c r="B55" s="206"/>
      <c r="N55" s="401"/>
      <c r="P55" s="401">
        <f>P50-P24+2981000</f>
        <v>77041102</v>
      </c>
    </row>
    <row r="56" spans="1:18" ht="14.25">
      <c r="A56" s="627" t="s">
        <v>222</v>
      </c>
      <c r="B56" s="206"/>
      <c r="N56" s="401"/>
    </row>
    <row r="57" spans="1:18" ht="14.25">
      <c r="A57" s="627" t="s">
        <v>223</v>
      </c>
    </row>
    <row r="58" spans="1:18" ht="14.25">
      <c r="A58" s="627" t="s">
        <v>224</v>
      </c>
    </row>
    <row r="59" spans="1:18" ht="14.25">
      <c r="A59" s="627" t="s">
        <v>225</v>
      </c>
    </row>
    <row r="61" spans="1:18" ht="15">
      <c r="A61" s="249" t="s">
        <v>76</v>
      </c>
    </row>
  </sheetData>
  <printOptions horizontalCentered="1"/>
  <pageMargins left="0" right="0" top="0.55000000000000004" bottom="0.17" header="0.3" footer="0.15"/>
  <pageSetup paperSize="5" scale="90" orientation="landscape" cellComments="atEnd" r:id="rId1"/>
  <headerFooter alignWithMargins="0">
    <oddHeader xml:space="preserve">&amp;C&amp;"Arial,Bold"
</oddHeader>
    <oddFooter>&amp;Rpage 7 of 11
&amp;A
&amp;D  &amp;T</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19"/>
  <sheetViews>
    <sheetView zoomScaleNormal="100" zoomScaleSheetLayoutView="100" workbookViewId="0">
      <selection activeCell="A17" sqref="A17:XFD17"/>
    </sheetView>
  </sheetViews>
  <sheetFormatPr defaultColWidth="9.28515625" defaultRowHeight="12.75"/>
  <cols>
    <col min="1" max="1" width="29.28515625" style="148" customWidth="1"/>
    <col min="2" max="2" width="15" style="148" customWidth="1"/>
    <col min="3" max="3" width="49.7109375" style="148" customWidth="1"/>
    <col min="4" max="4" width="11.28515625" style="148" customWidth="1"/>
    <col min="5" max="5" width="57" style="148" customWidth="1"/>
    <col min="6" max="16384" width="9.28515625" style="148"/>
  </cols>
  <sheetData>
    <row r="1" spans="1:14">
      <c r="C1" s="154" t="s">
        <v>39</v>
      </c>
    </row>
    <row r="2" spans="1:14">
      <c r="C2" s="154" t="s">
        <v>226</v>
      </c>
    </row>
    <row r="3" spans="1:14">
      <c r="C3" s="207" t="str">
        <f>'Program MW '!H3</f>
        <v>June 2020</v>
      </c>
    </row>
    <row r="4" spans="1:14">
      <c r="C4" s="21"/>
    </row>
    <row r="5" spans="1:14">
      <c r="C5" s="21"/>
      <c r="D5" s="205"/>
    </row>
    <row r="6" spans="1:14" s="21" customFormat="1">
      <c r="A6" s="298"/>
      <c r="B6" s="298"/>
    </row>
    <row r="7" spans="1:14" s="21" customFormat="1"/>
    <row r="8" spans="1:14" s="23" customFormat="1">
      <c r="A8" s="22" t="s">
        <v>227</v>
      </c>
      <c r="B8" s="22" t="s">
        <v>228</v>
      </c>
      <c r="C8" s="22" t="s">
        <v>229</v>
      </c>
      <c r="D8" s="22" t="s">
        <v>230</v>
      </c>
      <c r="E8" s="22" t="s">
        <v>231</v>
      </c>
    </row>
    <row r="9" spans="1:14" s="408" customFormat="1">
      <c r="A9" s="404" t="s">
        <v>58</v>
      </c>
      <c r="B9" s="405" t="s">
        <v>58</v>
      </c>
      <c r="C9" s="412" t="s">
        <v>58</v>
      </c>
      <c r="D9" s="407"/>
      <c r="E9" s="406"/>
    </row>
    <row r="10" spans="1:14" s="411" customFormat="1">
      <c r="A10" s="409" t="s">
        <v>58</v>
      </c>
      <c r="B10" s="410" t="s">
        <v>58</v>
      </c>
      <c r="C10" s="413" t="s">
        <v>58</v>
      </c>
      <c r="D10" s="407"/>
      <c r="E10" s="406"/>
    </row>
    <row r="11" spans="1:14" s="411" customFormat="1">
      <c r="A11" s="409" t="s">
        <v>58</v>
      </c>
      <c r="B11" s="410" t="s">
        <v>58</v>
      </c>
      <c r="C11" s="413" t="s">
        <v>58</v>
      </c>
      <c r="D11" s="407"/>
      <c r="E11" s="414"/>
    </row>
    <row r="12" spans="1:14" s="411" customFormat="1">
      <c r="A12" s="409" t="s">
        <v>58</v>
      </c>
      <c r="B12" s="410" t="s">
        <v>58</v>
      </c>
      <c r="C12" s="413" t="s">
        <v>58</v>
      </c>
      <c r="D12" s="407"/>
      <c r="E12" s="406"/>
    </row>
    <row r="13" spans="1:14">
      <c r="A13" s="150" t="s">
        <v>112</v>
      </c>
      <c r="B13" s="242">
        <f>SUM(B9:B12)</f>
        <v>0</v>
      </c>
      <c r="C13" s="149"/>
      <c r="D13" s="149"/>
      <c r="E13" s="149"/>
    </row>
    <row r="14" spans="1:14">
      <c r="A14" s="149"/>
      <c r="B14" s="149"/>
      <c r="C14" s="149"/>
      <c r="D14" s="149"/>
      <c r="E14" s="149"/>
    </row>
    <row r="15" spans="1:14">
      <c r="N15" s="148">
        <v>15648</v>
      </c>
    </row>
    <row r="16" spans="1:14" ht="14.25">
      <c r="A16" s="588" t="s">
        <v>69</v>
      </c>
      <c r="N16" s="148">
        <v>972</v>
      </c>
    </row>
    <row r="17" spans="1:5" ht="14.25">
      <c r="A17" s="589" t="s">
        <v>232</v>
      </c>
    </row>
    <row r="18" spans="1:5" ht="14.25">
      <c r="A18" s="588"/>
    </row>
    <row r="19" spans="1:5" ht="15">
      <c r="A19" s="590" t="s">
        <v>76</v>
      </c>
      <c r="E19" s="151"/>
    </row>
  </sheetData>
  <phoneticPr fontId="42" type="noConversion"/>
  <printOptions horizontalCentered="1"/>
  <pageMargins left="0" right="0" top="0.55000000000000004" bottom="0.17" header="0.3" footer="0.15"/>
  <pageSetup paperSize="5" orientation="landscape" cellComments="atEnd" r:id="rId1"/>
  <headerFooter alignWithMargins="0">
    <oddHeader xml:space="preserve">&amp;C&amp;"Arial,Bold"
</oddHeader>
    <oddFooter>&amp;Rpage 6 of 11
&amp;A
&amp;D  &amp;T</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7RCVYNPDDY4V-1526832976-84</_dlc_DocId>
    <_dlc_DocIdUrl xmlns="9bf079a2-8838-46e4-a25e-754293e27338">
      <Url>https://sempra.sharepoint.com/teams/sdgecp/po/drps/_layouts/15/DocIdRedir.aspx?ID=7RCVYNPDDY4V-1526832976-84</Url>
      <Description>7RCVYNPDDY4V-1526832976-84</Description>
    </_dlc_DocIdUrl>
    <_Flow_SignoffStatus xmlns="3186f035-0cdb-442a-b3b5-e1bf8686ba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088E984398724D8C1DB16B0011A0BF" ma:contentTypeVersion="3494" ma:contentTypeDescription="Create a new document." ma:contentTypeScope="" ma:versionID="eacbbc78dd6b9707d69f9bd23fb8f73a">
  <xsd:schema xmlns:xsd="http://www.w3.org/2001/XMLSchema" xmlns:xs="http://www.w3.org/2001/XMLSchema" xmlns:p="http://schemas.microsoft.com/office/2006/metadata/properties" xmlns:ns2="9bf079a2-8838-46e4-a25e-754293e27338" xmlns:ns3="3186f035-0cdb-442a-b3b5-e1bf8686ba54" targetNamespace="http://schemas.microsoft.com/office/2006/metadata/properties" ma:root="true" ma:fieldsID="c7aec518f4f639483e6d8d2541f87083" ns2:_="" ns3:_="">
    <xsd:import namespace="9bf079a2-8838-46e4-a25e-754293e27338"/>
    <xsd:import namespace="3186f035-0cdb-442a-b3b5-e1bf8686ba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86f035-0cdb-442a-b3b5-e1bf8686ba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Flow_SignoffStatus" ma:index="1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BCF475-1DB9-4419-A429-5743143F8A2F}">
  <ds:schemaRefs>
    <ds:schemaRef ds:uri="http://schemas.microsoft.com/sharepoint/v3/contenttype/forms"/>
  </ds:schemaRefs>
</ds:datastoreItem>
</file>

<file path=customXml/itemProps2.xml><?xml version="1.0" encoding="utf-8"?>
<ds:datastoreItem xmlns:ds="http://schemas.openxmlformats.org/officeDocument/2006/customXml" ds:itemID="{5B9CE5A5-034A-44C5-96B1-1FD952A1C46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f079a2-8838-46e4-a25e-754293e27338"/>
    <ds:schemaRef ds:uri="http://purl.org/dc/elements/1.1/"/>
    <ds:schemaRef ds:uri="http://www.w3.org/XML/1998/namespace"/>
    <ds:schemaRef ds:uri="3186f035-0cdb-442a-b3b5-e1bf8686ba5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EAD76D3-AD4E-40FE-A459-3D5F84DA2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079a2-8838-46e4-a25e-754293e27338"/>
    <ds:schemaRef ds:uri="3186f035-0cdb-442a-b3b5-e1bf8686b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3276DD-421B-4C61-836D-71402BB1BC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Business Unit Reporting</vt:lpstr>
      <vt:lpstr>Program MW </vt:lpstr>
      <vt:lpstr>Ex ante LI &amp; Eligibility Stats</vt:lpstr>
      <vt:lpstr>Ex post LI &amp; Eligibility Stats</vt:lpstr>
      <vt:lpstr>TA-TI Distribution@</vt:lpstr>
      <vt:lpstr>Auto DR (TI) &amp; Tech Deployment</vt:lpstr>
      <vt:lpstr>Marketing</vt:lpstr>
      <vt:lpstr>DRP Expenditures</vt:lpstr>
      <vt:lpstr>Fund Shift Log</vt:lpstr>
      <vt:lpstr>Event Summary</vt:lpstr>
      <vt:lpstr>SDGE Costs - AMDRMA Balance</vt:lpstr>
      <vt:lpstr>SDGE Costs -GRC </vt:lpstr>
      <vt:lpstr>SDGE Costs -DPDRMA</vt:lpstr>
      <vt:lpstr>'Auto DR (TI) &amp; Tech Deployment'!Print_Area</vt:lpstr>
      <vt:lpstr>'DRP Expenditures'!Print_Area</vt:lpstr>
      <vt:lpstr>'Ex ante LI &amp; Eligibility Stats'!Print_Area</vt:lpstr>
      <vt:lpstr>'Ex post LI &amp; Eligibility Stats'!Print_Area</vt:lpstr>
      <vt:lpstr>'Fund Shift Log'!Print_Area</vt:lpstr>
      <vt:lpstr>Marketing!Print_Area</vt:lpstr>
      <vt:lpstr>'Program MW '!Print_Area</vt:lpstr>
      <vt:lpstr>'SDGE Costs -DPDRMA'!Print_Area</vt:lpstr>
      <vt:lpstr>'SDGE Costs -GRC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Bode2</dc:creator>
  <cp:keywords/>
  <dc:description/>
  <cp:lastModifiedBy>Valdivieso, Guillermo</cp:lastModifiedBy>
  <cp:revision/>
  <dcterms:created xsi:type="dcterms:W3CDTF">2013-01-03T17:03:43Z</dcterms:created>
  <dcterms:modified xsi:type="dcterms:W3CDTF">2020-07-17T22:08:29Z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0x01010021088E984398724D8C1DB16B0011A0BF</vt:lpwstr>
  </property>
  <property fmtid="{D5CDD505-2E9C-101B-9397-08002B2CF9AE}" pid="3" name="BExAnalyzer_OldName">
    <vt:lpwstr>Jan 2018 CPUC Monthly DR Report.xlsx</vt:lpwstr>
  </property>
  <property fmtid="{D5CDD505-2E9C-101B-9397-08002B2CF9AE}" pid="4" name="Order">
    <vt:r8>40500</vt:r8>
  </property>
  <property fmtid="{D5CDD505-2E9C-101B-9397-08002B2CF9AE}" pid="5" name="AuthorIds_UIVersion_2048">
    <vt:lpwstr>143</vt:lpwstr>
  </property>
  <property fmtid="{D5CDD505-2E9C-101B-9397-08002B2CF9AE}" pid="6" name="AuthorIds_UIVersion_10240">
    <vt:lpwstr>126,212</vt:lpwstr>
  </property>
  <property fmtid="{D5CDD505-2E9C-101B-9397-08002B2CF9AE}" pid="7" name="_dlc_DocIdItemGuid">
    <vt:lpwstr>927c96c6-32e0-4280-95b8-52a3af3d50b4</vt:lpwstr>
  </property>
  <property fmtid="{D5CDD505-2E9C-101B-9397-08002B2CF9AE}" pid="8" name="SharedWithUsers">
    <vt:lpwstr>212;#Valdivieso, Guillermo</vt:lpwstr>
  </property>
</Properties>
</file>