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Rate Design\Residential Electrification Rate\Data Requests\Cal Advocates\Cal Advocates DR-003\"/>
    </mc:Choice>
  </mc:AlternateContent>
  <xr:revisionPtr revIDLastSave="0" documentId="13_ncr:1_{C088C223-6515-4BC1-B38C-AFEA1449FD92}" xr6:coauthVersionLast="47" xr6:coauthVersionMax="47" xr10:uidLastSave="{00000000-0000-0000-0000-000000000000}"/>
  <bookViews>
    <workbookView xWindow="-28920" yWindow="3015" windowWidth="29040" windowHeight="15840" xr2:uid="{8487ACFB-BD22-4460-9E8D-7A6954CC8B8D}"/>
  </bookViews>
  <sheets>
    <sheet name="DR03 Q3" sheetId="1" r:id="rId1"/>
  </sheets>
  <externalReferences>
    <externalReference r:id="rId2"/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C51" i="1"/>
  <c r="C50" i="1"/>
  <c r="C52" i="1" l="1"/>
  <c r="C45" i="1"/>
  <c r="C44" i="1"/>
  <c r="C43" i="1"/>
  <c r="AM47" i="1" s="1"/>
  <c r="C42" i="1"/>
  <c r="AK47" i="1" s="1"/>
  <c r="AY47" i="1" l="1"/>
  <c r="W47" i="1" s="1"/>
  <c r="Y47" i="1"/>
  <c r="AC47" i="1"/>
  <c r="AG47" i="1"/>
  <c r="AI47" i="1"/>
  <c r="Z47" i="1"/>
  <c r="AD47" i="1"/>
  <c r="AA47" i="1"/>
  <c r="AE47" i="1"/>
  <c r="AH47" i="1"/>
  <c r="AB47" i="1"/>
  <c r="AF47" i="1"/>
  <c r="AU47" i="1"/>
  <c r="AN47" i="1"/>
  <c r="AP47" i="1"/>
  <c r="AX47" i="1"/>
  <c r="AQ47" i="1"/>
  <c r="AV47" i="1"/>
  <c r="AR47" i="1"/>
  <c r="AW47" i="1"/>
  <c r="AT47" i="1"/>
  <c r="AS47" i="1"/>
  <c r="AJ47" i="1"/>
  <c r="AO47" i="1"/>
  <c r="V47" i="1" l="1"/>
  <c r="N47" i="1"/>
  <c r="U47" i="1"/>
  <c r="T47" i="1"/>
  <c r="S47" i="1"/>
  <c r="Q47" i="1"/>
  <c r="P47" i="1"/>
  <c r="O47" i="1"/>
  <c r="R47" i="1"/>
  <c r="M47" i="1"/>
  <c r="L47" i="1"/>
  <c r="C41" i="1"/>
  <c r="AK42" i="1" l="1"/>
  <c r="W42" i="1" s="1"/>
  <c r="W50" i="1" s="1"/>
  <c r="D32" i="1" s="1"/>
  <c r="AK43" i="1"/>
  <c r="W43" i="1" s="1"/>
  <c r="W51" i="1" s="1"/>
  <c r="AK44" i="1"/>
  <c r="W44" i="1" s="1"/>
  <c r="W52" i="1" s="1"/>
  <c r="AK45" i="1"/>
  <c r="W45" i="1" s="1"/>
  <c r="W53" i="1" s="1"/>
  <c r="F32" i="1" s="1"/>
  <c r="AA42" i="1"/>
  <c r="M42" i="1" s="1"/>
  <c r="M50" i="1" s="1"/>
  <c r="AE42" i="1"/>
  <c r="Q42" i="1" s="1"/>
  <c r="Q50" i="1" s="1"/>
  <c r="AH42" i="1"/>
  <c r="T42" i="1" s="1"/>
  <c r="T50" i="1" s="1"/>
  <c r="AA43" i="1"/>
  <c r="M43" i="1" s="1"/>
  <c r="M51" i="1" s="1"/>
  <c r="AE43" i="1"/>
  <c r="Q43" i="1" s="1"/>
  <c r="Q51" i="1" s="1"/>
  <c r="AH43" i="1"/>
  <c r="T43" i="1" s="1"/>
  <c r="T51" i="1" s="1"/>
  <c r="AA44" i="1"/>
  <c r="M44" i="1" s="1"/>
  <c r="M52" i="1" s="1"/>
  <c r="AE44" i="1"/>
  <c r="Q44" i="1" s="1"/>
  <c r="Q52" i="1" s="1"/>
  <c r="AH44" i="1"/>
  <c r="T44" i="1" s="1"/>
  <c r="T52" i="1" s="1"/>
  <c r="AA45" i="1"/>
  <c r="M45" i="1" s="1"/>
  <c r="M53" i="1" s="1"/>
  <c r="AE45" i="1"/>
  <c r="Q45" i="1" s="1"/>
  <c r="Q53" i="1" s="1"/>
  <c r="AH45" i="1"/>
  <c r="T45" i="1" s="1"/>
  <c r="T53" i="1" s="1"/>
  <c r="AB42" i="1"/>
  <c r="N42" i="1" s="1"/>
  <c r="N50" i="1" s="1"/>
  <c r="AF42" i="1"/>
  <c r="R42" i="1" s="1"/>
  <c r="R50" i="1" s="1"/>
  <c r="AB43" i="1"/>
  <c r="N43" i="1" s="1"/>
  <c r="N51" i="1" s="1"/>
  <c r="AF43" i="1"/>
  <c r="R43" i="1" s="1"/>
  <c r="R51" i="1" s="1"/>
  <c r="AB44" i="1"/>
  <c r="N44" i="1" s="1"/>
  <c r="N52" i="1" s="1"/>
  <c r="AF44" i="1"/>
  <c r="R44" i="1" s="1"/>
  <c r="R52" i="1" s="1"/>
  <c r="AB45" i="1"/>
  <c r="N45" i="1" s="1"/>
  <c r="N53" i="1" s="1"/>
  <c r="AF45" i="1"/>
  <c r="R45" i="1" s="1"/>
  <c r="R53" i="1" s="1"/>
  <c r="Y42" i="1"/>
  <c r="K42" i="1" s="1"/>
  <c r="AC42" i="1"/>
  <c r="O42" i="1" s="1"/>
  <c r="O50" i="1" s="1"/>
  <c r="AG42" i="1"/>
  <c r="S42" i="1" s="1"/>
  <c r="S50" i="1" s="1"/>
  <c r="D29" i="1" s="1"/>
  <c r="Y43" i="1"/>
  <c r="AC43" i="1"/>
  <c r="O43" i="1" s="1"/>
  <c r="O51" i="1" s="1"/>
  <c r="AG43" i="1"/>
  <c r="S43" i="1" s="1"/>
  <c r="S51" i="1" s="1"/>
  <c r="Y44" i="1"/>
  <c r="AC44" i="1"/>
  <c r="O44" i="1" s="1"/>
  <c r="O52" i="1" s="1"/>
  <c r="AG44" i="1"/>
  <c r="S44" i="1" s="1"/>
  <c r="S52" i="1" s="1"/>
  <c r="Y45" i="1"/>
  <c r="AC45" i="1"/>
  <c r="O45" i="1" s="1"/>
  <c r="O53" i="1" s="1"/>
  <c r="AG45" i="1"/>
  <c r="S45" i="1" s="1"/>
  <c r="S53" i="1" s="1"/>
  <c r="F29" i="1" s="1"/>
  <c r="Z42" i="1"/>
  <c r="L42" i="1" s="1"/>
  <c r="L50" i="1" s="1"/>
  <c r="AD42" i="1"/>
  <c r="P42" i="1" s="1"/>
  <c r="P50" i="1" s="1"/>
  <c r="D26" i="1" s="1"/>
  <c r="Z43" i="1"/>
  <c r="L43" i="1" s="1"/>
  <c r="L51" i="1" s="1"/>
  <c r="AD43" i="1"/>
  <c r="P43" i="1" s="1"/>
  <c r="P51" i="1" s="1"/>
  <c r="Z44" i="1"/>
  <c r="L44" i="1" s="1"/>
  <c r="L52" i="1" s="1"/>
  <c r="AD44" i="1"/>
  <c r="P44" i="1" s="1"/>
  <c r="P52" i="1" s="1"/>
  <c r="Z45" i="1"/>
  <c r="L45" i="1" s="1"/>
  <c r="L53" i="1" s="1"/>
  <c r="AD45" i="1"/>
  <c r="P45" i="1" s="1"/>
  <c r="P53" i="1" s="1"/>
  <c r="F26" i="1" s="1"/>
  <c r="AJ42" i="1"/>
  <c r="AJ43" i="1"/>
  <c r="V43" i="1" s="1"/>
  <c r="V51" i="1" s="1"/>
  <c r="AJ44" i="1"/>
  <c r="V44" i="1" s="1"/>
  <c r="V52" i="1" s="1"/>
  <c r="AJ45" i="1"/>
  <c r="AI43" i="1"/>
  <c r="U43" i="1" s="1"/>
  <c r="U51" i="1" s="1"/>
  <c r="AI45" i="1"/>
  <c r="U45" i="1" s="1"/>
  <c r="U53" i="1" s="1"/>
  <c r="AI42" i="1"/>
  <c r="AI44" i="1"/>
  <c r="U44" i="1" s="1"/>
  <c r="U52" i="1" s="1"/>
  <c r="F30" i="1" l="1"/>
  <c r="F25" i="1"/>
  <c r="F24" i="1"/>
  <c r="F23" i="1"/>
  <c r="F21" i="1"/>
  <c r="F22" i="1"/>
  <c r="F27" i="1"/>
  <c r="F28" i="1"/>
  <c r="D25" i="1"/>
  <c r="D24" i="1"/>
  <c r="D23" i="1"/>
  <c r="D28" i="1"/>
  <c r="D27" i="1"/>
  <c r="D21" i="1"/>
  <c r="D22" i="1"/>
  <c r="V45" i="1"/>
  <c r="V53" i="1" s="1"/>
  <c r="F31" i="1" s="1"/>
  <c r="U42" i="1"/>
  <c r="U50" i="1" s="1"/>
  <c r="D30" i="1" s="1"/>
  <c r="V42" i="1"/>
  <c r="V50" i="1" s="1"/>
  <c r="K47" i="1"/>
  <c r="K43" i="1"/>
  <c r="K44" i="1"/>
  <c r="K45" i="1"/>
  <c r="D31" i="1" l="1"/>
  <c r="D33" i="1" s="1"/>
  <c r="D9" i="1" s="1"/>
  <c r="F33" i="1"/>
  <c r="D10" i="1" s="1"/>
  <c r="K51" i="1"/>
  <c r="K52" i="1"/>
  <c r="K50" i="1"/>
  <c r="K53" i="1"/>
  <c r="E10" i="1" l="1"/>
  <c r="G10" i="1" s="1"/>
  <c r="D11" i="1" l="1"/>
  <c r="E9" i="1"/>
  <c r="E11" i="1" s="1"/>
  <c r="G11" i="1" s="1"/>
  <c r="G9" i="1" l="1"/>
</calcChain>
</file>

<file path=xl/sharedStrings.xml><?xml version="1.0" encoding="utf-8"?>
<sst xmlns="http://schemas.openxmlformats.org/spreadsheetml/2006/main" count="104" uniqueCount="74">
  <si>
    <t>San Diego Gas &amp; Electric Company</t>
  </si>
  <si>
    <t>A.21-09-001</t>
  </si>
  <si>
    <t>Cal Advocates - Data Request #3</t>
  </si>
  <si>
    <t>Question 3</t>
  </si>
  <si>
    <t>Date Provided: 9/29/21</t>
  </si>
  <si>
    <t>TOU-DR1 - non-CARE Customer Distribution by Monthly Usage</t>
  </si>
  <si>
    <t>Summary Table: Non-CARE Customer</t>
  </si>
  <si>
    <t>Avg savings per month</t>
  </si>
  <si>
    <t>Avg savings per year</t>
  </si>
  <si>
    <t># Customers</t>
  </si>
  <si>
    <t>Estimated Annual Cost Shift</t>
  </si>
  <si>
    <t>Energy kWh</t>
  </si>
  <si>
    <t>Number of Accounts</t>
  </si>
  <si>
    <t>% of Customers</t>
  </si>
  <si>
    <t>All Tier 1</t>
  </si>
  <si>
    <t>Under 25 kWh</t>
  </si>
  <si>
    <t>All Tier 4</t>
  </si>
  <si>
    <t>25 to 50 kWh</t>
  </si>
  <si>
    <t>Average</t>
  </si>
  <si>
    <t>50 to 75 kWh</t>
  </si>
  <si>
    <t>75 to 100 kWh</t>
  </si>
  <si>
    <t>100 to 125 kWh</t>
  </si>
  <si>
    <t>125 to 150 kWh</t>
  </si>
  <si>
    <t>150 to 200 kWh</t>
  </si>
  <si>
    <t>200 to 250 kWh</t>
  </si>
  <si>
    <t>250 to 300 kWh</t>
  </si>
  <si>
    <t>300 to 350 kWh</t>
  </si>
  <si>
    <t>Estimated Monthly Savings by kWh Consumption &amp; Fixed Charge Level</t>
  </si>
  <si>
    <t>350 to 400 kWh</t>
  </si>
  <si>
    <t>Monthly kWh</t>
  </si>
  <si>
    <t>Tier 1 fixed charge est. Savings</t>
  </si>
  <si>
    <t>Tier 4 fixed charge est. Savings</t>
  </si>
  <si>
    <t>400 to 450 kWh</t>
  </si>
  <si>
    <t>450 to 500 kWh</t>
  </si>
  <si>
    <t>non-benefitter</t>
  </si>
  <si>
    <t>500 to 550 kWh</t>
  </si>
  <si>
    <t>550 to 600 kWh</t>
  </si>
  <si>
    <t>600 to 650 kWh</t>
  </si>
  <si>
    <t>650 to 700 kWh</t>
  </si>
  <si>
    <t>700 to 800 kWh</t>
  </si>
  <si>
    <t>800 to 900 kWh</t>
  </si>
  <si>
    <t>900 to 1000 kWh</t>
  </si>
  <si>
    <t>1000 to 1500 kWh</t>
  </si>
  <si>
    <t>1500 to 2000 kWh</t>
  </si>
  <si>
    <t>2000 to 3000 kWh</t>
  </si>
  <si>
    <t>3000 kWh &lt;</t>
  </si>
  <si>
    <t>Weighted Avg.</t>
  </si>
  <si>
    <t>Total</t>
  </si>
  <si>
    <t>Rate Inputs</t>
  </si>
  <si>
    <t>Bill Calculations</t>
  </si>
  <si>
    <t>6/1/21 Effective Rates</t>
  </si>
  <si>
    <t>Total Bills (Distribution &amp; TRAC)</t>
  </si>
  <si>
    <t>Distribution Bills</t>
  </si>
  <si>
    <t>TRAC Bills</t>
  </si>
  <si>
    <t>TOU-ELEC Base Distribution</t>
  </si>
  <si>
    <t>Bills by Tier/Usage</t>
  </si>
  <si>
    <t>Fixed Charge</t>
  </si>
  <si>
    <t>kWh</t>
  </si>
  <si>
    <t>TOUDR1 Base Distribution</t>
  </si>
  <si>
    <t>TOU-ELEC</t>
  </si>
  <si>
    <t>Tier 1</t>
  </si>
  <si>
    <t>$/month</t>
  </si>
  <si>
    <t>TRAC Baseline Credit</t>
  </si>
  <si>
    <t>Tier 2</t>
  </si>
  <si>
    <t>TRAC Tier 2 charge - Summer</t>
  </si>
  <si>
    <t>Tier 3</t>
  </si>
  <si>
    <t>TRAC Tier 2 charge - Winter</t>
  </si>
  <si>
    <t>Tier 4</t>
  </si>
  <si>
    <t>TOUDR1</t>
  </si>
  <si>
    <t>Baseline Allowances</t>
  </si>
  <si>
    <t>Bill Change by Tier/Usage (Decrease)/Increase</t>
  </si>
  <si>
    <t>Basic - Coastal</t>
  </si>
  <si>
    <t>Basic - Inland</t>
  </si>
  <si>
    <t>Billing period baseline allowance (30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</si>
</sst>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_);_(* \(#,##0.00000\);_(* &quot;-&quot;??_);_(@_)"/>
    <numFmt numFmtId="166" formatCode="_(* #,##0.0_);_(* \(#,##0.0\);_(* &quot;-&quot;??_);_(@_)"/>
    <numFmt numFmtId="167" formatCode="_(* #,##0.0_);_(* \(#,##0.0\);_(* &quot;-&quot;?_);_(@_)"/>
    <numFmt numFmtId="168" formatCode="_(* #,##0_);_(* \(#,##0\);_(* &quot;-&quot;??_);_(@_)"/>
  </numFmts>
  <fonts count="5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9" xfId="0" applyBorder="1"/>
    <xf numFmtId="165" fontId="0" fillId="0" borderId="9" xfId="2" applyNumberFormat="1" applyFont="1" applyBorder="1"/>
    <xf numFmtId="0" fontId="0" fillId="0" borderId="0" xfId="0" applyAlignment="1">
      <alignment horizontal="center"/>
    </xf>
    <xf numFmtId="166" fontId="0" fillId="0" borderId="9" xfId="2" applyNumberFormat="1" applyFont="1" applyBorder="1"/>
    <xf numFmtId="0" fontId="0" fillId="0" borderId="3" xfId="0" applyBorder="1" applyAlignment="1">
      <alignment horizontal="center"/>
    </xf>
    <xf numFmtId="164" fontId="0" fillId="0" borderId="3" xfId="1" applyNumberFormat="1" applyFont="1" applyBorder="1"/>
    <xf numFmtId="0" fontId="0" fillId="0" borderId="3" xfId="0" applyBorder="1"/>
    <xf numFmtId="43" fontId="0" fillId="0" borderId="3" xfId="0" applyNumberFormat="1" applyBorder="1"/>
    <xf numFmtId="43" fontId="0" fillId="0" borderId="4" xfId="0" applyNumberFormat="1" applyBorder="1"/>
    <xf numFmtId="164" fontId="0" fillId="0" borderId="0" xfId="1" applyNumberFormat="1" applyFont="1" applyBorder="1"/>
    <xf numFmtId="43" fontId="0" fillId="0" borderId="0" xfId="0" applyNumberFormat="1"/>
    <xf numFmtId="43" fontId="0" fillId="0" borderId="6" xfId="0" applyNumberFormat="1" applyBorder="1"/>
    <xf numFmtId="164" fontId="0" fillId="0" borderId="1" xfId="1" applyNumberFormat="1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4" fontId="0" fillId="0" borderId="11" xfId="1" applyNumberFormat="1" applyFont="1" applyBorder="1"/>
    <xf numFmtId="43" fontId="0" fillId="0" borderId="11" xfId="0" applyNumberFormat="1" applyBorder="1"/>
    <xf numFmtId="43" fontId="0" fillId="0" borderId="12" xfId="0" applyNumberFormat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43" fontId="0" fillId="0" borderId="8" xfId="0" applyNumberFormat="1" applyBorder="1"/>
    <xf numFmtId="44" fontId="0" fillId="0" borderId="0" xfId="0" applyNumberFormat="1"/>
    <xf numFmtId="168" fontId="0" fillId="0" borderId="0" xfId="2" applyNumberFormat="1" applyFont="1"/>
    <xf numFmtId="9" fontId="0" fillId="0" borderId="0" xfId="3" applyFont="1"/>
    <xf numFmtId="44" fontId="0" fillId="0" borderId="1" xfId="0" applyNumberFormat="1" applyBorder="1"/>
    <xf numFmtId="0" fontId="3" fillId="0" borderId="0" xfId="0" applyFont="1"/>
    <xf numFmtId="167" fontId="0" fillId="0" borderId="9" xfId="0" applyNumberForma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10" xfId="0" applyFill="1" applyBorder="1"/>
    <xf numFmtId="44" fontId="0" fillId="2" borderId="0" xfId="0" applyNumberFormat="1" applyFill="1"/>
    <xf numFmtId="0" fontId="0" fillId="2" borderId="0" xfId="0" applyFill="1" applyAlignment="1">
      <alignment horizontal="right"/>
    </xf>
    <xf numFmtId="0" fontId="0" fillId="4" borderId="9" xfId="0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9" xfId="0" applyFill="1" applyBorder="1"/>
    <xf numFmtId="164" fontId="0" fillId="0" borderId="9" xfId="0" applyNumberFormat="1" applyBorder="1"/>
    <xf numFmtId="168" fontId="0" fillId="0" borderId="9" xfId="2" applyNumberFormat="1" applyFont="1" applyBorder="1"/>
    <xf numFmtId="0" fontId="0" fillId="5" borderId="9" xfId="0" applyFill="1" applyBorder="1"/>
    <xf numFmtId="164" fontId="0" fillId="5" borderId="9" xfId="0" applyNumberFormat="1" applyFill="1" applyBorder="1"/>
    <xf numFmtId="168" fontId="0" fillId="5" borderId="9" xfId="2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167" fontId="0" fillId="0" borderId="3" xfId="0" applyNumberFormat="1" applyBorder="1"/>
    <xf numFmtId="0" fontId="0" fillId="0" borderId="4" xfId="0" applyBorder="1"/>
    <xf numFmtId="167" fontId="0" fillId="0" borderId="0" xfId="0" applyNumberFormat="1"/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0" fillId="4" borderId="10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2" borderId="2" xfId="0" applyFill="1" applyBorder="1" applyAlignment="1">
      <alignment horizontal="center" textRotation="90"/>
    </xf>
    <xf numFmtId="0" fontId="0" fillId="2" borderId="5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3">
    <dxf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Rate%20Design/Residential%20Electrification%20Rate/Rate%20Design/Copy%20of%20CONFIDENTIAL%20-%20Illustrative%20Rate%20Desig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Rate%20Changes/2021%20Rate%20Changes/6-1-21%20Rate%20Change/Consolidated%20Model%206-1-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Rate%20Changes/2021%20Rate%20Changes/6-1-21%20Rate%20Change/Res%20Bill%20Calc%20Model%206-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Descriptions"/>
      <sheetName val="Customer Charge Rate Design"/>
      <sheetName val="Dist. Volumetric Rate Design"/>
      <sheetName val="Total Rate"/>
      <sheetName val="Commodity Rate Design"/>
      <sheetName val="Rate Components"/>
      <sheetName val="Tiered Customer Charge"/>
      <sheetName val="Daily Demand Charge"/>
      <sheetName val="Tiered Customer Charge (2)"/>
    </sheetNames>
    <sheetDataSet>
      <sheetData sheetId="0" refreshError="1"/>
      <sheetData sheetId="1">
        <row r="12">
          <cell r="E12">
            <v>23.949064832325188</v>
          </cell>
        </row>
      </sheetData>
      <sheetData sheetId="2" refreshError="1"/>
      <sheetData sheetId="3" refreshError="1"/>
      <sheetData sheetId="4" refreshError="1"/>
      <sheetData sheetId="5">
        <row r="20">
          <cell r="E20">
            <v>3.5242665858461156E-2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Class Avg Rev Adj"/>
      <sheetName val="Class Avg Rates Adj"/>
      <sheetName val="Class Avg Rev"/>
      <sheetName val="Attachment A"/>
      <sheetName val="Determinants (New TOU)"/>
      <sheetName val="Inputs"/>
      <sheetName val="Determinants"/>
      <sheetName val="Determinants (GF)"/>
      <sheetName val="RROIR CAP"/>
      <sheetName val="Total Present Rate"/>
      <sheetName val="Total Proposed Rate"/>
      <sheetName val="Total Proposed Rate no CAP"/>
      <sheetName val="Total Proposed Rate w CAP"/>
      <sheetName val="Distribution"/>
      <sheetName val="Distribution VGI"/>
      <sheetName val="Distribution MDHD"/>
      <sheetName val="DGR Dist Under-Over"/>
      <sheetName val="Demand Response"/>
      <sheetName val="Total Distribution"/>
      <sheetName val="Transmission"/>
      <sheetName val="PPP"/>
      <sheetName val="ND"/>
      <sheetName val="CTC"/>
      <sheetName val="LGC"/>
      <sheetName val="RS"/>
      <sheetName val="TRAC no CAP"/>
      <sheetName val="TRAC w CAP"/>
      <sheetName val="GHG"/>
      <sheetName val="WF-NBC"/>
      <sheetName val="EECC"/>
      <sheetName val="CPP-D Under-Over for EECC"/>
      <sheetName val="DGR Comm Under-Over"/>
      <sheetName val="PTR Under-Over"/>
      <sheetName val="DPP Under-Over for EECC"/>
      <sheetName val="Total EECC"/>
      <sheetName val="DWR Credit"/>
      <sheetName val="EECC Rate Design"/>
      <sheetName val="DPP_CPP-D"/>
      <sheetName val="CPP-D Und Ovr for CPP-D"/>
      <sheetName val="DGR Comm Und Ovr for CPP"/>
      <sheetName val="DPP Under-Over for CPP-D"/>
      <sheetName val="Total DPP_CPP-D"/>
      <sheetName val="Effective FERA Discount"/>
      <sheetName val="Effective CARE Discount"/>
      <sheetName val="E-LI Workpaper"/>
      <sheetName val="MB Discount"/>
      <sheetName val="Pilot Rates"/>
      <sheetName val="Hourly Commodity"/>
      <sheetName val="Hourly Distribution"/>
      <sheetName val="Total Present Rate (GF)"/>
      <sheetName val="Total Proposed Rate (GF)"/>
      <sheetName val="Total Proposed Rate (GF) no CAP"/>
      <sheetName val="Total Proposed Rate (GF) w CAP"/>
      <sheetName val="Distribution (GF)"/>
      <sheetName val="Distribution VGI (GF)"/>
      <sheetName val="DGR Dist Under-Over (GF)"/>
      <sheetName val="Total Distribution (GF)"/>
      <sheetName val="Transmission (GF)"/>
      <sheetName val="EECC (GF)"/>
      <sheetName val="CPP-D Under-Over for EECC (GF)"/>
      <sheetName val="DGR Comm Under-Over (GF)"/>
      <sheetName val="PTR Under-Over (GF)"/>
      <sheetName val="DPP Under-Over for EECC (GF)"/>
      <sheetName val="Total EECC (GF)"/>
      <sheetName val="DPP_CPP-D (GF)"/>
      <sheetName val="CPP-D Und Ovr for CPP-D (GF)"/>
      <sheetName val="DGR Comm Und Ovr for CPP (GF)"/>
      <sheetName val="DPP Under-Over for CPP-D (GF)"/>
      <sheetName val="Total DPP_CPP-D (GF)"/>
    </sheetNames>
    <sheetDataSet>
      <sheetData sheetId="0"/>
      <sheetData sheetId="1">
        <row r="28">
          <cell r="Q28">
            <v>1827517339</v>
          </cell>
        </row>
      </sheetData>
      <sheetData sheetId="2"/>
      <sheetData sheetId="3">
        <row r="38">
          <cell r="Q38">
            <v>4250567862.9230261</v>
          </cell>
        </row>
      </sheetData>
      <sheetData sheetId="4"/>
      <sheetData sheetId="5">
        <row r="138">
          <cell r="T138">
            <v>41784</v>
          </cell>
        </row>
      </sheetData>
      <sheetData sheetId="6">
        <row r="49">
          <cell r="C49">
            <v>1.3617340186127515E-2</v>
          </cell>
        </row>
      </sheetData>
      <sheetData sheetId="7">
        <row r="12">
          <cell r="P12">
            <v>11707837.603604803</v>
          </cell>
        </row>
      </sheetData>
      <sheetData sheetId="8"/>
      <sheetData sheetId="9"/>
      <sheetData sheetId="10"/>
      <sheetData sheetId="11">
        <row r="19">
          <cell r="AF19">
            <v>-5.5419999999999997E-2</v>
          </cell>
        </row>
        <row r="1094">
          <cell r="AF1094">
            <v>2.989E-2</v>
          </cell>
        </row>
        <row r="1097">
          <cell r="AF1097">
            <v>0.11294</v>
          </cell>
        </row>
        <row r="1100">
          <cell r="AF1100">
            <v>-8.5309999999999997E-2</v>
          </cell>
        </row>
      </sheetData>
      <sheetData sheetId="12"/>
      <sheetData sheetId="13"/>
      <sheetData sheetId="14">
        <row r="5">
          <cell r="AI5">
            <v>0.44201131741885108</v>
          </cell>
        </row>
        <row r="1094">
          <cell r="T1094">
            <v>0.11943250959748207</v>
          </cell>
        </row>
      </sheetData>
      <sheetData sheetId="15">
        <row r="987">
          <cell r="T987">
            <v>6.472315200547142E-4</v>
          </cell>
        </row>
      </sheetData>
      <sheetData sheetId="16">
        <row r="987">
          <cell r="T987">
            <v>7.4306426839515342E-4</v>
          </cell>
        </row>
      </sheetData>
      <sheetData sheetId="17"/>
      <sheetData sheetId="18">
        <row r="987">
          <cell r="T987">
            <v>9.8202018929026218E-4</v>
          </cell>
        </row>
      </sheetData>
      <sheetData sheetId="19">
        <row r="19">
          <cell r="T19">
            <v>0.12180482557522221</v>
          </cell>
        </row>
      </sheetData>
      <sheetData sheetId="20">
        <row r="2984">
          <cell r="AE2984">
            <v>392783407.92534637</v>
          </cell>
        </row>
      </sheetData>
      <sheetData sheetId="21">
        <row r="2984">
          <cell r="AE2984">
            <v>92779467.187449858</v>
          </cell>
        </row>
      </sheetData>
      <sheetData sheetId="22">
        <row r="19">
          <cell r="T19">
            <v>6.5695133518017552E-5</v>
          </cell>
        </row>
      </sheetData>
      <sheetData sheetId="23">
        <row r="5">
          <cell r="AI5">
            <v>0.38553271851922483</v>
          </cell>
        </row>
      </sheetData>
      <sheetData sheetId="24">
        <row r="5">
          <cell r="AI5">
            <v>0.41758550488958696</v>
          </cell>
        </row>
      </sheetData>
      <sheetData sheetId="25">
        <row r="2984">
          <cell r="AE2984">
            <v>-60953.35318518721</v>
          </cell>
        </row>
      </sheetData>
      <sheetData sheetId="26">
        <row r="1191">
          <cell r="T1191">
            <v>2.9888771762906996E-2</v>
          </cell>
        </row>
      </sheetData>
      <sheetData sheetId="27"/>
      <sheetData sheetId="28"/>
      <sheetData sheetId="29">
        <row r="2984">
          <cell r="AE2984">
            <v>22065444.193281099</v>
          </cell>
        </row>
      </sheetData>
      <sheetData sheetId="30"/>
      <sheetData sheetId="31"/>
      <sheetData sheetId="32"/>
      <sheetData sheetId="33"/>
      <sheetData sheetId="34"/>
      <sheetData sheetId="35">
        <row r="19">
          <cell r="T19">
            <v>0.16964114807263228</v>
          </cell>
        </row>
      </sheetData>
      <sheetData sheetId="36">
        <row r="19">
          <cell r="T19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AM6">
            <v>0.32259319783151513</v>
          </cell>
        </row>
      </sheetData>
      <sheetData sheetId="45"/>
      <sheetData sheetId="46"/>
      <sheetData sheetId="47"/>
      <sheetData sheetId="48"/>
      <sheetData sheetId="49"/>
      <sheetData sheetId="50"/>
      <sheetData sheetId="51">
        <row r="1161">
          <cell r="AF1161"/>
        </row>
      </sheetData>
      <sheetData sheetId="52"/>
      <sheetData sheetId="53"/>
      <sheetData sheetId="54">
        <row r="19">
          <cell r="T19">
            <v>0.11943250959748207</v>
          </cell>
        </row>
      </sheetData>
      <sheetData sheetId="55"/>
      <sheetData sheetId="56"/>
      <sheetData sheetId="57">
        <row r="19">
          <cell r="T19">
            <v>0.12180482557522221</v>
          </cell>
        </row>
      </sheetData>
      <sheetData sheetId="58"/>
      <sheetData sheetId="59"/>
      <sheetData sheetId="60"/>
      <sheetData sheetId="61"/>
      <sheetData sheetId="62"/>
      <sheetData sheetId="63"/>
      <sheetData sheetId="64">
        <row r="19">
          <cell r="T19">
            <v>0.16964114807263228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land and Coastal"/>
      <sheetName val="Desert and Mountain"/>
      <sheetName val="Inland and Coastal All-Elec"/>
      <sheetName val="Desert and Mountain All-Elec"/>
      <sheetName val="Rate Input"/>
      <sheetName val="Baseline Input"/>
      <sheetName val="Baseline Allow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I7">
            <v>9</v>
          </cell>
        </row>
        <row r="8">
          <cell r="I8">
            <v>10.4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49A3-E638-41C6-9C64-6B7BD1FFAE16}">
  <dimension ref="A1:AY91"/>
  <sheetViews>
    <sheetView tabSelected="1" zoomScale="85" zoomScaleNormal="85" workbookViewId="0">
      <selection activeCell="E48" sqref="E48"/>
    </sheetView>
  </sheetViews>
  <sheetFormatPr defaultRowHeight="14.1"/>
  <cols>
    <col min="2" max="2" width="3.125" customWidth="1"/>
    <col min="3" max="3" width="15.5" customWidth="1"/>
    <col min="4" max="4" width="11.625" customWidth="1"/>
    <col min="5" max="6" width="13.875" customWidth="1"/>
    <col min="7" max="7" width="14.625" customWidth="1"/>
    <col min="8" max="8" width="17.375" customWidth="1"/>
    <col min="9" max="9" width="17.25" customWidth="1"/>
    <col min="10" max="10" width="14.625" customWidth="1"/>
    <col min="11" max="11" width="15.875" customWidth="1"/>
    <col min="12" max="12" width="10.375" customWidth="1"/>
    <col min="13" max="13" width="9.625" customWidth="1"/>
    <col min="14" max="14" width="12.875" customWidth="1"/>
    <col min="15" max="15" width="13.125" customWidth="1"/>
    <col min="16" max="16" width="14" customWidth="1"/>
    <col min="17" max="17" width="13.875" customWidth="1"/>
    <col min="18" max="24" width="9.625" customWidth="1"/>
  </cols>
  <sheetData>
    <row r="1" spans="1:11">
      <c r="A1" s="31" t="s">
        <v>0</v>
      </c>
    </row>
    <row r="2" spans="1:11">
      <c r="A2" s="31" t="s">
        <v>1</v>
      </c>
    </row>
    <row r="3" spans="1:11">
      <c r="A3" s="31" t="s">
        <v>2</v>
      </c>
    </row>
    <row r="4" spans="1:11">
      <c r="A4" s="31" t="s">
        <v>3</v>
      </c>
    </row>
    <row r="5" spans="1:11">
      <c r="A5" s="31" t="s">
        <v>4</v>
      </c>
    </row>
    <row r="6" spans="1:11">
      <c r="I6" s="59" t="s">
        <v>5</v>
      </c>
      <c r="J6" s="60"/>
      <c r="K6" s="61"/>
    </row>
    <row r="7" spans="1:11">
      <c r="C7" s="67" t="s">
        <v>6</v>
      </c>
      <c r="D7" s="68"/>
      <c r="E7" s="68"/>
      <c r="F7" s="68"/>
      <c r="G7" s="69"/>
      <c r="I7" s="62"/>
      <c r="J7" s="63"/>
      <c r="K7" s="64"/>
    </row>
    <row r="8" spans="1:11" ht="29.45" customHeight="1">
      <c r="C8" s="42"/>
      <c r="D8" s="41" t="s">
        <v>7</v>
      </c>
      <c r="E8" s="41" t="s">
        <v>8</v>
      </c>
      <c r="F8" s="41" t="s">
        <v>9</v>
      </c>
      <c r="G8" s="41" t="s">
        <v>10</v>
      </c>
      <c r="I8" s="40" t="s">
        <v>11</v>
      </c>
      <c r="J8" s="40" t="s">
        <v>12</v>
      </c>
      <c r="K8" s="40" t="s">
        <v>13</v>
      </c>
    </row>
    <row r="9" spans="1:11">
      <c r="C9" s="6" t="s">
        <v>14</v>
      </c>
      <c r="D9" s="43">
        <f>D33</f>
        <v>-55.599107068268218</v>
      </c>
      <c r="E9" s="43">
        <f>D9*12</f>
        <v>-667.18928481921864</v>
      </c>
      <c r="F9" s="44">
        <f>SUM(J22:J32)</f>
        <v>160375</v>
      </c>
      <c r="G9" s="43">
        <f>F9*E9</f>
        <v>-107000481.55288219</v>
      </c>
      <c r="I9" s="24" t="s">
        <v>15</v>
      </c>
      <c r="J9" s="24">
        <v>24903</v>
      </c>
      <c r="K9" s="24">
        <v>4.1903149761315428E-2</v>
      </c>
    </row>
    <row r="10" spans="1:11">
      <c r="C10" s="6" t="s">
        <v>16</v>
      </c>
      <c r="D10" s="43">
        <f>F33</f>
        <v>-65.688783333389836</v>
      </c>
      <c r="E10" s="43">
        <f>D10*12</f>
        <v>-788.26540000067803</v>
      </c>
      <c r="F10" s="44">
        <f>SUM(J27:J32)</f>
        <v>50497</v>
      </c>
      <c r="G10" s="43">
        <f>F10*E10</f>
        <v>-39805037.903834239</v>
      </c>
      <c r="I10" s="24" t="s">
        <v>17</v>
      </c>
      <c r="J10" s="24">
        <v>8726</v>
      </c>
      <c r="K10" s="24">
        <v>1.468284483063239E-2</v>
      </c>
    </row>
    <row r="11" spans="1:11">
      <c r="C11" s="45" t="s">
        <v>18</v>
      </c>
      <c r="D11" s="46">
        <f>AVERAGE(D9:D10)</f>
        <v>-60.643945200829023</v>
      </c>
      <c r="E11" s="46">
        <f>AVERAGE(E9:E10)</f>
        <v>-727.72734240994828</v>
      </c>
      <c r="F11" s="47">
        <v>40000</v>
      </c>
      <c r="G11" s="46">
        <f>F11*E11</f>
        <v>-29109093.69639793</v>
      </c>
      <c r="I11" s="24" t="s">
        <v>19</v>
      </c>
      <c r="J11" s="24">
        <v>10537</v>
      </c>
      <c r="K11" s="24">
        <v>1.7730132475403799E-2</v>
      </c>
    </row>
    <row r="12" spans="1:11" ht="15" customHeight="1">
      <c r="I12" s="24" t="s">
        <v>20</v>
      </c>
      <c r="J12" s="24">
        <v>13329</v>
      </c>
      <c r="K12" s="24">
        <v>2.242810437170515E-2</v>
      </c>
    </row>
    <row r="13" spans="1:11">
      <c r="I13" s="24" t="s">
        <v>21</v>
      </c>
      <c r="J13" s="24">
        <v>16858</v>
      </c>
      <c r="K13" s="24">
        <v>2.8366192775017288E-2</v>
      </c>
    </row>
    <row r="14" spans="1:11">
      <c r="I14" s="24" t="s">
        <v>22</v>
      </c>
      <c r="J14" s="24">
        <v>20825</v>
      </c>
      <c r="K14" s="24">
        <v>3.5041283932835163E-2</v>
      </c>
    </row>
    <row r="15" spans="1:11">
      <c r="I15" s="24" t="s">
        <v>23</v>
      </c>
      <c r="J15" s="24">
        <v>49913</v>
      </c>
      <c r="K15" s="24">
        <v>8.3986343574530664E-2</v>
      </c>
    </row>
    <row r="16" spans="1:11">
      <c r="I16" s="24" t="s">
        <v>24</v>
      </c>
      <c r="J16" s="24">
        <v>55867</v>
      </c>
      <c r="K16" s="24">
        <v>9.4004869602674748E-2</v>
      </c>
    </row>
    <row r="17" spans="3:11">
      <c r="I17" s="24" t="s">
        <v>25</v>
      </c>
      <c r="J17" s="24">
        <v>56146</v>
      </c>
      <c r="K17" s="24">
        <v>9.4474330261366757E-2</v>
      </c>
    </row>
    <row r="18" spans="3:11">
      <c r="I18" s="24" t="s">
        <v>26</v>
      </c>
      <c r="J18" s="24">
        <v>52974</v>
      </c>
      <c r="K18" s="24">
        <v>8.9136949582617503E-2</v>
      </c>
    </row>
    <row r="19" spans="3:11">
      <c r="C19" s="67" t="s">
        <v>27</v>
      </c>
      <c r="D19" s="68"/>
      <c r="E19" s="68"/>
      <c r="F19" s="68"/>
      <c r="G19" s="69"/>
      <c r="I19" s="24" t="s">
        <v>28</v>
      </c>
      <c r="J19" s="24">
        <v>47717</v>
      </c>
      <c r="K19" s="24">
        <v>8.0291233873858114E-2</v>
      </c>
    </row>
    <row r="20" spans="3:11">
      <c r="C20" s="39" t="s">
        <v>29</v>
      </c>
      <c r="D20" s="66" t="s">
        <v>30</v>
      </c>
      <c r="E20" s="77"/>
      <c r="F20" s="65" t="s">
        <v>31</v>
      </c>
      <c r="G20" s="66"/>
      <c r="I20" s="24" t="s">
        <v>32</v>
      </c>
      <c r="J20" s="24">
        <v>41188</v>
      </c>
      <c r="K20" s="24">
        <v>6.9305181398588919E-2</v>
      </c>
    </row>
    <row r="21" spans="3:11">
      <c r="C21" s="24" t="s">
        <v>33</v>
      </c>
      <c r="D21" s="37">
        <f>AVERAGE($N$50,M50,N50)</f>
        <v>0.30562153290135186</v>
      </c>
      <c r="E21" s="38" t="s">
        <v>34</v>
      </c>
      <c r="F21" s="37">
        <f>AVERAGE($N$53,M53,N53)</f>
        <v>57.185621532901344</v>
      </c>
      <c r="G21" s="38" t="s">
        <v>34</v>
      </c>
      <c r="I21" s="24" t="s">
        <v>33</v>
      </c>
      <c r="J21" s="24">
        <v>34941</v>
      </c>
      <c r="K21" s="24">
        <v>5.8793637546083709E-2</v>
      </c>
    </row>
    <row r="22" spans="3:11">
      <c r="C22" s="24" t="s">
        <v>35</v>
      </c>
      <c r="D22" s="27">
        <f>AVERAGE($N$50,N50,O50)</f>
        <v>-10.529423605255596</v>
      </c>
      <c r="E22" s="27"/>
      <c r="F22" s="37">
        <f>AVERAGE($N$53,N53,O53)</f>
        <v>46.350576394744394</v>
      </c>
      <c r="G22" s="38" t="s">
        <v>34</v>
      </c>
      <c r="I22" s="24" t="s">
        <v>35</v>
      </c>
      <c r="J22" s="24">
        <v>29020</v>
      </c>
      <c r="K22" s="24">
        <v>4.8830639122731147E-2</v>
      </c>
    </row>
    <row r="23" spans="3:11">
      <c r="C23" s="24" t="s">
        <v>36</v>
      </c>
      <c r="D23" s="27">
        <f>AVERAGE($O$50,N50,O50)</f>
        <v>-15.946946174334071</v>
      </c>
      <c r="E23" s="27"/>
      <c r="F23" s="37">
        <f>AVERAGE($O$53,N53,O53)</f>
        <v>40.933053825665922</v>
      </c>
      <c r="G23" s="38" t="s">
        <v>34</v>
      </c>
      <c r="I23" s="24" t="s">
        <v>36</v>
      </c>
      <c r="J23" s="24">
        <v>23713</v>
      </c>
      <c r="K23" s="24">
        <v>3.9900790679439142E-2</v>
      </c>
    </row>
    <row r="24" spans="3:11">
      <c r="C24" s="24" t="s">
        <v>37</v>
      </c>
      <c r="D24" s="27">
        <f>AVERAGE($O$50,O50,P50)</f>
        <v>-26.781991312491016</v>
      </c>
      <c r="E24" s="27"/>
      <c r="F24" s="37">
        <f>AVERAGE($O$53,O53,P53)</f>
        <v>30.098008687508976</v>
      </c>
      <c r="G24" s="38" t="s">
        <v>34</v>
      </c>
      <c r="I24" s="24" t="s">
        <v>37</v>
      </c>
      <c r="J24" s="24">
        <v>19104</v>
      </c>
      <c r="K24" s="24">
        <v>3.2145435210222457E-2</v>
      </c>
    </row>
    <row r="25" spans="3:11">
      <c r="C25" s="24" t="s">
        <v>38</v>
      </c>
      <c r="D25" s="27">
        <f>AVERAGE($O$50,P50,P50)</f>
        <v>-32.199513881569494</v>
      </c>
      <c r="E25" s="27"/>
      <c r="F25" s="37">
        <f>AVERAGE($O$53,P53,P53)</f>
        <v>24.680486118430498</v>
      </c>
      <c r="G25" s="38" t="s">
        <v>34</v>
      </c>
      <c r="I25" s="24" t="s">
        <v>38</v>
      </c>
      <c r="J25" s="24">
        <v>15367</v>
      </c>
      <c r="K25" s="24">
        <v>2.5857354631254641E-2</v>
      </c>
    </row>
    <row r="26" spans="3:11">
      <c r="C26" s="24" t="s">
        <v>39</v>
      </c>
      <c r="D26" s="27">
        <f>AVERAGE(P50,$Q$50)</f>
        <v>-45.74332030426568</v>
      </c>
      <c r="E26" s="27"/>
      <c r="F26" s="37">
        <f>AVERAGE(P53,$Q$53)</f>
        <v>11.136679695734308</v>
      </c>
      <c r="G26" s="38" t="s">
        <v>34</v>
      </c>
      <c r="I26" s="24" t="s">
        <v>39</v>
      </c>
      <c r="J26" s="24">
        <v>22674</v>
      </c>
      <c r="K26" s="24">
        <v>3.8152512455851349E-2</v>
      </c>
    </row>
    <row r="27" spans="3:11">
      <c r="C27" s="24" t="s">
        <v>40</v>
      </c>
      <c r="D27" s="27">
        <f>AVERAGE($Q$50:$R$50)</f>
        <v>-61.995888011501108</v>
      </c>
      <c r="E27" s="27"/>
      <c r="F27" s="27">
        <f>AVERAGE($Q$53:$R$53)</f>
        <v>-5.1158880115011129</v>
      </c>
      <c r="G27" s="27"/>
      <c r="I27" s="24" t="s">
        <v>40</v>
      </c>
      <c r="J27" s="24">
        <v>14806</v>
      </c>
      <c r="K27" s="24">
        <v>2.4913385349798669E-2</v>
      </c>
    </row>
    <row r="28" spans="3:11">
      <c r="C28" s="24" t="s">
        <v>41</v>
      </c>
      <c r="D28" s="27">
        <f>AVERAGE($R$50:$S$50)</f>
        <v>-78.248455718736537</v>
      </c>
      <c r="E28" s="27"/>
      <c r="F28" s="27">
        <f>AVERAGE($R$53:$S$53)</f>
        <v>-21.368455718736541</v>
      </c>
      <c r="G28" s="27"/>
      <c r="I28" s="24" t="s">
        <v>41</v>
      </c>
      <c r="J28" s="24">
        <v>9776</v>
      </c>
      <c r="K28" s="24">
        <v>1.6449632255817359E-2</v>
      </c>
    </row>
    <row r="29" spans="3:11">
      <c r="C29" s="24" t="s">
        <v>42</v>
      </c>
      <c r="D29" s="27">
        <f>AVERAGE($S$50:$T$50)</f>
        <v>-127.00615884044281</v>
      </c>
      <c r="E29" s="27"/>
      <c r="F29" s="27">
        <f>AVERAGE($S$53:$T$53)</f>
        <v>-70.126158840442812</v>
      </c>
      <c r="G29" s="27"/>
      <c r="I29" s="24" t="s">
        <v>42</v>
      </c>
      <c r="J29" s="24">
        <v>18462</v>
      </c>
      <c r="K29" s="24">
        <v>3.1065170898823661E-2</v>
      </c>
    </row>
    <row r="30" spans="3:11">
      <c r="C30" s="24" t="s">
        <v>43</v>
      </c>
      <c r="D30" s="27">
        <f>AVERAGE($T$50:$U$50)</f>
        <v>-208.26899737661989</v>
      </c>
      <c r="E30" s="27"/>
      <c r="F30" s="27">
        <f>AVERAGE($T$53:$U$53)</f>
        <v>-151.3889973766199</v>
      </c>
      <c r="G30" s="27"/>
      <c r="I30" s="24" t="s">
        <v>43</v>
      </c>
      <c r="J30" s="24">
        <v>4259</v>
      </c>
      <c r="K30" s="24">
        <v>7.1664263274883516E-3</v>
      </c>
    </row>
    <row r="31" spans="3:11">
      <c r="C31" s="24" t="s">
        <v>44</v>
      </c>
      <c r="D31" s="27">
        <f>AVERAGE($U$50:$V$50)</f>
        <v>-330.16325518088559</v>
      </c>
      <c r="E31" s="27"/>
      <c r="F31" s="27">
        <f>AVERAGE($U$53:$V$53)</f>
        <v>-273.28325518088559</v>
      </c>
      <c r="G31" s="27"/>
      <c r="I31" s="24" t="s">
        <v>44</v>
      </c>
      <c r="J31" s="24">
        <v>2291</v>
      </c>
      <c r="K31" s="24">
        <v>3.8549618962845302E-3</v>
      </c>
    </row>
    <row r="32" spans="3:11">
      <c r="C32" s="24" t="s">
        <v>45</v>
      </c>
      <c r="D32" s="30">
        <f>W50</f>
        <v>-573.95177078941697</v>
      </c>
      <c r="E32" s="27"/>
      <c r="F32" s="30">
        <f>$W$53</f>
        <v>-517.07177078941709</v>
      </c>
      <c r="G32" s="27"/>
      <c r="I32" s="24" t="s">
        <v>45</v>
      </c>
      <c r="J32" s="24">
        <v>903</v>
      </c>
      <c r="K32" s="24">
        <v>1.519437185659071E-3</v>
      </c>
    </row>
    <row r="33" spans="2:51">
      <c r="C33" s="8" t="s">
        <v>46</v>
      </c>
      <c r="D33" s="27">
        <f>SUMPRODUCT(J22:J32,D22:D32)/SUM(J22:J32)</f>
        <v>-55.599107068268218</v>
      </c>
      <c r="E33" s="27"/>
      <c r="F33" s="27">
        <f>SUMPRODUCT(J27:J32,F27:F32)/SUM(J27:J32)</f>
        <v>-65.688783333389836</v>
      </c>
      <c r="G33" s="27"/>
      <c r="I33" s="25" t="s">
        <v>47</v>
      </c>
      <c r="J33" s="24">
        <v>594299</v>
      </c>
      <c r="K33" s="24">
        <v>1</v>
      </c>
    </row>
    <row r="38" spans="2:51">
      <c r="B38" s="70" t="s">
        <v>48</v>
      </c>
      <c r="C38" s="71"/>
      <c r="D38" s="71"/>
      <c r="E38" s="72"/>
      <c r="G38" s="70" t="s">
        <v>49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2"/>
    </row>
    <row r="39" spans="2:51">
      <c r="B39" s="48"/>
      <c r="E39" s="49"/>
      <c r="G39" s="5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53"/>
      <c r="Z39" s="53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54"/>
    </row>
    <row r="40" spans="2:51">
      <c r="B40" s="48"/>
      <c r="C40" s="58" t="s">
        <v>50</v>
      </c>
      <c r="D40" s="58"/>
      <c r="E40" s="49"/>
      <c r="G40" s="48"/>
      <c r="K40" s="76" t="s">
        <v>51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Y40" s="58" t="s">
        <v>52</v>
      </c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M40" s="58" t="s">
        <v>53</v>
      </c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</row>
    <row r="41" spans="2:51">
      <c r="B41" s="48"/>
      <c r="C41" s="7">
        <f>'[1]Rate Components'!$E$20</f>
        <v>3.5242665858461156E-2</v>
      </c>
      <c r="D41" s="6" t="s">
        <v>54</v>
      </c>
      <c r="E41" s="49"/>
      <c r="G41" s="48"/>
      <c r="H41" t="s">
        <v>55</v>
      </c>
      <c r="I41" s="8" t="s">
        <v>56</v>
      </c>
      <c r="J41" s="35" t="s">
        <v>57</v>
      </c>
      <c r="K41" s="33">
        <v>200</v>
      </c>
      <c r="L41" s="33">
        <v>300</v>
      </c>
      <c r="M41" s="33">
        <v>400</v>
      </c>
      <c r="N41" s="33">
        <v>500</v>
      </c>
      <c r="O41" s="33">
        <v>600</v>
      </c>
      <c r="P41" s="33">
        <v>700</v>
      </c>
      <c r="Q41" s="33">
        <v>800</v>
      </c>
      <c r="R41" s="33">
        <v>900</v>
      </c>
      <c r="S41" s="33">
        <v>1000</v>
      </c>
      <c r="T41" s="33">
        <v>1500</v>
      </c>
      <c r="U41" s="33">
        <v>2000</v>
      </c>
      <c r="V41" s="33">
        <v>3000</v>
      </c>
      <c r="W41" s="34">
        <v>4000</v>
      </c>
      <c r="Y41" s="35">
        <v>200</v>
      </c>
      <c r="Z41" s="33">
        <v>300</v>
      </c>
      <c r="AA41" s="33">
        <v>400</v>
      </c>
      <c r="AB41" s="33">
        <v>500</v>
      </c>
      <c r="AC41" s="33">
        <v>600</v>
      </c>
      <c r="AD41" s="33">
        <v>700</v>
      </c>
      <c r="AE41" s="33">
        <v>800</v>
      </c>
      <c r="AF41" s="33">
        <v>900</v>
      </c>
      <c r="AG41" s="33">
        <v>1000</v>
      </c>
      <c r="AH41" s="33">
        <v>1500</v>
      </c>
      <c r="AI41" s="33">
        <v>2000</v>
      </c>
      <c r="AJ41" s="33">
        <v>3000</v>
      </c>
      <c r="AK41" s="34">
        <v>4000</v>
      </c>
      <c r="AM41" s="35">
        <v>200</v>
      </c>
      <c r="AN41" s="33">
        <v>300</v>
      </c>
      <c r="AO41" s="33">
        <v>400</v>
      </c>
      <c r="AP41" s="33">
        <v>500</v>
      </c>
      <c r="AQ41" s="33">
        <v>600</v>
      </c>
      <c r="AR41" s="33">
        <v>700</v>
      </c>
      <c r="AS41" s="33">
        <v>800</v>
      </c>
      <c r="AT41" s="33">
        <v>900</v>
      </c>
      <c r="AU41" s="33">
        <v>1000</v>
      </c>
      <c r="AV41" s="33">
        <v>1500</v>
      </c>
      <c r="AW41" s="33">
        <v>2000</v>
      </c>
      <c r="AX41" s="33">
        <v>3000</v>
      </c>
      <c r="AY41" s="34">
        <v>4000</v>
      </c>
    </row>
    <row r="42" spans="2:51">
      <c r="B42" s="48"/>
      <c r="C42" s="7">
        <f>[2]Distribution!$T$1094</f>
        <v>0.11943250959748207</v>
      </c>
      <c r="D42" s="6" t="s">
        <v>58</v>
      </c>
      <c r="E42" s="49"/>
      <c r="G42" s="73" t="s">
        <v>59</v>
      </c>
      <c r="H42" s="10" t="s">
        <v>60</v>
      </c>
      <c r="I42" s="10">
        <v>28.53</v>
      </c>
      <c r="J42" s="10" t="s">
        <v>61</v>
      </c>
      <c r="K42" s="11">
        <f>Y42</f>
        <v>35.578533171692229</v>
      </c>
      <c r="L42" s="11">
        <f>Z42</f>
        <v>39.102799757538349</v>
      </c>
      <c r="M42" s="11">
        <f>AA42</f>
        <v>42.627066343384463</v>
      </c>
      <c r="N42" s="11">
        <f>AB42</f>
        <v>46.151332929230577</v>
      </c>
      <c r="O42" s="11">
        <f>AC42</f>
        <v>49.675599515076698</v>
      </c>
      <c r="P42" s="11">
        <f>AD42</f>
        <v>53.199866100922812</v>
      </c>
      <c r="Q42" s="11">
        <f>AE42</f>
        <v>56.724132686768925</v>
      </c>
      <c r="R42" s="11">
        <f>AF42</f>
        <v>60.248399272615046</v>
      </c>
      <c r="S42" s="11">
        <f>AG42</f>
        <v>63.77266585846116</v>
      </c>
      <c r="T42" s="11">
        <f>AH42</f>
        <v>81.393998787691743</v>
      </c>
      <c r="U42" s="11">
        <f>AI42</f>
        <v>99.015331716922319</v>
      </c>
      <c r="V42" s="11">
        <f>AJ42</f>
        <v>134.25799757538346</v>
      </c>
      <c r="W42" s="11">
        <f>AK42</f>
        <v>169.50066343384464</v>
      </c>
      <c r="X42" s="10"/>
      <c r="Y42" s="11">
        <f>$I42+$C$41*Y$41</f>
        <v>35.578533171692229</v>
      </c>
      <c r="Z42" s="11">
        <f>$I42+$C$41*Z$41</f>
        <v>39.102799757538349</v>
      </c>
      <c r="AA42" s="11">
        <f>$I42+$C$41*AA$41</f>
        <v>42.627066343384463</v>
      </c>
      <c r="AB42" s="11">
        <f>$I42+$C$41*AB$41</f>
        <v>46.151332929230577</v>
      </c>
      <c r="AC42" s="11">
        <f>$I42+$C$41*AC$41</f>
        <v>49.675599515076698</v>
      </c>
      <c r="AD42" s="11">
        <f>$I42+$C$41*AD$41</f>
        <v>53.199866100922812</v>
      </c>
      <c r="AE42" s="11">
        <f>$I42+$C$41*AE$41</f>
        <v>56.724132686768925</v>
      </c>
      <c r="AF42" s="11">
        <f>$I42+$C$41*AF$41</f>
        <v>60.248399272615046</v>
      </c>
      <c r="AG42" s="11">
        <f>$I42+$C$41*AG$41</f>
        <v>63.77266585846116</v>
      </c>
      <c r="AH42" s="11">
        <f>$I42+$C$41*AH$41</f>
        <v>81.393998787691743</v>
      </c>
      <c r="AI42" s="11">
        <f>$I42+$C$41*AI$41</f>
        <v>99.015331716922319</v>
      </c>
      <c r="AJ42" s="11">
        <f>$I42+$C$41*AJ$41</f>
        <v>134.25799757538346</v>
      </c>
      <c r="AK42" s="11">
        <f>$I42+$C$41*AK$41</f>
        <v>169.50066343384464</v>
      </c>
      <c r="AL42" s="12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4"/>
    </row>
    <row r="43" spans="2:51">
      <c r="B43" s="48"/>
      <c r="C43" s="7">
        <f>'[2]Total Proposed Rate'!$AF$1100</f>
        <v>-8.5309999999999997E-2</v>
      </c>
      <c r="D43" s="6" t="s">
        <v>62</v>
      </c>
      <c r="E43" s="49"/>
      <c r="G43" s="74"/>
      <c r="H43" s="8" t="s">
        <v>63</v>
      </c>
      <c r="I43" s="8">
        <v>51.28</v>
      </c>
      <c r="J43" s="8" t="s">
        <v>61</v>
      </c>
      <c r="K43" s="15">
        <f t="shared" ref="K43:K45" si="0">Y43</f>
        <v>58.328533171692229</v>
      </c>
      <c r="L43" s="15">
        <f>Z43</f>
        <v>61.852799757538349</v>
      </c>
      <c r="M43" s="15">
        <f>AA43</f>
        <v>65.377066343384456</v>
      </c>
      <c r="N43" s="15">
        <f>AB43</f>
        <v>68.901332929230577</v>
      </c>
      <c r="O43" s="15">
        <f>AC43</f>
        <v>72.425599515076698</v>
      </c>
      <c r="P43" s="15">
        <f>AD43</f>
        <v>75.949866100922804</v>
      </c>
      <c r="Q43" s="15">
        <f>AE43</f>
        <v>79.474132686768925</v>
      </c>
      <c r="R43" s="15">
        <f>AF43</f>
        <v>82.998399272615046</v>
      </c>
      <c r="S43" s="15">
        <f>AG43</f>
        <v>86.522665858461153</v>
      </c>
      <c r="T43" s="15">
        <f>AH43</f>
        <v>104.14399878769174</v>
      </c>
      <c r="U43" s="15">
        <f>AI43</f>
        <v>121.76533171692232</v>
      </c>
      <c r="V43" s="15">
        <f>AJ43</f>
        <v>157.00799757538346</v>
      </c>
      <c r="W43" s="15">
        <f>AK43</f>
        <v>192.25066343384464</v>
      </c>
      <c r="X43" s="8"/>
      <c r="Y43" s="15">
        <f>$I43+$C$41*Y$41</f>
        <v>58.328533171692229</v>
      </c>
      <c r="Z43" s="15">
        <f>$I43+$C$41*Z$41</f>
        <v>61.852799757538349</v>
      </c>
      <c r="AA43" s="15">
        <f>$I43+$C$41*AA$41</f>
        <v>65.377066343384456</v>
      </c>
      <c r="AB43" s="15">
        <f>$I43+$C$41*AB$41</f>
        <v>68.901332929230577</v>
      </c>
      <c r="AC43" s="15">
        <f>$I43+$C$41*AC$41</f>
        <v>72.425599515076698</v>
      </c>
      <c r="AD43" s="15">
        <f>$I43+$C$41*AD$41</f>
        <v>75.949866100922804</v>
      </c>
      <c r="AE43" s="15">
        <f>$I43+$C$41*AE$41</f>
        <v>79.474132686768925</v>
      </c>
      <c r="AF43" s="15">
        <f>$I43+$C$41*AF$41</f>
        <v>82.998399272615046</v>
      </c>
      <c r="AG43" s="15">
        <f>$I43+$C$41*AG$41</f>
        <v>86.522665858461153</v>
      </c>
      <c r="AH43" s="15">
        <f>$I43+$C$41*AH$41</f>
        <v>104.14399878769174</v>
      </c>
      <c r="AI43" s="15">
        <f>$I43+$C$41*AI$41</f>
        <v>121.76533171692232</v>
      </c>
      <c r="AJ43" s="15">
        <f>$I43+$C$41*AJ$41</f>
        <v>157.00799757538346</v>
      </c>
      <c r="AK43" s="15">
        <f>$I43+$C$41*AK$41</f>
        <v>192.25066343384464</v>
      </c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7"/>
    </row>
    <row r="44" spans="2:51">
      <c r="B44" s="48"/>
      <c r="C44" s="7">
        <f>'[2]Total Proposed Rate'!$AF$1094</f>
        <v>2.989E-2</v>
      </c>
      <c r="D44" s="6" t="s">
        <v>64</v>
      </c>
      <c r="E44" s="49"/>
      <c r="G44" s="74"/>
      <c r="H44" s="8" t="s">
        <v>65</v>
      </c>
      <c r="I44" s="8">
        <v>68.349999999999994</v>
      </c>
      <c r="J44" s="8" t="s">
        <v>61</v>
      </c>
      <c r="K44" s="15">
        <f t="shared" si="0"/>
        <v>75.398533171692222</v>
      </c>
      <c r="L44" s="15">
        <f>Z44</f>
        <v>78.922799757538343</v>
      </c>
      <c r="M44" s="15">
        <f>AA44</f>
        <v>82.447066343384449</v>
      </c>
      <c r="N44" s="15">
        <f>AB44</f>
        <v>85.97133292923057</v>
      </c>
      <c r="O44" s="15">
        <f>AC44</f>
        <v>89.495599515076691</v>
      </c>
      <c r="P44" s="15">
        <f>AD44</f>
        <v>93.019866100922798</v>
      </c>
      <c r="Q44" s="15">
        <f>AE44</f>
        <v>96.544132686768918</v>
      </c>
      <c r="R44" s="15">
        <f>AF44</f>
        <v>100.06839927261504</v>
      </c>
      <c r="S44" s="15">
        <f>AG44</f>
        <v>103.59266585846115</v>
      </c>
      <c r="T44" s="15">
        <f>AH44</f>
        <v>121.21399878769174</v>
      </c>
      <c r="U44" s="15">
        <f>AI44</f>
        <v>138.83533171692233</v>
      </c>
      <c r="V44" s="15">
        <f>AJ44</f>
        <v>174.07799757538345</v>
      </c>
      <c r="W44" s="15">
        <f>AK44</f>
        <v>209.32066343384463</v>
      </c>
      <c r="X44" s="8"/>
      <c r="Y44" s="15">
        <f>$I44+$C$41*Y$41</f>
        <v>75.398533171692222</v>
      </c>
      <c r="Z44" s="15">
        <f>$I44+$C$41*Z$41</f>
        <v>78.922799757538343</v>
      </c>
      <c r="AA44" s="15">
        <f>$I44+$C$41*AA$41</f>
        <v>82.447066343384449</v>
      </c>
      <c r="AB44" s="15">
        <f>$I44+$C$41*AB$41</f>
        <v>85.97133292923057</v>
      </c>
      <c r="AC44" s="15">
        <f>$I44+$C$41*AC$41</f>
        <v>89.495599515076691</v>
      </c>
      <c r="AD44" s="15">
        <f>$I44+$C$41*AD$41</f>
        <v>93.019866100922798</v>
      </c>
      <c r="AE44" s="15">
        <f>$I44+$C$41*AE$41</f>
        <v>96.544132686768918</v>
      </c>
      <c r="AF44" s="15">
        <f>$I44+$C$41*AF$41</f>
        <v>100.06839927261504</v>
      </c>
      <c r="AG44" s="15">
        <f>$I44+$C$41*AG$41</f>
        <v>103.59266585846115</v>
      </c>
      <c r="AH44" s="15">
        <f>$I44+$C$41*AH$41</f>
        <v>121.21399878769174</v>
      </c>
      <c r="AI44" s="15">
        <f>$I44+$C$41*AI$41</f>
        <v>138.83533171692233</v>
      </c>
      <c r="AJ44" s="15">
        <f>$I44+$C$41*AJ$41</f>
        <v>174.07799757538345</v>
      </c>
      <c r="AK44" s="15">
        <f>$I44+$C$41*AK$41</f>
        <v>209.32066343384463</v>
      </c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7"/>
    </row>
    <row r="45" spans="2:51">
      <c r="B45" s="48"/>
      <c r="C45" s="7">
        <f>'[2]Total Proposed Rate'!$AF$1097</f>
        <v>0.11294</v>
      </c>
      <c r="D45" s="6" t="s">
        <v>66</v>
      </c>
      <c r="E45" s="49"/>
      <c r="G45" s="75"/>
      <c r="H45" s="3" t="s">
        <v>67</v>
      </c>
      <c r="I45" s="3">
        <v>85.41</v>
      </c>
      <c r="J45" s="3" t="s">
        <v>61</v>
      </c>
      <c r="K45" s="18">
        <f t="shared" si="0"/>
        <v>92.458533171692224</v>
      </c>
      <c r="L45" s="18">
        <f>Z45</f>
        <v>95.982799757538345</v>
      </c>
      <c r="M45" s="18">
        <f>AA45</f>
        <v>99.507066343384452</v>
      </c>
      <c r="N45" s="18">
        <f>AB45</f>
        <v>103.03133292923057</v>
      </c>
      <c r="O45" s="18">
        <f>AC45</f>
        <v>106.55559951507669</v>
      </c>
      <c r="P45" s="18">
        <f>AD45</f>
        <v>110.0798661009228</v>
      </c>
      <c r="Q45" s="18">
        <f>AE45</f>
        <v>113.60413268676892</v>
      </c>
      <c r="R45" s="18">
        <f>AF45</f>
        <v>117.12839927261504</v>
      </c>
      <c r="S45" s="18">
        <f>AG45</f>
        <v>120.65266585846115</v>
      </c>
      <c r="T45" s="18">
        <f>AH45</f>
        <v>138.27399878769174</v>
      </c>
      <c r="U45" s="18">
        <f>AI45</f>
        <v>155.89533171692233</v>
      </c>
      <c r="V45" s="18">
        <f>AJ45</f>
        <v>191.13799757538345</v>
      </c>
      <c r="W45" s="18">
        <f>AK45</f>
        <v>226.38066343384463</v>
      </c>
      <c r="X45" s="3"/>
      <c r="Y45" s="18">
        <f>$I45+$C$41*Y$41</f>
        <v>92.458533171692224</v>
      </c>
      <c r="Z45" s="18">
        <f>$I45+$C$41*Z$41</f>
        <v>95.982799757538345</v>
      </c>
      <c r="AA45" s="18">
        <f>$I45+$C$41*AA$41</f>
        <v>99.507066343384452</v>
      </c>
      <c r="AB45" s="18">
        <f>$I45+$C$41*AB$41</f>
        <v>103.03133292923057</v>
      </c>
      <c r="AC45" s="18">
        <f>$I45+$C$41*AC$41</f>
        <v>106.55559951507669</v>
      </c>
      <c r="AD45" s="18">
        <f>$I45+$C$41*AD$41</f>
        <v>110.0798661009228</v>
      </c>
      <c r="AE45" s="18">
        <f>$I45+$C$41*AE$41</f>
        <v>113.60413268676892</v>
      </c>
      <c r="AF45" s="18">
        <f>$I45+$C$41*AF$41</f>
        <v>117.12839927261504</v>
      </c>
      <c r="AG45" s="18">
        <f>$I45+$C$41*AG$41</f>
        <v>120.65266585846115</v>
      </c>
      <c r="AH45" s="18">
        <f>$I45+$C$41*AH$41</f>
        <v>138.27399878769174</v>
      </c>
      <c r="AI45" s="18">
        <f>$I45+$C$41*AI$41</f>
        <v>155.89533171692233</v>
      </c>
      <c r="AJ45" s="18">
        <f>$I45+$C$41*AJ$41</f>
        <v>191.13799757538345</v>
      </c>
      <c r="AK45" s="18">
        <f>$I45+$C$41*AK$41</f>
        <v>226.38066343384463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26"/>
    </row>
    <row r="46" spans="2:51">
      <c r="B46" s="48"/>
      <c r="E46" s="49"/>
      <c r="G46" s="48"/>
      <c r="J46" s="8"/>
      <c r="X46" s="8"/>
      <c r="AY46" s="49"/>
    </row>
    <row r="47" spans="2:51">
      <c r="B47" s="48"/>
      <c r="E47" s="49"/>
      <c r="G47" s="36" t="s">
        <v>68</v>
      </c>
      <c r="H47" s="19"/>
      <c r="I47" s="19"/>
      <c r="J47" s="20" t="s">
        <v>61</v>
      </c>
      <c r="K47" s="21">
        <f>Y47+AM47</f>
        <v>6.8245019194964165</v>
      </c>
      <c r="L47" s="21">
        <f>Z47+AN47</f>
        <v>11.709565379244626</v>
      </c>
      <c r="M47" s="21">
        <f>AA47+AO47</f>
        <v>31.486399672326161</v>
      </c>
      <c r="N47" s="21">
        <f>AB47+AP47</f>
        <v>51.2632339654077</v>
      </c>
      <c r="O47" s="21">
        <f>AC47+AQ47</f>
        <v>71.040068258489242</v>
      </c>
      <c r="P47" s="21">
        <f>AD47+AR47</f>
        <v>90.816902551570777</v>
      </c>
      <c r="Q47" s="21">
        <f>AE47+AS47</f>
        <v>110.59373684465233</v>
      </c>
      <c r="R47" s="21">
        <f>AF47+AT47</f>
        <v>130.37057113773386</v>
      </c>
      <c r="S47" s="21">
        <f>AG47+AU47</f>
        <v>150.14740543081541</v>
      </c>
      <c r="T47" s="21">
        <f>AH47+AV47</f>
        <v>249.0315768962231</v>
      </c>
      <c r="U47" s="21">
        <f>AI47+AW47</f>
        <v>347.91574836163079</v>
      </c>
      <c r="V47" s="21">
        <f>AJ47+AX47</f>
        <v>545.68409129244617</v>
      </c>
      <c r="W47" s="21">
        <f>AK47+AY47</f>
        <v>743.45243422326166</v>
      </c>
      <c r="X47" s="20"/>
      <c r="Y47" s="21">
        <f>Y41*$C$42</f>
        <v>23.886501919496414</v>
      </c>
      <c r="Z47" s="21">
        <f>Z41*$C$42</f>
        <v>35.829752879244623</v>
      </c>
      <c r="AA47" s="21">
        <f>AA41*$C$42</f>
        <v>47.773003838992828</v>
      </c>
      <c r="AB47" s="21">
        <f>AB41*$C$42</f>
        <v>59.716254798741033</v>
      </c>
      <c r="AC47" s="21">
        <f>AC41*$C$42</f>
        <v>71.659505758489246</v>
      </c>
      <c r="AD47" s="21">
        <f>AD41*$C$42</f>
        <v>83.602756718237444</v>
      </c>
      <c r="AE47" s="21">
        <f>AE41*$C$42</f>
        <v>95.546007677985656</v>
      </c>
      <c r="AF47" s="21">
        <f>AF41*$C$42</f>
        <v>107.48925863773387</v>
      </c>
      <c r="AG47" s="21">
        <f>AG41*$C$42</f>
        <v>119.43250959748207</v>
      </c>
      <c r="AH47" s="21">
        <f>AH41*$C$42</f>
        <v>179.1487643962231</v>
      </c>
      <c r="AI47" s="21">
        <f>AI41*$C$42</f>
        <v>238.86501919496413</v>
      </c>
      <c r="AJ47" s="21">
        <f>AJ41*$C$42</f>
        <v>358.2975287924462</v>
      </c>
      <c r="AK47" s="21">
        <f>AK41*$C$42</f>
        <v>477.73003838992827</v>
      </c>
      <c r="AL47" s="19"/>
      <c r="AM47" s="22">
        <f>$AM$41*$C$43</f>
        <v>-17.061999999999998</v>
      </c>
      <c r="AN47" s="22">
        <f>$C$52*$C$43+((AN$41-$C$52)*$C$44)*5/12+((AN$41-$C$52)*$C$45)*7/12</f>
        <v>-24.120187499999997</v>
      </c>
      <c r="AO47" s="22">
        <f>$C$52*$C$43+((AO$41-$C$52)*$C$44)*5/12+((AO$41-$C$52)*$C$45)*7/12</f>
        <v>-16.286604166666667</v>
      </c>
      <c r="AP47" s="22">
        <f>$C$52*$C$43+((AP$41-$C$52)*$C$44)*5/12+((AP$41-$C$52)*$C$45)*7/12</f>
        <v>-8.4530208333333317</v>
      </c>
      <c r="AQ47" s="22">
        <f>$C$52*$C$43+((AQ$41-$C$52)*$C$44)*5/12+((AQ$41-$C$52)*$C$45)*7/12</f>
        <v>-0.61943750000000009</v>
      </c>
      <c r="AR47" s="22">
        <f>$C$52*$C$43+((AR$41-$C$52)*$C$44)*5/12+((AR$41-$C$52)*$C$45)*7/12</f>
        <v>7.2141458333333333</v>
      </c>
      <c r="AS47" s="22">
        <f>$C$52*$C$43+((AS$41-$C$52)*$C$44)*5/12+((AS$41-$C$52)*$C$45)*7/12</f>
        <v>15.04772916666667</v>
      </c>
      <c r="AT47" s="22">
        <f>$C$52*$C$43+((AT$41-$C$52)*$C$44)*5/12+((AT$41-$C$52)*$C$45)*7/12</f>
        <v>22.881312500000003</v>
      </c>
      <c r="AU47" s="22">
        <f>$C$52*$C$43+((AU$41-$C$52)*$C$44)*5/12+((AU$41-$C$52)*$C$45)*7/12</f>
        <v>30.714895833333337</v>
      </c>
      <c r="AV47" s="22">
        <f>$C$52*$C$43+((AV$41-$C$52)*$C$44)*5/12+((AV$41-$C$52)*$C$45)*7/12</f>
        <v>69.882812499999986</v>
      </c>
      <c r="AW47" s="22">
        <f>$C$52*$C$43+((AW$41-$C$52)*$C$44)*5/12+((AW$41-$C$52)*$C$45)*7/12</f>
        <v>109.05072916666667</v>
      </c>
      <c r="AX47" s="22">
        <f>$C$52*$C$43+((AX$41-$C$52)*$C$44)*5/12+((AX$41-$C$52)*$C$45)*7/12</f>
        <v>187.3865625</v>
      </c>
      <c r="AY47" s="23">
        <f>$C$52*$C$43+((AY$41-$C$52)*$C$44)*5/12+((AY$41-$C$52)*$C$45)*7/12</f>
        <v>265.72239583333334</v>
      </c>
    </row>
    <row r="48" spans="2:51">
      <c r="B48" s="48"/>
      <c r="E48" s="49"/>
      <c r="G48" s="48"/>
      <c r="AY48" s="49"/>
    </row>
    <row r="49" spans="2:51">
      <c r="B49" s="48"/>
      <c r="C49" s="56" t="s">
        <v>69</v>
      </c>
      <c r="D49" s="57"/>
      <c r="E49" s="49"/>
      <c r="G49" s="48"/>
      <c r="H49" s="5" t="s">
        <v>70</v>
      </c>
      <c r="I49" s="5"/>
      <c r="J49" s="5"/>
      <c r="AY49" s="49"/>
    </row>
    <row r="50" spans="2:51">
      <c r="B50" s="48"/>
      <c r="C50" s="9">
        <f>'[3]Baseline Allowances'!$I$7</f>
        <v>9</v>
      </c>
      <c r="D50" s="6" t="s">
        <v>71</v>
      </c>
      <c r="E50" s="49"/>
      <c r="G50" s="48"/>
      <c r="H50" s="8" t="s">
        <v>60</v>
      </c>
      <c r="J50" s="8" t="s">
        <v>61</v>
      </c>
      <c r="K50" s="2">
        <f>K42-K$47</f>
        <v>28.754031252195812</v>
      </c>
      <c r="L50" s="2">
        <f>L42-L$47</f>
        <v>27.393234378293723</v>
      </c>
      <c r="M50" s="2">
        <f>M42-M$47</f>
        <v>11.140666671058302</v>
      </c>
      <c r="N50" s="2">
        <f>N42-N$47</f>
        <v>-5.1119010361771231</v>
      </c>
      <c r="O50" s="2">
        <f>O42-O$47</f>
        <v>-21.364468743412544</v>
      </c>
      <c r="P50" s="2">
        <f>P42-P$47</f>
        <v>-37.617036450647966</v>
      </c>
      <c r="Q50" s="2">
        <f>Q42-Q$47</f>
        <v>-53.869604157883401</v>
      </c>
      <c r="R50" s="2">
        <f>R42-R$47</f>
        <v>-70.122171865118816</v>
      </c>
      <c r="S50" s="2">
        <f>S42-S$47</f>
        <v>-86.374739572354258</v>
      </c>
      <c r="T50" s="2">
        <f>T42-T$47</f>
        <v>-167.63757810853136</v>
      </c>
      <c r="U50" s="2">
        <f>U42-U$47</f>
        <v>-248.90041664470846</v>
      </c>
      <c r="V50" s="2">
        <f>V42-V$47</f>
        <v>-411.42609371706271</v>
      </c>
      <c r="W50" s="2">
        <f t="shared" ref="W50" si="1">W42-W$47</f>
        <v>-573.95177078941697</v>
      </c>
      <c r="X50" s="8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Q50" s="55"/>
      <c r="AR50" s="55"/>
      <c r="AY50" s="49"/>
    </row>
    <row r="51" spans="2:51">
      <c r="B51" s="48"/>
      <c r="C51" s="9">
        <f>'[3]Baseline Allowances'!$I$8</f>
        <v>10.4</v>
      </c>
      <c r="D51" s="6" t="s">
        <v>72</v>
      </c>
      <c r="E51" s="49"/>
      <c r="G51" s="48"/>
      <c r="H51" s="8" t="s">
        <v>63</v>
      </c>
      <c r="J51" s="8" t="s">
        <v>61</v>
      </c>
      <c r="K51" s="2">
        <f>K43-K$47</f>
        <v>51.504031252195816</v>
      </c>
      <c r="L51" s="2">
        <f>L43-L$47</f>
        <v>50.143234378293727</v>
      </c>
      <c r="M51" s="2">
        <f>M43-M$47</f>
        <v>33.890666671058298</v>
      </c>
      <c r="N51" s="2">
        <f>N43-N$47</f>
        <v>17.638098963822877</v>
      </c>
      <c r="O51" s="2">
        <f>O43-O$47</f>
        <v>1.3855312565874556</v>
      </c>
      <c r="P51" s="2">
        <f>P43-P$47</f>
        <v>-14.867036450647973</v>
      </c>
      <c r="Q51" s="2">
        <f>Q43-Q$47</f>
        <v>-31.119604157883401</v>
      </c>
      <c r="R51" s="2">
        <f>R43-R$47</f>
        <v>-47.372171865118816</v>
      </c>
      <c r="S51" s="2">
        <f>S43-S$47</f>
        <v>-63.624739572354258</v>
      </c>
      <c r="T51" s="2">
        <f>T43-T$47</f>
        <v>-144.88757810853136</v>
      </c>
      <c r="U51" s="2">
        <f>U43-U$47</f>
        <v>-226.15041664470846</v>
      </c>
      <c r="V51" s="2">
        <f>V43-V$47</f>
        <v>-388.67609371706271</v>
      </c>
      <c r="W51" s="2">
        <f t="shared" ref="W51" si="2">W43-W$47</f>
        <v>-551.20177078941697</v>
      </c>
      <c r="X51" s="8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Y51" s="49"/>
    </row>
    <row r="52" spans="2:51">
      <c r="B52" s="48"/>
      <c r="C52" s="32">
        <f>AVERAGE(C50:C51)*30</f>
        <v>291</v>
      </c>
      <c r="D52" s="32" t="s">
        <v>73</v>
      </c>
      <c r="E52" s="49"/>
      <c r="G52" s="48"/>
      <c r="H52" s="8" t="s">
        <v>65</v>
      </c>
      <c r="J52" s="8" t="s">
        <v>61</v>
      </c>
      <c r="K52" s="2">
        <f>K44-K$47</f>
        <v>68.574031252195809</v>
      </c>
      <c r="L52" s="2">
        <f>L44-L$47</f>
        <v>67.21323437829372</v>
      </c>
      <c r="M52" s="2">
        <f>M44-M$47</f>
        <v>50.960666671058291</v>
      </c>
      <c r="N52" s="2">
        <f>N44-N$47</f>
        <v>34.70809896382287</v>
      </c>
      <c r="O52" s="2">
        <f>O44-O$47</f>
        <v>18.455531256587449</v>
      </c>
      <c r="P52" s="2">
        <f>P44-P$47</f>
        <v>2.2029635493520203</v>
      </c>
      <c r="Q52" s="2">
        <f>Q44-Q$47</f>
        <v>-14.049604157883408</v>
      </c>
      <c r="R52" s="2">
        <f>R44-R$47</f>
        <v>-30.302171865118822</v>
      </c>
      <c r="S52" s="2">
        <f>S44-S$47</f>
        <v>-46.554739572354265</v>
      </c>
      <c r="T52" s="2">
        <f>T44-T$47</f>
        <v>-127.81757810853136</v>
      </c>
      <c r="U52" s="2">
        <f>U44-U$47</f>
        <v>-209.08041664470846</v>
      </c>
      <c r="V52" s="2">
        <f>V44-V$47</f>
        <v>-371.60609371706272</v>
      </c>
      <c r="W52" s="2">
        <f t="shared" ref="W52" si="3">W44-W$47</f>
        <v>-534.13177078941703</v>
      </c>
      <c r="X52" s="8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Y52" s="49"/>
    </row>
    <row r="53" spans="2:51">
      <c r="B53" s="48"/>
      <c r="E53" s="49"/>
      <c r="G53" s="50"/>
      <c r="H53" s="3" t="s">
        <v>67</v>
      </c>
      <c r="I53" s="5"/>
      <c r="J53" s="3" t="s">
        <v>61</v>
      </c>
      <c r="K53" s="4">
        <f>K45-K$47</f>
        <v>85.634031252195811</v>
      </c>
      <c r="L53" s="4">
        <f>L45-L$47</f>
        <v>84.273234378293722</v>
      </c>
      <c r="M53" s="4">
        <f>M45-M$47</f>
        <v>68.020666671058294</v>
      </c>
      <c r="N53" s="4">
        <f>N45-N$47</f>
        <v>51.768098963822872</v>
      </c>
      <c r="O53" s="4">
        <f>O45-O$47</f>
        <v>35.515531256587451</v>
      </c>
      <c r="P53" s="4">
        <f>P45-P$47</f>
        <v>19.262963549352023</v>
      </c>
      <c r="Q53" s="4">
        <f>Q45-Q$47</f>
        <v>3.0103958421165942</v>
      </c>
      <c r="R53" s="4">
        <f>R45-R$47</f>
        <v>-13.24217186511882</v>
      </c>
      <c r="S53" s="4">
        <f>S45-S$47</f>
        <v>-29.494739572354263</v>
      </c>
      <c r="T53" s="4">
        <f>T45-T$47</f>
        <v>-110.75757810853136</v>
      </c>
      <c r="U53" s="4">
        <f>U45-U$47</f>
        <v>-192.02041664470846</v>
      </c>
      <c r="V53" s="4">
        <f>V45-V$47</f>
        <v>-354.54609371706272</v>
      </c>
      <c r="W53" s="4">
        <f t="shared" ref="W53" si="4">W45-W$47</f>
        <v>-517.07177078941709</v>
      </c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1"/>
    </row>
    <row r="54" spans="2:51">
      <c r="B54" s="50"/>
      <c r="C54" s="5"/>
      <c r="D54" s="5"/>
      <c r="E54" s="51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51"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51"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M56" s="2"/>
      <c r="AN56" s="2"/>
    </row>
    <row r="57" spans="2:51"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M57" s="2"/>
      <c r="AN57" s="2"/>
    </row>
    <row r="58" spans="2:51"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M58" s="2"/>
      <c r="AN58" s="2"/>
    </row>
    <row r="59" spans="2:51"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M59" s="2"/>
      <c r="AN59" s="2"/>
    </row>
    <row r="60" spans="2:51"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51"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51"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78" spans="14:14">
      <c r="N78" s="27"/>
    </row>
    <row r="79" spans="14:14">
      <c r="N79" s="27"/>
    </row>
    <row r="80" spans="14:14">
      <c r="N80" s="27"/>
    </row>
    <row r="81" spans="4:14">
      <c r="N81" s="27"/>
    </row>
    <row r="82" spans="4:14">
      <c r="N82" s="27"/>
    </row>
    <row r="83" spans="4:14">
      <c r="N83" s="27"/>
    </row>
    <row r="84" spans="4:14">
      <c r="N84" s="27"/>
    </row>
    <row r="86" spans="4:14">
      <c r="D86" s="28"/>
      <c r="E86" s="29"/>
      <c r="F86" s="29"/>
      <c r="G86" s="2"/>
      <c r="H86" s="1"/>
      <c r="I86" s="2"/>
      <c r="J86" s="1"/>
      <c r="N86" s="1"/>
    </row>
    <row r="91" spans="4:14">
      <c r="L91" s="2"/>
    </row>
  </sheetData>
  <mergeCells count="13">
    <mergeCell ref="C49:D49"/>
    <mergeCell ref="C40:D40"/>
    <mergeCell ref="I6:K7"/>
    <mergeCell ref="F20:G20"/>
    <mergeCell ref="C19:G19"/>
    <mergeCell ref="C7:G7"/>
    <mergeCell ref="B38:E38"/>
    <mergeCell ref="G38:AY38"/>
    <mergeCell ref="G42:G45"/>
    <mergeCell ref="K40:W40"/>
    <mergeCell ref="Y40:AK40"/>
    <mergeCell ref="D20:E20"/>
    <mergeCell ref="AM40:AY40"/>
  </mergeCells>
  <phoneticPr fontId="2" type="noConversion"/>
  <conditionalFormatting sqref="I9:I33">
    <cfRule type="notContainsBlanks" dxfId="2" priority="4">
      <formula>LEN(TRIM(I9))&gt;0</formula>
    </cfRule>
  </conditionalFormatting>
  <conditionalFormatting sqref="J9:J33">
    <cfRule type="notContainsBlanks" dxfId="1" priority="5">
      <formula>LEN(TRIM(J9))&gt;0</formula>
    </cfRule>
  </conditionalFormatting>
  <conditionalFormatting sqref="K9:K33">
    <cfRule type="notContainsBlanks" dxfId="0" priority="2">
      <formula>LEN(TRIM(K9))&gt;0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GRM</dc:creator>
  <cp:keywords/>
  <dc:description/>
  <cp:lastModifiedBy>Barlow, Kaitlin</cp:lastModifiedBy>
  <cp:revision/>
  <dcterms:created xsi:type="dcterms:W3CDTF">2021-08-17T16:36:46Z</dcterms:created>
  <dcterms:modified xsi:type="dcterms:W3CDTF">2021-10-27T16:48:13Z</dcterms:modified>
  <cp:category/>
  <cp:contentStatus/>
</cp:coreProperties>
</file>