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autoCompressPictures="0" defaultThemeVersion="124226"/>
  <mc:AlternateContent xmlns:mc="http://schemas.openxmlformats.org/markup-compatibility/2006">
    <mc:Choice Requires="x15">
      <x15ac:absPath xmlns:x15ac="http://schemas.microsoft.com/office/spreadsheetml/2010/11/ac" url="C:\Users\abesa\OneDrive - Sempra Energy\abesa\2019 Planning - EE ABAL\Supplemental\"/>
    </mc:Choice>
  </mc:AlternateContent>
  <xr:revisionPtr revIDLastSave="0" documentId="10_ncr:100000_{F532AA9F-6BF4-4899-B3D7-DBCE36EFB325}" xr6:coauthVersionLast="31" xr6:coauthVersionMax="31" xr10:uidLastSave="{00000000-0000-0000-0000-000000000000}"/>
  <bookViews>
    <workbookView xWindow="0" yWindow="0" windowWidth="25560" windowHeight="9645" firstSheet="1" activeTab="1" xr2:uid="{00000000-000D-0000-FFFF-FFFF00000000}"/>
  </bookViews>
  <sheets>
    <sheet name="ABAL outline" sheetId="13" r:id="rId1"/>
    <sheet name="1a. IOU PY budget_savings" sheetId="1" r:id="rId2"/>
    <sheet name="1b. CCA-REN PY budget_savings" sheetId="6" r:id="rId3"/>
    <sheet name="2a. IOU budget trueup" sheetId="2" r:id="rId4"/>
    <sheet name="2b. CCA-REN budget trueup" sheetId="7" r:id="rId5"/>
    <sheet name="3.a.i. IOU kWh trueup" sheetId="3" r:id="rId6"/>
    <sheet name="3.a.ii. IOU kW trueup" sheetId="8" r:id="rId7"/>
    <sheet name="3.a.iii. IOU therms trueup" sheetId="9" r:id="rId8"/>
    <sheet name="3.b.i. CCA-REN kWh trueup " sheetId="10" r:id="rId9"/>
    <sheet name="3.b.ii. CCA-REN kW trueup " sheetId="11" r:id="rId10"/>
    <sheet name="3.b.iii. CCA-REN therms trueup" sheetId="12" r:id="rId11"/>
    <sheet name="4 Authorized Budgets 2018-2025" sheetId="4" r:id="rId12"/>
  </sheets>
  <calcPr calcId="179017"/>
</workbook>
</file>

<file path=xl/calcChain.xml><?xml version="1.0" encoding="utf-8"?>
<calcChain xmlns="http://schemas.openxmlformats.org/spreadsheetml/2006/main">
  <c r="D17" i="9" l="1"/>
  <c r="J20" i="9" l="1"/>
  <c r="I20" i="9"/>
  <c r="H20" i="9"/>
  <c r="G20" i="9"/>
  <c r="F20" i="9"/>
  <c r="E20" i="9"/>
  <c r="C20" i="9"/>
  <c r="J18" i="9"/>
  <c r="I18" i="9"/>
  <c r="H18" i="9"/>
  <c r="G18" i="9"/>
  <c r="F18" i="9"/>
  <c r="E18" i="9"/>
  <c r="D18" i="9"/>
  <c r="C18" i="9"/>
  <c r="J20" i="8"/>
  <c r="I20" i="8"/>
  <c r="H20" i="8"/>
  <c r="G20" i="8"/>
  <c r="F20" i="8"/>
  <c r="E20" i="8"/>
  <c r="C20" i="8"/>
  <c r="J18" i="8"/>
  <c r="I18" i="8"/>
  <c r="H18" i="8"/>
  <c r="G18" i="8"/>
  <c r="F18" i="8"/>
  <c r="E18" i="8"/>
  <c r="D18" i="8"/>
  <c r="C18" i="8"/>
  <c r="J21" i="3"/>
  <c r="I21" i="3"/>
  <c r="H21" i="3"/>
  <c r="G21" i="3"/>
  <c r="F21" i="3"/>
  <c r="E21" i="3"/>
  <c r="D21" i="3"/>
  <c r="C21" i="3"/>
  <c r="J19" i="3"/>
  <c r="I19" i="3"/>
  <c r="H19" i="3"/>
  <c r="G19" i="3"/>
  <c r="F19" i="3"/>
  <c r="E19" i="3"/>
  <c r="D19" i="3"/>
  <c r="C19" i="3"/>
  <c r="J17" i="8"/>
  <c r="I17" i="8"/>
  <c r="H17" i="8"/>
  <c r="G17" i="8"/>
  <c r="F17" i="8"/>
  <c r="E17" i="8"/>
  <c r="D17" i="8"/>
  <c r="D19" i="8" s="1"/>
  <c r="C17" i="8"/>
  <c r="C19" i="8" s="1"/>
  <c r="J17" i="9"/>
  <c r="I17" i="9"/>
  <c r="H17" i="9"/>
  <c r="G17" i="9"/>
  <c r="F17" i="9"/>
  <c r="E17" i="9"/>
  <c r="D19" i="9"/>
  <c r="C17" i="9"/>
  <c r="C19" i="9" s="1"/>
  <c r="J6" i="3"/>
  <c r="J7" i="3"/>
  <c r="J8" i="3"/>
  <c r="J5" i="3"/>
  <c r="D18" i="3"/>
  <c r="D20" i="3" s="1"/>
  <c r="C18" i="3"/>
  <c r="C20" i="3" s="1"/>
  <c r="F18" i="3"/>
  <c r="G18" i="3"/>
  <c r="H18" i="3"/>
  <c r="I18" i="3"/>
  <c r="J18" i="3"/>
  <c r="E18" i="3"/>
  <c r="E14" i="1"/>
  <c r="E16" i="1" s="1"/>
  <c r="D14" i="1"/>
  <c r="D16" i="1" s="1"/>
  <c r="C14" i="1"/>
  <c r="C16" i="1" s="1"/>
  <c r="C14" i="12"/>
  <c r="C16" i="12"/>
  <c r="C14" i="11"/>
  <c r="C16" i="11"/>
  <c r="C14" i="10"/>
  <c r="C16" i="10"/>
  <c r="J14" i="12"/>
  <c r="J16" i="12"/>
  <c r="I14" i="12"/>
  <c r="I16" i="12"/>
  <c r="H14" i="12"/>
  <c r="H16" i="12"/>
  <c r="G14" i="12"/>
  <c r="G16" i="12"/>
  <c r="F14" i="12"/>
  <c r="F16" i="12"/>
  <c r="E14" i="12"/>
  <c r="E16" i="12"/>
  <c r="D14" i="12"/>
  <c r="D16" i="12"/>
  <c r="J14" i="11"/>
  <c r="J16" i="11"/>
  <c r="I14" i="11"/>
  <c r="I16" i="11"/>
  <c r="H14" i="11"/>
  <c r="H16" i="11"/>
  <c r="G14" i="11"/>
  <c r="G16" i="11"/>
  <c r="F14" i="11"/>
  <c r="F16" i="11"/>
  <c r="E14" i="11"/>
  <c r="E16" i="11"/>
  <c r="D14" i="11"/>
  <c r="D16" i="11"/>
  <c r="J14" i="10"/>
  <c r="J16" i="10"/>
  <c r="I14" i="10"/>
  <c r="I16" i="10"/>
  <c r="H14" i="10"/>
  <c r="H16" i="10"/>
  <c r="G14" i="10"/>
  <c r="G16" i="10"/>
  <c r="F14" i="10"/>
  <c r="F16" i="10"/>
  <c r="E14" i="10"/>
  <c r="E16" i="10"/>
  <c r="D14" i="10"/>
  <c r="D16" i="10"/>
  <c r="J19" i="9"/>
  <c r="I19" i="9"/>
  <c r="H19" i="9"/>
  <c r="G19" i="9"/>
  <c r="F19" i="9"/>
  <c r="E19" i="9"/>
  <c r="J19" i="8"/>
  <c r="I19" i="8"/>
  <c r="H19" i="8"/>
  <c r="G19" i="8"/>
  <c r="F19" i="8"/>
  <c r="E19" i="8"/>
  <c r="K14" i="7"/>
  <c r="K15" i="7"/>
  <c r="K16" i="7"/>
  <c r="J16" i="7"/>
  <c r="I16" i="7"/>
  <c r="H16" i="7"/>
  <c r="G16" i="7"/>
  <c r="F16" i="7"/>
  <c r="E16" i="7"/>
  <c r="D16" i="7"/>
  <c r="C16" i="7"/>
  <c r="K17" i="7"/>
  <c r="K13" i="7"/>
  <c r="K12" i="7"/>
  <c r="K11" i="7"/>
  <c r="K10" i="7"/>
  <c r="K9" i="7"/>
  <c r="K8" i="7"/>
  <c r="K7" i="7"/>
  <c r="K6" i="7"/>
  <c r="K5" i="7"/>
  <c r="K4" i="7"/>
  <c r="B16" i="6"/>
  <c r="B18" i="6"/>
  <c r="B20" i="6"/>
  <c r="E16" i="6"/>
  <c r="D16" i="6"/>
  <c r="C16" i="6"/>
  <c r="K17" i="2"/>
  <c r="K16" i="2"/>
  <c r="K13" i="2"/>
  <c r="K12" i="2"/>
  <c r="K11" i="2"/>
  <c r="K10" i="2"/>
  <c r="K9" i="2"/>
  <c r="K8" i="2"/>
  <c r="K7" i="2"/>
  <c r="K6" i="2"/>
  <c r="K5" i="2"/>
  <c r="K4" i="2"/>
  <c r="J20" i="3"/>
  <c r="I20" i="3"/>
  <c r="H20" i="3"/>
  <c r="G20" i="3"/>
  <c r="F20" i="3"/>
  <c r="E20" i="3"/>
  <c r="B12" i="4"/>
  <c r="C12" i="4"/>
  <c r="D12" i="4"/>
  <c r="E12" i="4"/>
  <c r="F12" i="4"/>
  <c r="G12" i="4"/>
  <c r="H12" i="4"/>
  <c r="I6" i="4"/>
  <c r="I4" i="4"/>
  <c r="I5" i="4"/>
  <c r="I7" i="4"/>
  <c r="I8" i="4"/>
  <c r="I9" i="4"/>
  <c r="I10" i="4"/>
  <c r="I11" i="4"/>
  <c r="I12" i="4"/>
  <c r="B14" i="1"/>
  <c r="B21" i="1" s="1"/>
  <c r="B23" i="1" s="1"/>
  <c r="B27" i="1" s="1"/>
  <c r="D18" i="1" l="1"/>
  <c r="E18" i="1"/>
  <c r="C18" i="1"/>
</calcChain>
</file>

<file path=xl/sharedStrings.xml><?xml version="1.0" encoding="utf-8"?>
<sst xmlns="http://schemas.openxmlformats.org/spreadsheetml/2006/main" count="320" uniqueCount="106">
  <si>
    <t>Sector</t>
  </si>
  <si>
    <t>Residential</t>
  </si>
  <si>
    <t>Commercial</t>
  </si>
  <si>
    <t>Agriculture</t>
  </si>
  <si>
    <t>Codes and Standards</t>
  </si>
  <si>
    <t>Emerging Tech</t>
  </si>
  <si>
    <t>WE&amp;T</t>
  </si>
  <si>
    <t>Industrial</t>
  </si>
  <si>
    <t>Annual Rolling Portfolio Budget Forecast - True-up</t>
  </si>
  <si>
    <t>% of Goal</t>
  </si>
  <si>
    <t>Finance</t>
  </si>
  <si>
    <t>OBF Loan Pool</t>
  </si>
  <si>
    <t>Public</t>
  </si>
  <si>
    <t>EM&amp;V</t>
  </si>
  <si>
    <t>Subtotal</t>
  </si>
  <si>
    <t>n/a</t>
  </si>
  <si>
    <t>Program Year Budget</t>
  </si>
  <si>
    <t>PA FORECAST ENERGY SAVINGS (Net)</t>
  </si>
  <si>
    <t>PA forecast kWh</t>
  </si>
  <si>
    <t>PA forecast kW</t>
  </si>
  <si>
    <t>PA forecast therms (MM)</t>
  </si>
  <si>
    <t>Total Forecast Portfolio Savings</t>
  </si>
  <si>
    <t>Annual Rolling Portfolio Savings Forecast - True-up (kWh)</t>
  </si>
  <si>
    <t>PG&amp;E</t>
  </si>
  <si>
    <t>SCE</t>
  </si>
  <si>
    <t>SDG&amp;E</t>
  </si>
  <si>
    <t>SoCalGas</t>
  </si>
  <si>
    <t>MCE</t>
  </si>
  <si>
    <t>SoCalREN</t>
  </si>
  <si>
    <t>BayREN</t>
  </si>
  <si>
    <t>Total</t>
  </si>
  <si>
    <t>Authorized PA Budgets for 2018-2025</t>
  </si>
  <si>
    <t>TOTAL (excluding CCA/REN for IOU PAs)</t>
  </si>
  <si>
    <t>Forecast Portfolio PY TRC</t>
  </si>
  <si>
    <t>Forecast Portfolio PY PAC</t>
  </si>
  <si>
    <t>2018**</t>
  </si>
  <si>
    <t>Total Portfolio Program Year PA Budget</t>
  </si>
  <si>
    <t>na</t>
  </si>
  <si>
    <t>REN</t>
  </si>
  <si>
    <t>CCA</t>
  </si>
  <si>
    <t>CPUC Goal*</t>
  </si>
  <si>
    <t>CCA Programs</t>
  </si>
  <si>
    <t>REN Programs</t>
  </si>
  <si>
    <t>Annual Rolling Portfolio Savings Forecast - True-up (therms)</t>
  </si>
  <si>
    <t>Annual Rolling Portfolio Savings Forecast - True-up (kW)</t>
  </si>
  <si>
    <t>IOU EM&amp;V</t>
  </si>
  <si>
    <t>IOU - Subtotal</t>
  </si>
  <si>
    <t>x.xx</t>
  </si>
  <si>
    <t>Program Year (PY) Budget</t>
  </si>
  <si>
    <t>** "Reset" 2018 budget at or below 2018 annual budget approved in Business plan Decision. "True-up" years 2019-2025.</t>
  </si>
  <si>
    <t>% of Goal*</t>
  </si>
  <si>
    <t>* Not applicable to CCA/REN as of 2018, in template for future ABAL when applicable</t>
  </si>
  <si>
    <t>CPUC Goal</t>
  </si>
  <si>
    <r>
      <t>Subtotal</t>
    </r>
    <r>
      <rPr>
        <vertAlign val="superscript"/>
        <sz val="11"/>
        <color theme="1"/>
        <rFont val="Calibri"/>
        <family val="2"/>
        <scheme val="minor"/>
      </rPr>
      <t>2</t>
    </r>
  </si>
  <si>
    <r>
      <t>2018</t>
    </r>
    <r>
      <rPr>
        <vertAlign val="superscript"/>
        <sz val="11"/>
        <color theme="1"/>
        <rFont val="Calibri"/>
        <family val="2"/>
        <scheme val="minor"/>
      </rPr>
      <t>1</t>
    </r>
  </si>
  <si>
    <r>
      <rPr>
        <b/>
        <vertAlign val="superscript"/>
        <sz val="11"/>
        <color theme="1"/>
        <rFont val="Calibri"/>
        <family val="2"/>
        <scheme val="minor"/>
      </rPr>
      <t>2</t>
    </r>
    <r>
      <rPr>
        <b/>
        <sz val="11"/>
        <color theme="1"/>
        <rFont val="Calibri"/>
        <family val="2"/>
        <scheme val="minor"/>
      </rPr>
      <t xml:space="preserve"> Subtotal equals the denominator by which portfolio 3P bid % will be measured</t>
    </r>
  </si>
  <si>
    <r>
      <rPr>
        <b/>
        <vertAlign val="superscript"/>
        <sz val="11"/>
        <color theme="1"/>
        <rFont val="Calibri"/>
        <family val="2"/>
        <scheme val="minor"/>
      </rPr>
      <t>1</t>
    </r>
    <r>
      <rPr>
        <b/>
        <sz val="11"/>
        <color theme="1"/>
        <rFont val="Calibri"/>
        <family val="2"/>
        <scheme val="minor"/>
      </rPr>
      <t xml:space="preserve"> "Reset" 2018 budget at or below 2018 annual budget approved in Business plan Decision. "True-up" years 2019-2025.</t>
    </r>
  </si>
  <si>
    <t xml:space="preserve">Total Authorized Portfolio PY Budget Cap </t>
  </si>
  <si>
    <r>
      <t>IOU Authorized PY Budget Cap</t>
    </r>
    <r>
      <rPr>
        <b/>
        <vertAlign val="superscript"/>
        <sz val="11"/>
        <color theme="1"/>
        <rFont val="Calibri"/>
        <family val="2"/>
        <scheme val="minor"/>
      </rPr>
      <t>4</t>
    </r>
  </si>
  <si>
    <r>
      <t>IOU Portfolio PY Budget Request</t>
    </r>
    <r>
      <rPr>
        <b/>
        <vertAlign val="superscript"/>
        <sz val="11"/>
        <color theme="1"/>
        <rFont val="Calibri"/>
        <family val="2"/>
        <scheme val="minor"/>
      </rPr>
      <t>4</t>
    </r>
  </si>
  <si>
    <t>IOU Subtotal</t>
  </si>
  <si>
    <t xml:space="preserve">IOU EM&amp;V </t>
  </si>
  <si>
    <t>IOU Forecast PY TRC</t>
  </si>
  <si>
    <t xml:space="preserve">IOU Forecast PY PAC </t>
  </si>
  <si>
    <r>
      <rPr>
        <b/>
        <vertAlign val="superscript"/>
        <sz val="11"/>
        <color theme="1"/>
        <rFont val="Calibri"/>
        <family val="2"/>
        <scheme val="minor"/>
      </rPr>
      <t>4</t>
    </r>
    <r>
      <rPr>
        <b/>
        <sz val="11"/>
        <color theme="1"/>
        <rFont val="Calibri"/>
        <family val="2"/>
        <scheme val="minor"/>
      </rPr>
      <t xml:space="preserve"> Add a separate row for each REN or CCA</t>
    </r>
  </si>
  <si>
    <r>
      <t>IOU PY Spending Budget Request</t>
    </r>
    <r>
      <rPr>
        <b/>
        <vertAlign val="superscript"/>
        <sz val="11"/>
        <rFont val="Calibri"/>
        <family val="2"/>
        <scheme val="minor"/>
      </rPr>
      <t>1</t>
    </r>
  </si>
  <si>
    <r>
      <t>(LESS) IOU Uncommitted and Unspent Carryover  Balance</t>
    </r>
    <r>
      <rPr>
        <b/>
        <vertAlign val="superscript"/>
        <sz val="11"/>
        <rFont val="Calibri"/>
        <family val="2"/>
        <scheme val="minor"/>
      </rPr>
      <t>2</t>
    </r>
  </si>
  <si>
    <r>
      <t>CCA PY Budget Recovery Request  (excl. CCA Uncommitted/Unspent Carryover)</t>
    </r>
    <r>
      <rPr>
        <b/>
        <vertAlign val="superscript"/>
        <sz val="11"/>
        <rFont val="Calibri"/>
        <family val="2"/>
        <scheme val="minor"/>
      </rPr>
      <t>4</t>
    </r>
  </si>
  <si>
    <r>
      <t>REN  PY Budget Recovery Request  (excl. REN Uncommitted/Unspent Carryover)</t>
    </r>
    <r>
      <rPr>
        <b/>
        <vertAlign val="superscript"/>
        <sz val="11"/>
        <rFont val="Calibri"/>
        <family val="2"/>
        <scheme val="minor"/>
      </rPr>
      <t>4</t>
    </r>
  </si>
  <si>
    <r>
      <rPr>
        <b/>
        <sz val="14"/>
        <rFont val="Calibri"/>
        <family val="2"/>
        <scheme val="minor"/>
      </rPr>
      <t>Total</t>
    </r>
    <r>
      <rPr>
        <b/>
        <sz val="11"/>
        <rFont val="Calibri"/>
        <family val="2"/>
        <scheme val="minor"/>
      </rPr>
      <t xml:space="preserve"> PA (IOU+CCAs+RENs ) PY Recovery Budget</t>
    </r>
    <r>
      <rPr>
        <b/>
        <vertAlign val="superscript"/>
        <sz val="11"/>
        <rFont val="Calibri"/>
        <family val="2"/>
        <scheme val="minor"/>
      </rPr>
      <t>5</t>
    </r>
  </si>
  <si>
    <r>
      <t>Uncommitted and Unspent Carryover balance</t>
    </r>
    <r>
      <rPr>
        <b/>
        <vertAlign val="superscript"/>
        <sz val="11"/>
        <rFont val="Calibri"/>
        <family val="2"/>
        <scheme val="minor"/>
      </rPr>
      <t>2</t>
    </r>
  </si>
  <si>
    <t>IOU Authorized PY Budget Cap (D.18-05-041)</t>
  </si>
  <si>
    <t>Authorized PY Budget Cap (D.18-05-041)</t>
  </si>
  <si>
    <t xml:space="preserve">Forecast  PY TRC </t>
  </si>
  <si>
    <t xml:space="preserve">Forecast PY PAC </t>
  </si>
  <si>
    <t xml:space="preserve">PA EM&amp;V </t>
  </si>
  <si>
    <r>
      <t>Total PA PY Spending Budget</t>
    </r>
    <r>
      <rPr>
        <b/>
        <vertAlign val="superscript"/>
        <sz val="11"/>
        <rFont val="Calibri"/>
        <family val="2"/>
        <scheme val="minor"/>
      </rPr>
      <t>1</t>
    </r>
  </si>
  <si>
    <r>
      <t>Total PA PY Budget Recovery Request</t>
    </r>
    <r>
      <rPr>
        <b/>
        <vertAlign val="superscript"/>
        <sz val="11"/>
        <rFont val="Calibri"/>
        <family val="2"/>
        <scheme val="minor"/>
      </rPr>
      <t>3</t>
    </r>
  </si>
  <si>
    <r>
      <rPr>
        <b/>
        <vertAlign val="superscript"/>
        <sz val="11"/>
        <color theme="1"/>
        <rFont val="Calibri"/>
        <family val="2"/>
        <scheme val="minor"/>
      </rPr>
      <t xml:space="preserve">3 </t>
    </r>
    <r>
      <rPr>
        <b/>
        <sz val="11"/>
        <color theme="1"/>
        <rFont val="Calibri"/>
        <family val="2"/>
        <scheme val="minor"/>
      </rPr>
      <t>The amount of funds to be collected (budget recovery) for the Program Year - Line 19 less line 20</t>
    </r>
  </si>
  <si>
    <r>
      <rPr>
        <b/>
        <vertAlign val="superscript"/>
        <sz val="11"/>
        <color theme="1"/>
        <rFont val="Calibri"/>
        <family val="2"/>
        <scheme val="minor"/>
      </rPr>
      <t xml:space="preserve">5 </t>
    </r>
    <r>
      <rPr>
        <b/>
        <sz val="11"/>
        <color theme="1"/>
        <rFont val="Calibri"/>
        <family val="2"/>
        <scheme val="minor"/>
      </rPr>
      <t>Line 25 is a mix of budget spending and budget recovery for all PAs in the IOU service area</t>
    </r>
  </si>
  <si>
    <t>Total Authorized Portfolio PY Budget Cap</t>
  </si>
  <si>
    <t>For reference only</t>
  </si>
  <si>
    <t>REN EM&amp;V PY Budget</t>
  </si>
  <si>
    <t>CCA EM&amp;V PY Budget</t>
  </si>
  <si>
    <t>EM&amp;V PY PA Budget total</t>
  </si>
  <si>
    <r>
      <rPr>
        <b/>
        <vertAlign val="superscript"/>
        <sz val="11"/>
        <color theme="1"/>
        <rFont val="Calibri"/>
        <family val="2"/>
        <scheme val="minor"/>
      </rPr>
      <t xml:space="preserve">1 </t>
    </r>
    <r>
      <rPr>
        <b/>
        <sz val="11"/>
        <color theme="1"/>
        <rFont val="Calibri"/>
        <family val="2"/>
        <scheme val="minor"/>
      </rPr>
      <t>This is amount by which Statewide 25% requirement will be measured, and what the IOU intends to spend in the PY, including carryovers.</t>
    </r>
  </si>
  <si>
    <r>
      <rPr>
        <b/>
        <vertAlign val="superscript"/>
        <sz val="11"/>
        <color theme="1"/>
        <rFont val="Calibri"/>
        <family val="2"/>
        <scheme val="minor"/>
      </rPr>
      <t>1</t>
    </r>
    <r>
      <rPr>
        <b/>
        <sz val="11"/>
        <color theme="1"/>
        <rFont val="Calibri"/>
        <family val="2"/>
        <scheme val="minor"/>
      </rPr>
      <t xml:space="preserve"> Total proposed program year budget spending, including uncommitted unspent carryover</t>
    </r>
  </si>
  <si>
    <r>
      <rPr>
        <b/>
        <vertAlign val="superscript"/>
        <sz val="11"/>
        <color theme="1"/>
        <rFont val="Calibri"/>
        <family val="2"/>
        <scheme val="minor"/>
      </rPr>
      <t xml:space="preserve">2  </t>
    </r>
    <r>
      <rPr>
        <b/>
        <sz val="11"/>
        <color theme="1"/>
        <rFont val="Calibri"/>
        <family val="2"/>
        <scheme val="minor"/>
      </rPr>
      <t>The balance of unspent uncommitted must reflect the total unspent uncommitted starting Jan 1 2018 through Dec 31 of current year (PY-1). Because each ABAL is filed in Q3, this unspent uncommitted amount will be an estimate for the year in which the ABAL is filed.</t>
    </r>
  </si>
  <si>
    <r>
      <rPr>
        <b/>
        <vertAlign val="superscript"/>
        <sz val="11"/>
        <color theme="1"/>
        <rFont val="Calibri"/>
        <family val="2"/>
        <scheme val="minor"/>
      </rPr>
      <t xml:space="preserve">3 </t>
    </r>
    <r>
      <rPr>
        <b/>
        <sz val="11"/>
        <color theme="1"/>
        <rFont val="Calibri"/>
        <family val="2"/>
        <scheme val="minor"/>
      </rPr>
      <t>Amount of funds to be collected for the Program Year - Line 18 less Line 19</t>
    </r>
  </si>
  <si>
    <r>
      <rPr>
        <b/>
        <vertAlign val="superscript"/>
        <sz val="11"/>
        <color theme="1"/>
        <rFont val="Calibri"/>
        <family val="2"/>
        <scheme val="minor"/>
      </rPr>
      <t xml:space="preserve">3  </t>
    </r>
    <r>
      <rPr>
        <b/>
        <sz val="11"/>
        <color theme="1"/>
        <rFont val="Calibri"/>
        <family val="2"/>
        <scheme val="minor"/>
      </rPr>
      <t>Sum of all PA budgets in IOU Service Area</t>
    </r>
  </si>
  <si>
    <r>
      <rPr>
        <b/>
        <vertAlign val="superscript"/>
        <sz val="11"/>
        <color theme="1"/>
        <rFont val="Calibri"/>
        <family val="2"/>
        <scheme val="minor"/>
      </rPr>
      <t>4</t>
    </r>
    <r>
      <rPr>
        <b/>
        <sz val="11"/>
        <color theme="1"/>
        <rFont val="Calibri"/>
        <family val="2"/>
        <scheme val="minor"/>
      </rPr>
      <t xml:space="preserve"> IOU only Subtotal (Line 14) + IOU EM&amp;V (Line 15)</t>
    </r>
  </si>
  <si>
    <t>Total Forecast Portfolio Savings (w/out C&amp;S)</t>
  </si>
  <si>
    <t>ESA Savings</t>
  </si>
  <si>
    <t>IOU Total Program Savings (w/out C&amp;S)</t>
  </si>
  <si>
    <t>CPUC Program Savings Goal</t>
  </si>
  <si>
    <t>Forecast savings as % of CPUC Program Savings Goal</t>
  </si>
  <si>
    <t>Forecast Portfolio PY TRC - w/out C&amp;S (through 2022)</t>
  </si>
  <si>
    <t>Forecast Portfolio PY PAC - w/out C&amp;S (through 2022)</t>
  </si>
  <si>
    <t>SDG&amp;E PY2019 FORECAST ENERGY SAVINGS (Net)</t>
  </si>
  <si>
    <t xml:space="preserve"> </t>
  </si>
  <si>
    <t>DOES NOT APPLY TO SDG&amp;E</t>
  </si>
  <si>
    <t>1.25+</t>
  </si>
  <si>
    <r>
      <rPr>
        <b/>
        <vertAlign val="superscript"/>
        <sz val="11"/>
        <color theme="1"/>
        <rFont val="Calibri"/>
        <family val="2"/>
        <scheme val="minor"/>
      </rPr>
      <t>2</t>
    </r>
    <r>
      <rPr>
        <b/>
        <sz val="11"/>
        <color theme="1"/>
        <rFont val="Calibri"/>
        <family val="2"/>
        <scheme val="minor"/>
      </rPr>
      <t xml:space="preserve">  The balance of all unspent and uncommitted must reflect the total unspent uncommitted for all prior program years up to and through December 31, 2018.  In subsequent ABAL filings, beginning September 2019, PAs are expected to apply any unspent uncommitted funds carried over from the prior program year, to avoid the accrual of multiple years of unspent uncommitted funds.  </t>
    </r>
  </si>
  <si>
    <t xml:space="preserve">    Because each ABAL is filed in Q3, this unspent uncommitted amount will be an estimate for the year in which the ABAL is filed. In the case that the total unspent uncommitted funds to apply is greater than the IOU PY Spending Budget Request, and the Budget Recovery Request calculated is negative</t>
  </si>
  <si>
    <t xml:space="preserve">    You may reset the Budget Recovery Request to “$0” overriding the spreadsheet formula, and note the amount of unspent uncommitted funds that will continue to carry forward to be applied in PY 2020.</t>
  </si>
  <si>
    <t>IOU PY Budget Recovery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</si>
</sst>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 #,##0.0_);_(* \(#,##0.0\);_(* &quot;-&quot;??_);_(@_)"/>
  </numFmts>
  <fonts count="18" x14ac:knownFonts="1">
    <font>
      <sz val="11"/>
      <color theme="1"/>
      <name val="Calibri"/>
      <family val="2"/>
      <scheme val="minor"/>
    </font>
    <font>
      <sz val="12"/>
      <color theme="1"/>
      <name val="Calibri"/>
      <family val="2"/>
      <charset val="204"/>
      <scheme val="minor"/>
    </font>
    <font>
      <sz val="12"/>
      <color theme="1"/>
      <name val="Calibri"/>
      <family val="2"/>
      <charset val="204"/>
      <scheme val="minor"/>
    </font>
    <font>
      <b/>
      <sz val="11"/>
      <color theme="1"/>
      <name val="Calibri"/>
      <family val="2"/>
      <scheme val="minor"/>
    </font>
    <font>
      <b/>
      <sz val="12"/>
      <color theme="1"/>
      <name val="Calibri"/>
      <family val="2"/>
      <charset val="204"/>
      <scheme val="minor"/>
    </font>
    <font>
      <u/>
      <sz val="11"/>
      <color theme="10"/>
      <name val="Calibri"/>
      <family val="2"/>
      <scheme val="minor"/>
    </font>
    <font>
      <u/>
      <sz val="11"/>
      <color theme="11"/>
      <name val="Calibri"/>
      <family val="2"/>
      <scheme val="minor"/>
    </font>
    <font>
      <sz val="11"/>
      <color rgb="FF000000"/>
      <name val="Calibri"/>
      <family val="2"/>
      <scheme val="minor"/>
    </font>
    <font>
      <u/>
      <sz val="11"/>
      <color theme="1"/>
      <name val="Calibri"/>
      <family val="2"/>
      <scheme val="minor"/>
    </font>
    <font>
      <b/>
      <sz val="11"/>
      <name val="Calibri"/>
      <family val="2"/>
      <scheme val="minor"/>
    </font>
    <font>
      <b/>
      <vertAlign val="superscript"/>
      <sz val="11"/>
      <color theme="1"/>
      <name val="Calibri"/>
      <family val="2"/>
      <scheme val="minor"/>
    </font>
    <font>
      <sz val="11"/>
      <color rgb="FF00B050"/>
      <name val="Calibri"/>
      <family val="2"/>
      <scheme val="minor"/>
    </font>
    <font>
      <sz val="11"/>
      <color theme="1"/>
      <name val="Calibri"/>
      <family val="2"/>
      <scheme val="minor"/>
    </font>
    <font>
      <vertAlign val="superscript"/>
      <sz val="11"/>
      <color theme="1"/>
      <name val="Calibri"/>
      <family val="2"/>
      <scheme val="minor"/>
    </font>
    <font>
      <b/>
      <vertAlign val="superscript"/>
      <sz val="11"/>
      <name val="Calibri"/>
      <family val="2"/>
      <scheme val="minor"/>
    </font>
    <font>
      <b/>
      <sz val="14"/>
      <name val="Calibri"/>
      <family val="2"/>
      <scheme val="minor"/>
    </font>
    <font>
      <sz val="8"/>
      <name val="Calibri"/>
      <family val="2"/>
      <scheme val="minor"/>
    </font>
    <font>
      <sz val="10"/>
      <name val="Times New Roman"/>
      <family val="1"/>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bottom style="thick">
        <color auto="1"/>
      </bottom>
      <diagonal/>
    </border>
    <border>
      <left/>
      <right/>
      <top style="thick">
        <color auto="1"/>
      </top>
      <bottom style="thick">
        <color auto="1"/>
      </bottom>
      <diagonal/>
    </border>
    <border>
      <left/>
      <right/>
      <top style="thick">
        <color auto="1"/>
      </top>
      <bottom/>
      <diagonal/>
    </border>
    <border>
      <left style="thick">
        <color auto="1"/>
      </left>
      <right/>
      <top/>
      <bottom style="thick">
        <color auto="1"/>
      </bottom>
      <diagonal/>
    </border>
    <border>
      <left style="thick">
        <color auto="1"/>
      </left>
      <right/>
      <top/>
      <bottom/>
      <diagonal/>
    </border>
    <border>
      <left style="thick">
        <color auto="1"/>
      </left>
      <right style="thick">
        <color auto="1"/>
      </right>
      <top/>
      <bottom/>
      <diagonal/>
    </border>
    <border>
      <left style="thick">
        <color auto="1"/>
      </left>
      <right style="thick">
        <color auto="1"/>
      </right>
      <top style="thick">
        <color auto="1"/>
      </top>
      <bottom/>
      <diagonal/>
    </border>
    <border>
      <left/>
      <right style="thick">
        <color auto="1"/>
      </right>
      <top style="thick">
        <color auto="1"/>
      </top>
      <bottom style="thick">
        <color auto="1"/>
      </bottom>
      <diagonal/>
    </border>
    <border>
      <left/>
      <right style="thick">
        <color auto="1"/>
      </right>
      <top/>
      <bottom style="thick">
        <color auto="1"/>
      </bottom>
      <diagonal/>
    </border>
    <border>
      <left/>
      <right style="thick">
        <color auto="1"/>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diagonal/>
    </border>
    <border>
      <left/>
      <right style="thick">
        <color auto="1"/>
      </right>
      <top style="thin">
        <color auto="1"/>
      </top>
      <bottom style="thin">
        <color auto="1"/>
      </bottom>
      <diagonal/>
    </border>
    <border>
      <left style="medium">
        <color indexed="64"/>
      </left>
      <right/>
      <top style="medium">
        <color indexed="64"/>
      </top>
      <bottom style="thick">
        <color auto="1"/>
      </bottom>
      <diagonal/>
    </border>
    <border>
      <left/>
      <right style="medium">
        <color indexed="64"/>
      </right>
      <top style="medium">
        <color indexed="64"/>
      </top>
      <bottom style="thick">
        <color auto="1"/>
      </bottom>
      <diagonal/>
    </border>
    <border>
      <left style="medium">
        <color indexed="64"/>
      </left>
      <right/>
      <top style="thick">
        <color auto="1"/>
      </top>
      <bottom style="thin">
        <color auto="1"/>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style="medium">
        <color indexed="64"/>
      </left>
      <right/>
      <top style="thick">
        <color auto="1"/>
      </top>
      <bottom style="thick">
        <color auto="1"/>
      </bottom>
      <diagonal/>
    </border>
    <border>
      <left style="medium">
        <color indexed="64"/>
      </left>
      <right/>
      <top style="thick">
        <color auto="1"/>
      </top>
      <bottom/>
      <diagonal/>
    </border>
    <border>
      <left style="medium">
        <color indexed="64"/>
      </left>
      <right/>
      <top style="thick">
        <color auto="1"/>
      </top>
      <bottom style="medium">
        <color indexed="64"/>
      </bottom>
      <diagonal/>
    </border>
    <border>
      <left/>
      <right style="thick">
        <color auto="1"/>
      </right>
      <top/>
      <bottom style="thin">
        <color auto="1"/>
      </bottom>
      <diagonal/>
    </border>
    <border>
      <left/>
      <right style="thick">
        <color auto="1"/>
      </right>
      <top style="thick">
        <color auto="1"/>
      </top>
      <bottom style="medium">
        <color indexed="64"/>
      </bottom>
      <diagonal/>
    </border>
  </borders>
  <cellStyleXfs count="6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4" fontId="1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4" fontId="17" fillId="0" borderId="0" applyFont="0" applyFill="0" applyBorder="0" applyAlignment="0" applyProtection="0"/>
  </cellStyleXfs>
  <cellXfs count="185">
    <xf numFmtId="0" fontId="0" fillId="0" borderId="0" xfId="0"/>
    <xf numFmtId="0" fontId="0" fillId="0" borderId="0" xfId="0" applyAlignment="1">
      <alignment horizontal="left"/>
    </xf>
    <xf numFmtId="0" fontId="0" fillId="0" borderId="1" xfId="0" applyBorder="1"/>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Border="1" applyAlignment="1">
      <alignment horizontal="right"/>
    </xf>
    <xf numFmtId="0" fontId="0" fillId="0" borderId="2" xfId="0" applyBorder="1"/>
    <xf numFmtId="0" fontId="0" fillId="0" borderId="3" xfId="0" applyBorder="1"/>
    <xf numFmtId="0" fontId="3" fillId="0" borderId="1" xfId="0" applyFont="1" applyFill="1" applyBorder="1" applyAlignment="1">
      <alignment horizontal="left"/>
    </xf>
    <xf numFmtId="0" fontId="0" fillId="0" borderId="1" xfId="0" applyBorder="1" applyAlignment="1">
      <alignment horizontal="center"/>
    </xf>
    <xf numFmtId="0" fontId="0" fillId="0" borderId="0" xfId="0" applyBorder="1"/>
    <xf numFmtId="0" fontId="0" fillId="0" borderId="4" xfId="0" applyBorder="1"/>
    <xf numFmtId="0" fontId="0" fillId="0" borderId="6" xfId="0" applyBorder="1"/>
    <xf numFmtId="0" fontId="3" fillId="0" borderId="1" xfId="0" applyFont="1" applyBorder="1"/>
    <xf numFmtId="0" fontId="0" fillId="0" borderId="2" xfId="0" applyFill="1" applyBorder="1" applyAlignment="1">
      <alignment horizontal="left"/>
    </xf>
    <xf numFmtId="0" fontId="0" fillId="0" borderId="8" xfId="0" applyBorder="1"/>
    <xf numFmtId="0" fontId="3" fillId="0" borderId="0" xfId="0" applyFont="1" applyBorder="1" applyAlignment="1">
      <alignment horizontal="left"/>
    </xf>
    <xf numFmtId="0" fontId="0" fillId="0" borderId="9" xfId="0" applyBorder="1"/>
    <xf numFmtId="0" fontId="3" fillId="0" borderId="2" xfId="0" applyFont="1" applyBorder="1" applyAlignment="1">
      <alignment horizontal="left"/>
    </xf>
    <xf numFmtId="0" fontId="3" fillId="0" borderId="0" xfId="0" applyFont="1" applyFill="1" applyBorder="1" applyAlignment="1">
      <alignment horizontal="left"/>
    </xf>
    <xf numFmtId="0" fontId="0" fillId="0" borderId="0" xfId="0" applyBorder="1" applyAlignment="1">
      <alignment horizontal="left"/>
    </xf>
    <xf numFmtId="0" fontId="0" fillId="0" borderId="0" xfId="0" applyBorder="1" applyAlignment="1">
      <alignment horizontal="right"/>
    </xf>
    <xf numFmtId="0" fontId="0" fillId="0" borderId="0" xfId="0" applyAlignment="1">
      <alignment horizontal="right"/>
    </xf>
    <xf numFmtId="0" fontId="0" fillId="0" borderId="0" xfId="0" applyAlignment="1">
      <alignment horizontal="center" vertical="top" wrapText="1"/>
    </xf>
    <xf numFmtId="0" fontId="0" fillId="0" borderId="1" xfId="0" applyBorder="1" applyAlignment="1">
      <alignment horizontal="center" wrapText="1"/>
    </xf>
    <xf numFmtId="0" fontId="7" fillId="0" borderId="1" xfId="0" applyFont="1" applyBorder="1" applyAlignment="1">
      <alignment horizontal="center" wrapText="1"/>
    </xf>
    <xf numFmtId="0" fontId="3" fillId="0" borderId="0" xfId="0" applyFont="1"/>
    <xf numFmtId="0" fontId="3" fillId="0" borderId="8" xfId="0" applyFont="1" applyBorder="1"/>
    <xf numFmtId="0" fontId="3" fillId="0" borderId="0" xfId="0" applyFont="1" applyAlignment="1">
      <alignment horizontal="right"/>
    </xf>
    <xf numFmtId="164" fontId="0" fillId="0" borderId="0" xfId="0" applyNumberFormat="1"/>
    <xf numFmtId="0" fontId="4" fillId="0" borderId="0" xfId="0" applyFont="1" applyAlignment="1">
      <alignment horizontal="center"/>
    </xf>
    <xf numFmtId="0" fontId="2" fillId="0" borderId="0" xfId="0" applyFont="1" applyAlignment="1">
      <alignment horizontal="center"/>
    </xf>
    <xf numFmtId="0" fontId="3" fillId="0" borderId="2" xfId="0" applyFont="1" applyFill="1" applyBorder="1" applyAlignment="1">
      <alignment horizontal="left"/>
    </xf>
    <xf numFmtId="0" fontId="3" fillId="0" borderId="3" xfId="0" applyFont="1" applyBorder="1" applyAlignment="1">
      <alignment horizontal="center" wrapText="1"/>
    </xf>
    <xf numFmtId="0" fontId="0" fillId="0" borderId="11" xfId="0" applyBorder="1"/>
    <xf numFmtId="0" fontId="0" fillId="0" borderId="1" xfId="0" applyBorder="1" applyAlignment="1"/>
    <xf numFmtId="6" fontId="0" fillId="0" borderId="0" xfId="0" applyNumberFormat="1"/>
    <xf numFmtId="164" fontId="0" fillId="0" borderId="8" xfId="0" applyNumberFormat="1" applyBorder="1"/>
    <xf numFmtId="164" fontId="0" fillId="0" borderId="10" xfId="0" applyNumberFormat="1" applyBorder="1"/>
    <xf numFmtId="164" fontId="0" fillId="0" borderId="8" xfId="0" applyNumberFormat="1" applyBorder="1" applyAlignment="1">
      <alignment horizontal="right"/>
    </xf>
    <xf numFmtId="164" fontId="8" fillId="0" borderId="2" xfId="0" applyNumberFormat="1" applyFont="1" applyBorder="1" applyAlignment="1">
      <alignment horizontal="right"/>
    </xf>
    <xf numFmtId="0" fontId="0" fillId="0" borderId="0" xfId="0" applyFill="1" applyBorder="1"/>
    <xf numFmtId="0" fontId="0" fillId="0" borderId="1" xfId="0" applyBorder="1" applyAlignment="1">
      <alignment horizontal="right" wrapText="1"/>
    </xf>
    <xf numFmtId="0" fontId="0" fillId="0" borderId="6" xfId="0" applyBorder="1" applyAlignment="1">
      <alignment horizontal="right"/>
    </xf>
    <xf numFmtId="0" fontId="0" fillId="0" borderId="5" xfId="0" applyFill="1" applyBorder="1" applyAlignment="1">
      <alignment horizontal="right" vertical="center" wrapText="1"/>
    </xf>
    <xf numFmtId="0" fontId="0" fillId="0" borderId="0" xfId="0" applyFill="1" applyBorder="1" applyAlignment="1">
      <alignment horizontal="right"/>
    </xf>
    <xf numFmtId="0" fontId="3" fillId="0" borderId="0" xfId="0" applyFont="1" applyBorder="1" applyAlignment="1">
      <alignment horizontal="center" vertical="top" wrapText="1"/>
    </xf>
    <xf numFmtId="0" fontId="0" fillId="0" borderId="2" xfId="0" applyNumberFormat="1" applyBorder="1"/>
    <xf numFmtId="9" fontId="0" fillId="0" borderId="2" xfId="0" applyNumberFormat="1" applyBorder="1"/>
    <xf numFmtId="0" fontId="0" fillId="0" borderId="0" xfId="0" applyFill="1"/>
    <xf numFmtId="0" fontId="0" fillId="0" borderId="0" xfId="0" applyFill="1" applyBorder="1" applyAlignment="1">
      <alignment horizontal="right" vertical="center" wrapText="1"/>
    </xf>
    <xf numFmtId="0" fontId="0" fillId="0" borderId="8" xfId="0" applyNumberFormat="1" applyBorder="1"/>
    <xf numFmtId="164" fontId="0" fillId="0" borderId="2" xfId="0" applyNumberFormat="1" applyFont="1" applyBorder="1" applyAlignment="1">
      <alignment horizontal="right"/>
    </xf>
    <xf numFmtId="0" fontId="1" fillId="0" borderId="0" xfId="0" applyFont="1"/>
    <xf numFmtId="0" fontId="0" fillId="0" borderId="2" xfId="0" applyBorder="1" applyAlignment="1"/>
    <xf numFmtId="0" fontId="3" fillId="0" borderId="2" xfId="0" applyFont="1" applyFill="1" applyBorder="1" applyAlignment="1">
      <alignment horizontal="left"/>
    </xf>
    <xf numFmtId="9" fontId="0" fillId="0" borderId="0" xfId="0" applyNumberFormat="1" applyBorder="1" applyAlignment="1">
      <alignment horizontal="right"/>
    </xf>
    <xf numFmtId="0" fontId="9" fillId="0" borderId="2" xfId="0" applyFont="1" applyBorder="1" applyAlignment="1">
      <alignment horizontal="left"/>
    </xf>
    <xf numFmtId="0" fontId="0" fillId="0" borderId="12" xfId="0" applyBorder="1"/>
    <xf numFmtId="0" fontId="0" fillId="0" borderId="13" xfId="0" applyBorder="1"/>
    <xf numFmtId="0" fontId="11" fillId="0" borderId="0" xfId="0" applyFont="1"/>
    <xf numFmtId="0" fontId="3" fillId="0" borderId="2" xfId="0" applyFont="1" applyFill="1" applyBorder="1" applyAlignment="1">
      <alignment horizontal="left"/>
    </xf>
    <xf numFmtId="0" fontId="9" fillId="0" borderId="15" xfId="0" applyFont="1" applyBorder="1" applyAlignment="1">
      <alignment horizontal="left"/>
    </xf>
    <xf numFmtId="6" fontId="0" fillId="0" borderId="8" xfId="0" applyNumberFormat="1" applyBorder="1"/>
    <xf numFmtId="49" fontId="0" fillId="0" borderId="1" xfId="0" applyNumberFormat="1" applyBorder="1" applyAlignment="1">
      <alignment horizontal="center"/>
    </xf>
    <xf numFmtId="0" fontId="0" fillId="0" borderId="2" xfId="0" applyFill="1" applyBorder="1" applyAlignment="1">
      <alignment horizontal="right"/>
    </xf>
    <xf numFmtId="0" fontId="0" fillId="0" borderId="1" xfId="0" applyFill="1" applyBorder="1" applyAlignment="1">
      <alignment horizontal="right"/>
    </xf>
    <xf numFmtId="164" fontId="0" fillId="0" borderId="8" xfId="0" applyNumberFormat="1" applyFont="1" applyBorder="1" applyAlignment="1">
      <alignment horizontal="right"/>
    </xf>
    <xf numFmtId="164" fontId="0" fillId="0" borderId="8" xfId="0" applyNumberFormat="1" applyFill="1" applyBorder="1"/>
    <xf numFmtId="164" fontId="0" fillId="0" borderId="2" xfId="0" applyNumberFormat="1" applyFill="1" applyBorder="1"/>
    <xf numFmtId="0" fontId="0" fillId="0" borderId="8" xfId="0" applyFill="1" applyBorder="1" applyAlignment="1"/>
    <xf numFmtId="0" fontId="0" fillId="0" borderId="1" xfId="0" applyFill="1" applyBorder="1"/>
    <xf numFmtId="0" fontId="0" fillId="0" borderId="2" xfId="0" applyFill="1" applyBorder="1"/>
    <xf numFmtId="9" fontId="0" fillId="0" borderId="2" xfId="0" applyNumberFormat="1" applyFill="1" applyBorder="1"/>
    <xf numFmtId="164" fontId="0" fillId="0" borderId="0" xfId="0" applyNumberFormat="1" applyBorder="1"/>
    <xf numFmtId="0" fontId="9" fillId="0" borderId="2" xfId="0" applyFont="1" applyFill="1" applyBorder="1" applyAlignment="1">
      <alignment horizontal="left"/>
    </xf>
    <xf numFmtId="0" fontId="9" fillId="0" borderId="1" xfId="0" applyFont="1" applyFill="1" applyBorder="1" applyAlignment="1">
      <alignment horizontal="left"/>
    </xf>
    <xf numFmtId="0" fontId="3" fillId="2" borderId="1" xfId="0" applyFont="1" applyFill="1" applyBorder="1" applyAlignment="1">
      <alignment horizontal="left"/>
    </xf>
    <xf numFmtId="164" fontId="0" fillId="0" borderId="9" xfId="0" applyNumberFormat="1" applyBorder="1"/>
    <xf numFmtId="0" fontId="3" fillId="2" borderId="17" xfId="0" applyFont="1" applyFill="1" applyBorder="1" applyAlignment="1">
      <alignment horizontal="left"/>
    </xf>
    <xf numFmtId="0" fontId="3" fillId="2" borderId="2" xfId="0" applyFont="1" applyFill="1" applyBorder="1" applyAlignment="1">
      <alignment horizontal="left"/>
    </xf>
    <xf numFmtId="164" fontId="0" fillId="0" borderId="18" xfId="0" applyNumberFormat="1" applyBorder="1"/>
    <xf numFmtId="0" fontId="3" fillId="0" borderId="2" xfId="0" applyFont="1" applyFill="1" applyBorder="1" applyAlignment="1">
      <alignment horizontal="left"/>
    </xf>
    <xf numFmtId="164" fontId="0" fillId="0" borderId="0" xfId="53" applyNumberFormat="1" applyFont="1"/>
    <xf numFmtId="164" fontId="0" fillId="0" borderId="3" xfId="53" applyNumberFormat="1" applyFont="1" applyBorder="1"/>
    <xf numFmtId="164" fontId="0" fillId="0" borderId="0" xfId="53" applyNumberFormat="1" applyFont="1" applyBorder="1"/>
    <xf numFmtId="164" fontId="0" fillId="0" borderId="1" xfId="53" applyNumberFormat="1" applyFont="1" applyBorder="1"/>
    <xf numFmtId="164" fontId="0" fillId="0" borderId="11" xfId="53" applyNumberFormat="1" applyFont="1" applyBorder="1"/>
    <xf numFmtId="164" fontId="0" fillId="0" borderId="2" xfId="53" applyNumberFormat="1" applyFont="1" applyBorder="1"/>
    <xf numFmtId="164" fontId="0" fillId="0" borderId="4" xfId="53" applyNumberFormat="1" applyFont="1" applyBorder="1"/>
    <xf numFmtId="165" fontId="0" fillId="0" borderId="0" xfId="60" applyNumberFormat="1" applyFont="1"/>
    <xf numFmtId="165" fontId="0" fillId="0" borderId="0" xfId="60" applyNumberFormat="1" applyFont="1" applyBorder="1" applyAlignment="1">
      <alignment horizontal="right"/>
    </xf>
    <xf numFmtId="165" fontId="0" fillId="0" borderId="0" xfId="60" applyNumberFormat="1" applyFont="1" applyBorder="1"/>
    <xf numFmtId="165" fontId="0" fillId="0" borderId="2" xfId="0" applyNumberFormat="1" applyBorder="1"/>
    <xf numFmtId="165" fontId="0" fillId="0" borderId="0" xfId="0" applyNumberFormat="1"/>
    <xf numFmtId="0" fontId="0" fillId="0" borderId="8" xfId="0" applyFill="1" applyBorder="1"/>
    <xf numFmtId="2" fontId="3" fillId="0" borderId="2" xfId="0" applyNumberFormat="1" applyFont="1" applyFill="1" applyBorder="1" applyAlignment="1">
      <alignment horizontal="left"/>
    </xf>
    <xf numFmtId="165" fontId="0" fillId="0" borderId="2" xfId="60" applyNumberFormat="1" applyFont="1" applyFill="1" applyBorder="1"/>
    <xf numFmtId="165" fontId="0" fillId="0" borderId="8" xfId="60" applyNumberFormat="1" applyFont="1" applyFill="1" applyBorder="1"/>
    <xf numFmtId="165" fontId="0" fillId="0" borderId="2" xfId="0" applyNumberFormat="1" applyFill="1" applyBorder="1"/>
    <xf numFmtId="165" fontId="0" fillId="0" borderId="2" xfId="60" applyNumberFormat="1" applyFont="1" applyFill="1" applyBorder="1" applyAlignment="1">
      <alignment horizontal="right"/>
    </xf>
    <xf numFmtId="43" fontId="0" fillId="0" borderId="8" xfId="60" applyFont="1" applyBorder="1" applyAlignment="1">
      <alignment horizontal="right"/>
    </xf>
    <xf numFmtId="165" fontId="0" fillId="0" borderId="12" xfId="60" applyNumberFormat="1" applyFont="1" applyBorder="1" applyAlignment="1">
      <alignment horizontal="right"/>
    </xf>
    <xf numFmtId="165" fontId="0" fillId="0" borderId="0" xfId="60" applyNumberFormat="1" applyFont="1"/>
    <xf numFmtId="165" fontId="0" fillId="0" borderId="7" xfId="60" applyNumberFormat="1" applyFont="1" applyBorder="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0" xfId="0" applyNumberFormat="1"/>
    <xf numFmtId="165" fontId="0" fillId="0" borderId="16" xfId="60" applyNumberFormat="1" applyFont="1" applyBorder="1" applyAlignment="1">
      <alignment horizontal="right"/>
    </xf>
    <xf numFmtId="165" fontId="0" fillId="0" borderId="16" xfId="60" applyNumberFormat="1" applyFont="1" applyBorder="1"/>
    <xf numFmtId="165" fontId="0" fillId="0" borderId="6" xfId="60" applyNumberFormat="1" applyFont="1" applyBorder="1" applyAlignment="1">
      <alignment horizontal="right"/>
    </xf>
    <xf numFmtId="165" fontId="0" fillId="0" borderId="2" xfId="60" applyNumberFormat="1" applyFont="1" applyBorder="1"/>
    <xf numFmtId="165" fontId="0" fillId="0" borderId="8" xfId="60" applyNumberFormat="1" applyFont="1" applyBorder="1"/>
    <xf numFmtId="165" fontId="0" fillId="0" borderId="19" xfId="60" applyNumberFormat="1" applyFont="1" applyBorder="1"/>
    <xf numFmtId="9" fontId="0" fillId="0" borderId="13" xfId="61" applyFont="1" applyBorder="1" applyAlignment="1">
      <alignment horizontal="right"/>
    </xf>
    <xf numFmtId="0" fontId="0" fillId="0" borderId="7" xfId="0" applyBorder="1" applyAlignment="1">
      <alignment horizontal="right"/>
    </xf>
    <xf numFmtId="166" fontId="3" fillId="0" borderId="0" xfId="60" applyNumberFormat="1" applyFont="1" applyBorder="1" applyAlignment="1">
      <alignment horizontal="right"/>
    </xf>
    <xf numFmtId="165" fontId="3" fillId="0" borderId="0" xfId="60" applyNumberFormat="1" applyFont="1" applyBorder="1" applyAlignment="1">
      <alignment horizontal="right"/>
    </xf>
    <xf numFmtId="0" fontId="0" fillId="0" borderId="0" xfId="0"/>
    <xf numFmtId="0" fontId="0" fillId="0" borderId="6" xfId="0" applyBorder="1" applyAlignment="1">
      <alignment horizontal="right"/>
    </xf>
    <xf numFmtId="166" fontId="0" fillId="0" borderId="16" xfId="60" applyNumberFormat="1" applyFont="1" applyBorder="1" applyAlignment="1">
      <alignment horizontal="right"/>
    </xf>
    <xf numFmtId="166" fontId="0" fillId="0" borderId="16" xfId="60" applyNumberFormat="1" applyFont="1" applyBorder="1"/>
    <xf numFmtId="166" fontId="0" fillId="0" borderId="6" xfId="60" applyNumberFormat="1" applyFont="1" applyBorder="1" applyAlignment="1">
      <alignment horizontal="right"/>
    </xf>
    <xf numFmtId="166" fontId="0" fillId="0" borderId="8" xfId="60" applyNumberFormat="1" applyFont="1" applyBorder="1"/>
    <xf numFmtId="166" fontId="0" fillId="0" borderId="7" xfId="60" applyNumberFormat="1" applyFont="1" applyBorder="1"/>
    <xf numFmtId="166" fontId="0" fillId="0" borderId="14" xfId="60" applyNumberFormat="1" applyFont="1" applyBorder="1" applyAlignment="1">
      <alignment horizontal="right"/>
    </xf>
    <xf numFmtId="166" fontId="0" fillId="0" borderId="12" xfId="60" applyNumberFormat="1" applyFont="1" applyBorder="1" applyAlignment="1">
      <alignment horizontal="right"/>
    </xf>
    <xf numFmtId="165" fontId="0" fillId="0" borderId="14" xfId="60" applyNumberFormat="1" applyFont="1" applyBorder="1" applyAlignment="1">
      <alignment horizontal="right"/>
    </xf>
    <xf numFmtId="0" fontId="0" fillId="0" borderId="1" xfId="0" applyBorder="1"/>
    <xf numFmtId="0" fontId="0" fillId="0" borderId="2" xfId="0" applyBorder="1"/>
    <xf numFmtId="0" fontId="0" fillId="0" borderId="3" xfId="0" applyBorder="1"/>
    <xf numFmtId="0" fontId="0" fillId="0" borderId="1" xfId="0" applyBorder="1" applyAlignment="1"/>
    <xf numFmtId="164" fontId="0" fillId="0" borderId="2" xfId="0" applyNumberFormat="1" applyBorder="1"/>
    <xf numFmtId="0" fontId="0" fillId="0" borderId="2" xfId="0" applyBorder="1" applyAlignment="1">
      <alignment horizontal="right"/>
    </xf>
    <xf numFmtId="164" fontId="0" fillId="0" borderId="3" xfId="53" applyNumberFormat="1" applyFont="1" applyBorder="1"/>
    <xf numFmtId="164" fontId="0" fillId="0" borderId="2" xfId="53" applyNumberFormat="1" applyFont="1" applyBorder="1"/>
    <xf numFmtId="164" fontId="0" fillId="0" borderId="4" xfId="53" applyNumberFormat="1" applyFont="1" applyBorder="1"/>
    <xf numFmtId="164" fontId="0" fillId="0" borderId="1" xfId="0" applyNumberFormat="1" applyBorder="1" applyAlignment="1"/>
    <xf numFmtId="164" fontId="0" fillId="0" borderId="3" xfId="0" applyNumberFormat="1" applyBorder="1"/>
    <xf numFmtId="2" fontId="0" fillId="0" borderId="2" xfId="0" applyNumberFormat="1" applyBorder="1"/>
    <xf numFmtId="43" fontId="0" fillId="0" borderId="1" xfId="0" applyNumberFormat="1" applyBorder="1"/>
    <xf numFmtId="165" fontId="0" fillId="0" borderId="0" xfId="0" applyNumberFormat="1" applyFill="1"/>
    <xf numFmtId="165" fontId="0" fillId="0" borderId="20" xfId="60" applyNumberFormat="1" applyFont="1" applyBorder="1" applyAlignment="1">
      <alignment horizontal="right"/>
    </xf>
    <xf numFmtId="165" fontId="0" fillId="0" borderId="10" xfId="60" applyNumberFormat="1" applyFont="1" applyBorder="1" applyAlignment="1">
      <alignment horizontal="right"/>
    </xf>
    <xf numFmtId="9" fontId="0" fillId="0" borderId="9" xfId="61" applyFont="1" applyBorder="1" applyAlignment="1">
      <alignment horizontal="right"/>
    </xf>
    <xf numFmtId="165" fontId="0" fillId="0" borderId="8" xfId="60" applyNumberFormat="1" applyFont="1" applyBorder="1" applyAlignment="1">
      <alignment horizontal="right"/>
    </xf>
    <xf numFmtId="164" fontId="0" fillId="0" borderId="9" xfId="0" applyNumberFormat="1" applyFont="1" applyBorder="1" applyAlignment="1">
      <alignment horizontal="right"/>
    </xf>
    <xf numFmtId="0" fontId="3" fillId="0" borderId="21" xfId="0" applyFont="1" applyBorder="1" applyAlignment="1">
      <alignment horizontal="center"/>
    </xf>
    <xf numFmtId="0" fontId="3" fillId="0" borderId="22" xfId="0" applyFont="1" applyBorder="1" applyAlignment="1">
      <alignment horizontal="righ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3" fillId="0" borderId="27" xfId="0" applyFont="1" applyBorder="1" applyAlignment="1">
      <alignment horizontal="left"/>
    </xf>
    <xf numFmtId="0" fontId="0" fillId="0" borderId="28" xfId="0" applyFont="1" applyBorder="1" applyAlignment="1">
      <alignment horizontal="left"/>
    </xf>
    <xf numFmtId="0" fontId="3" fillId="0" borderId="28" xfId="0" applyFont="1" applyBorder="1" applyAlignment="1">
      <alignment horizontal="left"/>
    </xf>
    <xf numFmtId="0" fontId="0" fillId="0" borderId="23" xfId="0" applyBorder="1"/>
    <xf numFmtId="0" fontId="0" fillId="0" borderId="24" xfId="0" applyBorder="1"/>
    <xf numFmtId="0" fontId="3" fillId="0" borderId="24" xfId="0" applyFont="1" applyBorder="1" applyAlignment="1">
      <alignment horizontal="left"/>
    </xf>
    <xf numFmtId="0" fontId="9" fillId="0" borderId="25" xfId="0" applyFont="1" applyBorder="1" applyAlignment="1">
      <alignment horizontal="left"/>
    </xf>
    <xf numFmtId="0" fontId="9" fillId="0" borderId="27" xfId="0" applyFont="1" applyFill="1" applyBorder="1" applyAlignment="1">
      <alignment horizontal="left"/>
    </xf>
    <xf numFmtId="0" fontId="9" fillId="0" borderId="29" xfId="0" applyFont="1" applyBorder="1" applyAlignment="1">
      <alignment horizontal="left"/>
    </xf>
    <xf numFmtId="166" fontId="0" fillId="0" borderId="19" xfId="60" applyNumberFormat="1" applyFont="1" applyBorder="1"/>
    <xf numFmtId="6" fontId="0" fillId="0" borderId="14" xfId="0" applyNumberFormat="1" applyBorder="1"/>
    <xf numFmtId="6" fontId="0" fillId="0" borderId="20" xfId="0" applyNumberFormat="1" applyBorder="1"/>
    <xf numFmtId="164" fontId="0" fillId="0" borderId="20" xfId="53" applyNumberFormat="1" applyFont="1" applyBorder="1"/>
    <xf numFmtId="6" fontId="0" fillId="0" borderId="10" xfId="0" applyNumberFormat="1" applyBorder="1"/>
    <xf numFmtId="6" fontId="0" fillId="0" borderId="19" xfId="0" applyNumberFormat="1" applyBorder="1"/>
    <xf numFmtId="0" fontId="9" fillId="0" borderId="14" xfId="0" applyFont="1" applyBorder="1" applyAlignment="1"/>
    <xf numFmtId="0" fontId="9" fillId="0" borderId="9" xfId="0" applyFont="1" applyBorder="1" applyAlignment="1">
      <alignment horizontal="right"/>
    </xf>
    <xf numFmtId="164" fontId="0" fillId="0" borderId="30" xfId="0" applyNumberFormat="1" applyBorder="1"/>
    <xf numFmtId="164" fontId="0" fillId="0" borderId="31" xfId="0" applyNumberFormat="1" applyBorder="1"/>
    <xf numFmtId="0" fontId="0" fillId="0" borderId="9" xfId="0" applyFill="1" applyBorder="1" applyAlignment="1">
      <alignment horizontal="right"/>
    </xf>
    <xf numFmtId="164" fontId="0" fillId="0" borderId="14" xfId="0" applyNumberFormat="1" applyBorder="1"/>
    <xf numFmtId="0" fontId="3" fillId="0" borderId="0" xfId="0" applyFont="1" applyBorder="1" applyAlignment="1">
      <alignment horizontal="center" vertical="top" wrapText="1"/>
    </xf>
    <xf numFmtId="0" fontId="0" fillId="0" borderId="0" xfId="0" applyAlignment="1">
      <alignment horizontal="center" vertical="top" wrapText="1"/>
    </xf>
    <xf numFmtId="0" fontId="3" fillId="0" borderId="0" xfId="0" applyFont="1" applyAlignment="1">
      <alignment horizontal="center"/>
    </xf>
    <xf numFmtId="0" fontId="3" fillId="0" borderId="2" xfId="0" applyFont="1" applyFill="1" applyBorder="1" applyAlignment="1">
      <alignment horizontal="left"/>
    </xf>
    <xf numFmtId="0" fontId="0" fillId="0" borderId="8" xfId="0" applyFill="1" applyBorder="1" applyAlignment="1"/>
    <xf numFmtId="0" fontId="0" fillId="0" borderId="8" xfId="0" applyBorder="1" applyAlignment="1"/>
    <xf numFmtId="0" fontId="4" fillId="0" borderId="0" xfId="0" applyFont="1" applyAlignment="1">
      <alignment horizontal="center"/>
    </xf>
    <xf numFmtId="0" fontId="2" fillId="0" borderId="0" xfId="0" applyFont="1" applyAlignment="1">
      <alignment horizontal="center"/>
    </xf>
  </cellXfs>
  <cellStyles count="63">
    <cellStyle name="Comma" xfId="60" builtinId="3"/>
    <cellStyle name="Currency" xfId="53" builtinId="4"/>
    <cellStyle name="Currency 11" xfId="62" xr:uid="{B0B66979-7C45-4BD6-A6D6-896D715B51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5" builtinId="9" hidden="1"/>
    <cellStyle name="Followed Hyperlink" xfId="57" builtinId="9" hidden="1"/>
    <cellStyle name="Followed Hyperlink" xfId="5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4" builtinId="8" hidden="1"/>
    <cellStyle name="Hyperlink" xfId="56" builtinId="8" hidden="1"/>
    <cellStyle name="Hyperlink" xfId="58" builtinId="8" hidden="1"/>
    <cellStyle name="Normal" xfId="0" builtinId="0"/>
    <cellStyle name="Percent" xfId="6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184150</xdr:colOff>
      <xdr:row>27</xdr:row>
      <xdr:rowOff>57150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590550" y="190500"/>
          <a:ext cx="6680200" cy="5010150"/>
        </a:xfrm>
        <a:prstGeom prst="rect">
          <a:avLst/>
        </a:prstGeom>
      </xdr:spPr>
    </xdr:pic>
    <xdr:clientData/>
  </xdr:twoCellAnchor>
  <xdr:twoCellAnchor editAs="oneCell">
    <xdr:from>
      <xdr:col>1</xdr:col>
      <xdr:colOff>374648</xdr:colOff>
      <xdr:row>28</xdr:row>
      <xdr:rowOff>38099</xdr:rowOff>
    </xdr:from>
    <xdr:to>
      <xdr:col>11</xdr:col>
      <xdr:colOff>419099</xdr:colOff>
      <xdr:row>56</xdr:row>
      <xdr:rowOff>141287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047748" y="5016499"/>
          <a:ext cx="6775451" cy="5081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opLeftCell="B9" workbookViewId="0">
      <selection activeCell="B2" sqref="B2"/>
    </sheetView>
  </sheetViews>
  <sheetFormatPr defaultColWidth="8.85546875" defaultRowHeight="15" x14ac:dyDescent="0.25"/>
  <sheetData>
    <row r="1" spans="1:1" x14ac:dyDescent="0.25">
      <c r="A1" s="60"/>
    </row>
  </sheetData>
  <pageMargins left="0.7" right="0.7" top="0.75" bottom="0.75" header="0.3" footer="0.3"/>
  <pageSetup scale="68"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18"/>
  <sheetViews>
    <sheetView workbookViewId="0">
      <selection activeCell="J14" sqref="J14"/>
    </sheetView>
  </sheetViews>
  <sheetFormatPr defaultColWidth="8.85546875" defaultRowHeight="15" x14ac:dyDescent="0.25"/>
  <cols>
    <col min="3" max="3" width="8.85546875" style="49"/>
  </cols>
  <sheetData>
    <row r="2" spans="1:10" x14ac:dyDescent="0.25">
      <c r="C2" s="179" t="s">
        <v>44</v>
      </c>
      <c r="D2" s="179"/>
      <c r="E2" s="179"/>
      <c r="F2" s="179"/>
      <c r="G2" s="179"/>
      <c r="H2" s="179"/>
      <c r="I2" s="179"/>
    </row>
    <row r="3" spans="1:10" ht="15.75" thickBot="1" x14ac:dyDescent="0.3">
      <c r="A3" s="13" t="s">
        <v>0</v>
      </c>
      <c r="B3" s="2"/>
      <c r="C3" s="71">
        <v>2018</v>
      </c>
      <c r="D3" s="2">
        <v>2019</v>
      </c>
      <c r="E3" s="2">
        <v>2020</v>
      </c>
      <c r="F3" s="2">
        <v>2021</v>
      </c>
      <c r="G3" s="2">
        <v>2022</v>
      </c>
      <c r="H3" s="2">
        <v>2023</v>
      </c>
      <c r="I3" s="2">
        <v>2024</v>
      </c>
      <c r="J3" s="2">
        <v>2025</v>
      </c>
    </row>
    <row r="4" spans="1:10" ht="15.75" thickTop="1" x14ac:dyDescent="0.25">
      <c r="A4" s="1" t="s">
        <v>1</v>
      </c>
      <c r="C4" s="49">
        <v>7</v>
      </c>
      <c r="D4">
        <v>7</v>
      </c>
      <c r="E4">
        <v>8</v>
      </c>
      <c r="F4">
        <v>8</v>
      </c>
      <c r="G4">
        <v>9</v>
      </c>
      <c r="H4">
        <v>9</v>
      </c>
      <c r="I4">
        <v>10</v>
      </c>
      <c r="J4">
        <v>10</v>
      </c>
    </row>
    <row r="5" spans="1:10" x14ac:dyDescent="0.25">
      <c r="A5" s="1" t="s">
        <v>2</v>
      </c>
    </row>
    <row r="6" spans="1:10" x14ac:dyDescent="0.25">
      <c r="A6" s="1" t="s">
        <v>7</v>
      </c>
    </row>
    <row r="7" spans="1:10" x14ac:dyDescent="0.25">
      <c r="A7" s="1" t="s">
        <v>3</v>
      </c>
    </row>
    <row r="8" spans="1:10" x14ac:dyDescent="0.25">
      <c r="A8" s="1" t="s">
        <v>5</v>
      </c>
      <c r="B8" s="10"/>
      <c r="C8" s="45" t="s">
        <v>15</v>
      </c>
      <c r="D8" s="21" t="s">
        <v>15</v>
      </c>
      <c r="E8" s="21" t="s">
        <v>15</v>
      </c>
      <c r="F8" s="21" t="s">
        <v>15</v>
      </c>
      <c r="G8" s="21" t="s">
        <v>15</v>
      </c>
      <c r="H8" s="21" t="s">
        <v>15</v>
      </c>
      <c r="I8" s="21" t="s">
        <v>15</v>
      </c>
      <c r="J8" s="21" t="s">
        <v>15</v>
      </c>
    </row>
    <row r="9" spans="1:10" x14ac:dyDescent="0.25">
      <c r="A9" s="1" t="s">
        <v>12</v>
      </c>
      <c r="B9" s="10"/>
      <c r="C9" s="45"/>
      <c r="D9" s="21"/>
      <c r="E9" s="21"/>
      <c r="F9" s="21"/>
      <c r="G9" s="21"/>
      <c r="H9" s="21"/>
      <c r="I9" s="21"/>
      <c r="J9" s="21"/>
    </row>
    <row r="10" spans="1:10" x14ac:dyDescent="0.25">
      <c r="A10" s="1" t="s">
        <v>4</v>
      </c>
      <c r="C10" s="45"/>
      <c r="D10" s="21"/>
      <c r="E10" s="21"/>
      <c r="F10" s="21"/>
      <c r="G10" s="21"/>
      <c r="H10" s="21"/>
      <c r="I10" s="21"/>
      <c r="J10" s="22"/>
    </row>
    <row r="11" spans="1:10" x14ac:dyDescent="0.25">
      <c r="A11" s="1" t="s">
        <v>6</v>
      </c>
      <c r="C11" s="45" t="s">
        <v>15</v>
      </c>
      <c r="D11" s="21" t="s">
        <v>15</v>
      </c>
      <c r="E11" s="21" t="s">
        <v>15</v>
      </c>
      <c r="F11" s="21" t="s">
        <v>15</v>
      </c>
      <c r="G11" s="21" t="s">
        <v>15</v>
      </c>
      <c r="H11" s="21" t="s">
        <v>15</v>
      </c>
      <c r="I11" s="21" t="s">
        <v>15</v>
      </c>
      <c r="J11" s="21" t="s">
        <v>15</v>
      </c>
    </row>
    <row r="12" spans="1:10" x14ac:dyDescent="0.25">
      <c r="A12" s="20" t="s">
        <v>10</v>
      </c>
      <c r="B12" s="10"/>
      <c r="C12" s="41"/>
      <c r="D12" s="10"/>
      <c r="E12" s="10"/>
      <c r="F12" s="10"/>
      <c r="G12" s="10"/>
      <c r="H12" s="10"/>
      <c r="I12" s="10"/>
      <c r="J12" s="10"/>
    </row>
    <row r="13" spans="1:10" ht="15.75" thickBot="1" x14ac:dyDescent="0.3">
      <c r="A13" s="20" t="s">
        <v>11</v>
      </c>
    </row>
    <row r="14" spans="1:10" ht="16.5" thickTop="1" thickBot="1" x14ac:dyDescent="0.3">
      <c r="A14" s="18" t="s">
        <v>21</v>
      </c>
      <c r="B14" s="15"/>
      <c r="C14" s="72">
        <f t="shared" ref="C14" si="0">SUM(C4:C13)</f>
        <v>7</v>
      </c>
      <c r="D14" s="6">
        <f t="shared" ref="D14:J14" si="1">SUM(D4:D13)</f>
        <v>7</v>
      </c>
      <c r="E14" s="6">
        <f t="shared" si="1"/>
        <v>8</v>
      </c>
      <c r="F14" s="6">
        <f t="shared" si="1"/>
        <v>8</v>
      </c>
      <c r="G14" s="6">
        <f t="shared" si="1"/>
        <v>9</v>
      </c>
      <c r="H14" s="6">
        <f t="shared" si="1"/>
        <v>9</v>
      </c>
      <c r="I14" s="6">
        <f t="shared" si="1"/>
        <v>10</v>
      </c>
      <c r="J14" s="6">
        <f t="shared" si="1"/>
        <v>10</v>
      </c>
    </row>
    <row r="15" spans="1:10" ht="16.5" thickTop="1" thickBot="1" x14ac:dyDescent="0.3">
      <c r="A15" s="14" t="s">
        <v>40</v>
      </c>
      <c r="B15" s="15"/>
      <c r="C15" s="72">
        <v>7</v>
      </c>
      <c r="D15" s="6">
        <v>7</v>
      </c>
      <c r="E15" s="6">
        <v>7</v>
      </c>
      <c r="F15" s="6">
        <v>8</v>
      </c>
      <c r="G15" s="6">
        <v>8</v>
      </c>
      <c r="H15" s="6">
        <v>8</v>
      </c>
      <c r="I15" s="6">
        <v>9</v>
      </c>
      <c r="J15" s="6">
        <v>9</v>
      </c>
    </row>
    <row r="16" spans="1:10" ht="16.5" thickTop="1" thickBot="1" x14ac:dyDescent="0.3">
      <c r="A16" s="14" t="s">
        <v>50</v>
      </c>
      <c r="B16" s="15"/>
      <c r="C16" s="73">
        <f t="shared" ref="C16" si="2">C14/C15</f>
        <v>1</v>
      </c>
      <c r="D16" s="48">
        <f t="shared" ref="D16:J16" si="3">D14/D15</f>
        <v>1</v>
      </c>
      <c r="E16" s="48">
        <f t="shared" si="3"/>
        <v>1.1428571428571428</v>
      </c>
      <c r="F16" s="48">
        <f t="shared" si="3"/>
        <v>1</v>
      </c>
      <c r="G16" s="48">
        <f t="shared" si="3"/>
        <v>1.125</v>
      </c>
      <c r="H16" s="48">
        <f t="shared" si="3"/>
        <v>1.125</v>
      </c>
      <c r="I16" s="48">
        <f t="shared" si="3"/>
        <v>1.1111111111111112</v>
      </c>
      <c r="J16" s="48">
        <f t="shared" si="3"/>
        <v>1.1111111111111112</v>
      </c>
    </row>
    <row r="17" spans="1:1" ht="15.75" thickTop="1" x14ac:dyDescent="0.25"/>
    <row r="18" spans="1:1" x14ac:dyDescent="0.25">
      <c r="A18" s="26" t="s">
        <v>51</v>
      </c>
    </row>
  </sheetData>
  <mergeCells count="1">
    <mergeCell ref="C2:I2"/>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27"/>
  <sheetViews>
    <sheetView showGridLines="0" workbookViewId="0">
      <selection activeCell="I23" sqref="I23"/>
    </sheetView>
  </sheetViews>
  <sheetFormatPr defaultColWidth="8.85546875" defaultRowHeight="15" x14ac:dyDescent="0.25"/>
  <cols>
    <col min="3" max="3" width="8.85546875" style="49"/>
  </cols>
  <sheetData>
    <row r="2" spans="1:10" x14ac:dyDescent="0.25">
      <c r="C2" s="179" t="s">
        <v>43</v>
      </c>
      <c r="D2" s="179"/>
      <c r="E2" s="179"/>
      <c r="F2" s="179"/>
      <c r="G2" s="179"/>
      <c r="H2" s="179"/>
      <c r="I2" s="179"/>
    </row>
    <row r="3" spans="1:10" ht="15.75" thickBot="1" x14ac:dyDescent="0.3">
      <c r="A3" s="13" t="s">
        <v>0</v>
      </c>
      <c r="B3" s="2"/>
      <c r="C3" s="71">
        <v>2018</v>
      </c>
      <c r="D3" s="2">
        <v>2019</v>
      </c>
      <c r="E3" s="2">
        <v>2020</v>
      </c>
      <c r="F3" s="2">
        <v>2021</v>
      </c>
      <c r="G3" s="2">
        <v>2022</v>
      </c>
      <c r="H3" s="2">
        <v>2023</v>
      </c>
      <c r="I3" s="2">
        <v>2024</v>
      </c>
      <c r="J3" s="2">
        <v>2025</v>
      </c>
    </row>
    <row r="4" spans="1:10" ht="15.75" thickTop="1" x14ac:dyDescent="0.25">
      <c r="A4" s="1" t="s">
        <v>1</v>
      </c>
      <c r="C4" s="49">
        <v>7</v>
      </c>
      <c r="D4">
        <v>7</v>
      </c>
      <c r="E4">
        <v>8</v>
      </c>
      <c r="F4">
        <v>8</v>
      </c>
      <c r="G4">
        <v>9</v>
      </c>
      <c r="H4">
        <v>9</v>
      </c>
      <c r="I4">
        <v>10</v>
      </c>
      <c r="J4">
        <v>10</v>
      </c>
    </row>
    <row r="5" spans="1:10" x14ac:dyDescent="0.25">
      <c r="A5" s="1" t="s">
        <v>2</v>
      </c>
    </row>
    <row r="6" spans="1:10" x14ac:dyDescent="0.25">
      <c r="A6" s="1" t="s">
        <v>7</v>
      </c>
    </row>
    <row r="7" spans="1:10" x14ac:dyDescent="0.25">
      <c r="A7" s="1" t="s">
        <v>3</v>
      </c>
    </row>
    <row r="8" spans="1:10" x14ac:dyDescent="0.25">
      <c r="A8" s="1" t="s">
        <v>5</v>
      </c>
      <c r="B8" s="10"/>
      <c r="C8" s="45" t="s">
        <v>15</v>
      </c>
      <c r="D8" s="21" t="s">
        <v>15</v>
      </c>
      <c r="E8" s="21" t="s">
        <v>15</v>
      </c>
      <c r="F8" s="21" t="s">
        <v>15</v>
      </c>
      <c r="G8" s="21" t="s">
        <v>15</v>
      </c>
      <c r="H8" s="21" t="s">
        <v>15</v>
      </c>
      <c r="I8" s="21" t="s">
        <v>15</v>
      </c>
      <c r="J8" s="21" t="s">
        <v>15</v>
      </c>
    </row>
    <row r="9" spans="1:10" x14ac:dyDescent="0.25">
      <c r="A9" s="1" t="s">
        <v>12</v>
      </c>
      <c r="B9" s="10"/>
      <c r="C9" s="45"/>
      <c r="D9" s="21"/>
      <c r="E9" s="21"/>
      <c r="F9" s="21"/>
      <c r="G9" s="21"/>
      <c r="H9" s="21"/>
      <c r="I9" s="21"/>
      <c r="J9" s="21"/>
    </row>
    <row r="10" spans="1:10" x14ac:dyDescent="0.25">
      <c r="A10" s="1" t="s">
        <v>4</v>
      </c>
      <c r="C10" s="45"/>
      <c r="D10" s="21"/>
      <c r="E10" s="21"/>
      <c r="F10" s="21"/>
      <c r="G10" s="21"/>
      <c r="H10" s="21"/>
      <c r="I10" s="21"/>
      <c r="J10" s="22"/>
    </row>
    <row r="11" spans="1:10" x14ac:dyDescent="0.25">
      <c r="A11" s="1" t="s">
        <v>6</v>
      </c>
      <c r="C11" s="45" t="s">
        <v>15</v>
      </c>
      <c r="D11" s="21" t="s">
        <v>15</v>
      </c>
      <c r="E11" s="21" t="s">
        <v>15</v>
      </c>
      <c r="F11" s="21" t="s">
        <v>15</v>
      </c>
      <c r="G11" s="21" t="s">
        <v>15</v>
      </c>
      <c r="H11" s="21" t="s">
        <v>15</v>
      </c>
      <c r="I11" s="21" t="s">
        <v>15</v>
      </c>
      <c r="J11" s="21" t="s">
        <v>15</v>
      </c>
    </row>
    <row r="12" spans="1:10" x14ac:dyDescent="0.25">
      <c r="A12" s="20" t="s">
        <v>10</v>
      </c>
      <c r="B12" s="10"/>
      <c r="C12" s="41"/>
      <c r="D12" s="10"/>
      <c r="E12" s="10"/>
      <c r="F12" s="10"/>
      <c r="G12" s="10"/>
      <c r="H12" s="10"/>
      <c r="I12" s="10"/>
      <c r="J12" s="10"/>
    </row>
    <row r="13" spans="1:10" ht="15.75" thickBot="1" x14ac:dyDescent="0.3">
      <c r="A13" s="20" t="s">
        <v>11</v>
      </c>
    </row>
    <row r="14" spans="1:10" ht="16.5" thickTop="1" thickBot="1" x14ac:dyDescent="0.3">
      <c r="A14" s="18" t="s">
        <v>21</v>
      </c>
      <c r="B14" s="15"/>
      <c r="C14" s="72">
        <f t="shared" ref="C14" si="0">SUM(C4:C13)</f>
        <v>7</v>
      </c>
      <c r="D14" s="6">
        <f t="shared" ref="D14:J14" si="1">SUM(D4:D13)</f>
        <v>7</v>
      </c>
      <c r="E14" s="6">
        <f t="shared" si="1"/>
        <v>8</v>
      </c>
      <c r="F14" s="6">
        <f t="shared" si="1"/>
        <v>8</v>
      </c>
      <c r="G14" s="6">
        <f t="shared" si="1"/>
        <v>9</v>
      </c>
      <c r="H14" s="6">
        <f t="shared" si="1"/>
        <v>9</v>
      </c>
      <c r="I14" s="6">
        <f t="shared" si="1"/>
        <v>10</v>
      </c>
      <c r="J14" s="6">
        <f t="shared" si="1"/>
        <v>10</v>
      </c>
    </row>
    <row r="15" spans="1:10" ht="16.5" thickTop="1" thickBot="1" x14ac:dyDescent="0.3">
      <c r="A15" s="14" t="s">
        <v>40</v>
      </c>
      <c r="B15" s="15"/>
      <c r="C15" s="72">
        <v>7</v>
      </c>
      <c r="D15" s="6">
        <v>7</v>
      </c>
      <c r="E15" s="6">
        <v>7</v>
      </c>
      <c r="F15" s="6">
        <v>8</v>
      </c>
      <c r="G15" s="6">
        <v>8</v>
      </c>
      <c r="H15" s="6">
        <v>8</v>
      </c>
      <c r="I15" s="6">
        <v>9</v>
      </c>
      <c r="J15" s="6">
        <v>9</v>
      </c>
    </row>
    <row r="16" spans="1:10" ht="16.5" thickTop="1" thickBot="1" x14ac:dyDescent="0.3">
      <c r="A16" s="14" t="s">
        <v>50</v>
      </c>
      <c r="B16" s="15"/>
      <c r="C16" s="73">
        <f t="shared" ref="C16" si="2">C14/C15</f>
        <v>1</v>
      </c>
      <c r="D16" s="48">
        <f t="shared" ref="D16:J16" si="3">D14/D15</f>
        <v>1</v>
      </c>
      <c r="E16" s="48">
        <f t="shared" si="3"/>
        <v>1.1428571428571428</v>
      </c>
      <c r="F16" s="48">
        <f t="shared" si="3"/>
        <v>1</v>
      </c>
      <c r="G16" s="48">
        <f t="shared" si="3"/>
        <v>1.125</v>
      </c>
      <c r="H16" s="48">
        <f t="shared" si="3"/>
        <v>1.125</v>
      </c>
      <c r="I16" s="48">
        <f t="shared" si="3"/>
        <v>1.1111111111111112</v>
      </c>
      <c r="J16" s="48">
        <f t="shared" si="3"/>
        <v>1.1111111111111112</v>
      </c>
    </row>
    <row r="17" spans="1:12" ht="15.75" thickTop="1" x14ac:dyDescent="0.25"/>
    <row r="18" spans="1:12" x14ac:dyDescent="0.25">
      <c r="A18" s="26" t="s">
        <v>51</v>
      </c>
    </row>
    <row r="27" spans="1:12" x14ac:dyDescent="0.25">
      <c r="L27" s="49"/>
    </row>
  </sheetData>
  <mergeCells count="1">
    <mergeCell ref="C2:I2"/>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2"/>
  <sheetViews>
    <sheetView showGridLines="0" workbookViewId="0">
      <selection activeCell="C27" sqref="C27"/>
    </sheetView>
  </sheetViews>
  <sheetFormatPr defaultColWidth="11.42578125" defaultRowHeight="15" x14ac:dyDescent="0.25"/>
  <cols>
    <col min="1" max="1" width="22.140625" customWidth="1"/>
    <col min="2" max="2" width="14" customWidth="1"/>
    <col min="3" max="3" width="13.85546875" customWidth="1"/>
    <col min="4" max="4" width="14" customWidth="1"/>
    <col min="5" max="5" width="17.42578125" customWidth="1"/>
    <col min="7" max="7" width="12.28515625" customWidth="1"/>
    <col min="8" max="8" width="13.42578125" customWidth="1"/>
    <col min="9" max="9" width="18.7109375" customWidth="1"/>
  </cols>
  <sheetData>
    <row r="1" spans="1:9" ht="15.75" x14ac:dyDescent="0.25">
      <c r="E1" s="183" t="s">
        <v>31</v>
      </c>
      <c r="F1" s="184"/>
      <c r="G1" s="184"/>
    </row>
    <row r="2" spans="1:9" ht="15.75" x14ac:dyDescent="0.25">
      <c r="E2" s="30"/>
      <c r="F2" s="31"/>
      <c r="G2" s="31"/>
    </row>
    <row r="3" spans="1:9" ht="15.75" thickBot="1" x14ac:dyDescent="0.3">
      <c r="A3" s="2"/>
      <c r="B3" s="5" t="s">
        <v>23</v>
      </c>
      <c r="C3" s="5" t="s">
        <v>24</v>
      </c>
      <c r="D3" s="5" t="s">
        <v>25</v>
      </c>
      <c r="E3" s="5" t="s">
        <v>26</v>
      </c>
      <c r="F3" s="5" t="s">
        <v>27</v>
      </c>
      <c r="G3" s="5" t="s">
        <v>28</v>
      </c>
      <c r="H3" s="5" t="s">
        <v>29</v>
      </c>
      <c r="I3" s="5" t="s">
        <v>30</v>
      </c>
    </row>
    <row r="4" spans="1:9" ht="15.75" thickTop="1" x14ac:dyDescent="0.25">
      <c r="A4" s="26">
        <v>2018</v>
      </c>
      <c r="B4" s="29">
        <v>398590433</v>
      </c>
      <c r="C4" s="29">
        <v>233027000</v>
      </c>
      <c r="D4" s="29">
        <v>116456309</v>
      </c>
      <c r="E4" s="29">
        <v>98812573</v>
      </c>
      <c r="F4" s="29">
        <v>8532000</v>
      </c>
      <c r="G4" s="29">
        <v>18793099</v>
      </c>
      <c r="H4" s="29">
        <v>22738000</v>
      </c>
      <c r="I4" s="29">
        <f t="shared" ref="I4:I11" si="0">SUM(B4:H4)</f>
        <v>896949414</v>
      </c>
    </row>
    <row r="5" spans="1:9" x14ac:dyDescent="0.25">
      <c r="A5" s="28">
        <v>2019</v>
      </c>
      <c r="B5" s="29">
        <v>390634566</v>
      </c>
      <c r="C5" s="29">
        <v>253364000</v>
      </c>
      <c r="D5" s="29">
        <v>116456309</v>
      </c>
      <c r="E5" s="29">
        <v>101961000</v>
      </c>
      <c r="F5" s="29">
        <v>8532000</v>
      </c>
      <c r="G5" s="29">
        <v>20740920</v>
      </c>
      <c r="H5" s="29">
        <v>23950000</v>
      </c>
      <c r="I5" s="29">
        <f t="shared" si="0"/>
        <v>915638795</v>
      </c>
    </row>
    <row r="6" spans="1:9" x14ac:dyDescent="0.25">
      <c r="A6" s="28">
        <v>2020</v>
      </c>
      <c r="B6" s="29">
        <v>376627905</v>
      </c>
      <c r="C6" s="29">
        <v>271852000</v>
      </c>
      <c r="D6" s="29">
        <v>116456309</v>
      </c>
      <c r="E6" s="29">
        <v>104064000</v>
      </c>
      <c r="F6" s="29">
        <v>12404000</v>
      </c>
      <c r="G6" s="29">
        <v>21178362</v>
      </c>
      <c r="H6" s="29">
        <v>24615000</v>
      </c>
      <c r="I6" s="29">
        <f t="shared" si="0"/>
        <v>927197576</v>
      </c>
    </row>
    <row r="7" spans="1:9" x14ac:dyDescent="0.25">
      <c r="A7" s="28">
        <v>2021</v>
      </c>
      <c r="B7" s="29">
        <v>376627905</v>
      </c>
      <c r="C7" s="29">
        <v>266803000</v>
      </c>
      <c r="D7" s="29">
        <v>116456309</v>
      </c>
      <c r="E7" s="29">
        <v>106195000</v>
      </c>
      <c r="F7" s="29">
        <v>12404000</v>
      </c>
      <c r="G7" s="29">
        <v>21626987</v>
      </c>
      <c r="H7" s="29">
        <v>23216000</v>
      </c>
      <c r="I7" s="29">
        <f t="shared" si="0"/>
        <v>923329201</v>
      </c>
    </row>
    <row r="8" spans="1:9" x14ac:dyDescent="0.25">
      <c r="A8" s="28">
        <v>2022</v>
      </c>
      <c r="B8" s="29">
        <v>376627905</v>
      </c>
      <c r="C8" s="29">
        <v>274785000</v>
      </c>
      <c r="D8" s="29">
        <v>116456309</v>
      </c>
      <c r="E8" s="29">
        <v>108356000</v>
      </c>
      <c r="F8" s="29">
        <v>10998000</v>
      </c>
      <c r="G8" s="29">
        <v>22086959</v>
      </c>
      <c r="H8" s="29">
        <v>23720000</v>
      </c>
      <c r="I8" s="29">
        <f t="shared" si="0"/>
        <v>933030173</v>
      </c>
    </row>
    <row r="9" spans="1:9" x14ac:dyDescent="0.25">
      <c r="A9" s="28">
        <v>2023</v>
      </c>
      <c r="B9" s="29">
        <v>376627905</v>
      </c>
      <c r="C9" s="29">
        <v>283007000</v>
      </c>
      <c r="D9" s="29">
        <v>116456309</v>
      </c>
      <c r="E9" s="29">
        <v>110548000</v>
      </c>
      <c r="F9" s="29">
        <v>10998000</v>
      </c>
      <c r="G9" s="29">
        <v>22558944</v>
      </c>
      <c r="H9" s="29">
        <v>24605000</v>
      </c>
      <c r="I9" s="29">
        <f t="shared" si="0"/>
        <v>944801158</v>
      </c>
    </row>
    <row r="10" spans="1:9" x14ac:dyDescent="0.25">
      <c r="A10" s="28">
        <v>2024</v>
      </c>
      <c r="B10" s="29">
        <v>376627905</v>
      </c>
      <c r="C10" s="29">
        <v>291476000</v>
      </c>
      <c r="D10" s="29">
        <v>116456309</v>
      </c>
      <c r="E10" s="29">
        <v>112771000</v>
      </c>
      <c r="F10" s="29">
        <v>10998000</v>
      </c>
      <c r="G10" s="29">
        <v>23043313</v>
      </c>
      <c r="H10" s="29">
        <v>24629000</v>
      </c>
      <c r="I10" s="29">
        <f t="shared" si="0"/>
        <v>956001527</v>
      </c>
    </row>
    <row r="11" spans="1:9" ht="15.75" thickBot="1" x14ac:dyDescent="0.3">
      <c r="A11" s="28">
        <v>2025</v>
      </c>
      <c r="B11" s="29">
        <v>376627905</v>
      </c>
      <c r="C11" s="29">
        <v>300198000</v>
      </c>
      <c r="D11" s="29">
        <v>116456309</v>
      </c>
      <c r="E11" s="29">
        <v>115028000</v>
      </c>
      <c r="F11" s="29">
        <v>10870000</v>
      </c>
      <c r="G11" s="29">
        <v>23540840</v>
      </c>
      <c r="H11" s="29">
        <v>25503000</v>
      </c>
      <c r="I11" s="29">
        <f t="shared" si="0"/>
        <v>968224054</v>
      </c>
    </row>
    <row r="12" spans="1:9" ht="30.75" thickTop="1" x14ac:dyDescent="0.25">
      <c r="A12" s="33" t="s">
        <v>32</v>
      </c>
      <c r="B12" s="29">
        <f t="shared" ref="B12:H12" si="1">SUM(B4, B5, B6, B7, B8, B9, B10, B11)</f>
        <v>3048992429</v>
      </c>
      <c r="C12" s="29">
        <f t="shared" si="1"/>
        <v>2174512000</v>
      </c>
      <c r="D12" s="29">
        <f t="shared" si="1"/>
        <v>931650472</v>
      </c>
      <c r="E12" s="29">
        <f t="shared" si="1"/>
        <v>857735573</v>
      </c>
      <c r="F12" s="29">
        <f t="shared" si="1"/>
        <v>85736000</v>
      </c>
      <c r="G12" s="29">
        <f t="shared" si="1"/>
        <v>173569424</v>
      </c>
      <c r="H12" s="29">
        <f t="shared" si="1"/>
        <v>192976000</v>
      </c>
      <c r="I12" s="29">
        <f>SUM(I4:I11)</f>
        <v>7465171898</v>
      </c>
    </row>
  </sheetData>
  <mergeCells count="1">
    <mergeCell ref="E1:G1"/>
  </mergeCells>
  <pageMargins left="0.75" right="0.75" top="1" bottom="1" header="0.5" footer="0.5"/>
  <pageSetup scale="89" orientation="landscape" horizontalDpi="1200" verticalDpi="1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51"/>
  <sheetViews>
    <sheetView showGridLines="0" tabSelected="1" view="pageLayout" topLeftCell="A6" zoomScale="148" zoomScalePageLayoutView="148" workbookViewId="0">
      <selection activeCell="K29" sqref="K29"/>
    </sheetView>
  </sheetViews>
  <sheetFormatPr defaultColWidth="8.85546875" defaultRowHeight="15" x14ac:dyDescent="0.25"/>
  <cols>
    <col min="1" max="1" width="57.140625" customWidth="1"/>
    <col min="2" max="2" width="23.28515625" customWidth="1"/>
    <col min="3" max="3" width="14" style="22" customWidth="1"/>
    <col min="4" max="4" width="12.42578125" customWidth="1"/>
    <col min="5" max="5" width="15.28515625" customWidth="1"/>
    <col min="6" max="8" width="10.28515625" customWidth="1"/>
    <col min="9" max="10" width="12.42578125" customWidth="1"/>
  </cols>
  <sheetData>
    <row r="3" spans="1:11" ht="15" customHeight="1" thickBot="1" x14ac:dyDescent="0.3">
      <c r="C3" s="177" t="s">
        <v>98</v>
      </c>
      <c r="D3" s="178"/>
      <c r="E3" s="178"/>
      <c r="F3" s="46"/>
      <c r="G3" s="46"/>
      <c r="H3" s="46"/>
      <c r="I3" s="46"/>
      <c r="J3" s="23"/>
    </row>
    <row r="4" spans="1:11" ht="31.5" customHeight="1" thickBot="1" x14ac:dyDescent="0.3">
      <c r="A4" s="150" t="s">
        <v>0</v>
      </c>
      <c r="B4" s="151" t="s">
        <v>48</v>
      </c>
      <c r="C4" s="42" t="s">
        <v>18</v>
      </c>
      <c r="D4" s="24" t="s">
        <v>19</v>
      </c>
      <c r="E4" s="25" t="s">
        <v>20</v>
      </c>
    </row>
    <row r="5" spans="1:11" ht="16.5" customHeight="1" thickTop="1" x14ac:dyDescent="0.25">
      <c r="A5" s="152" t="s">
        <v>1</v>
      </c>
      <c r="B5" s="166">
        <v>26978458.049999997</v>
      </c>
      <c r="C5" s="145">
        <v>113927210</v>
      </c>
      <c r="D5" s="111">
        <v>21524.100000000002</v>
      </c>
      <c r="E5" s="123">
        <v>0.57333199999999995</v>
      </c>
      <c r="I5" s="121"/>
    </row>
    <row r="6" spans="1:11" x14ac:dyDescent="0.25">
      <c r="A6" s="153" t="s">
        <v>2</v>
      </c>
      <c r="B6" s="167">
        <v>52966574.949999996</v>
      </c>
      <c r="C6" s="145">
        <v>162783056</v>
      </c>
      <c r="D6" s="112">
        <v>25585.300000000003</v>
      </c>
      <c r="E6" s="124">
        <v>3.3589880000000001</v>
      </c>
      <c r="I6" s="121"/>
      <c r="K6" s="121"/>
    </row>
    <row r="7" spans="1:11" x14ac:dyDescent="0.25">
      <c r="A7" s="153" t="s">
        <v>7</v>
      </c>
      <c r="B7" s="167">
        <v>3730699.5900000003</v>
      </c>
      <c r="C7" s="145">
        <v>9843098</v>
      </c>
      <c r="D7" s="111">
        <v>624.9</v>
      </c>
      <c r="E7" s="123">
        <v>0.42892799999999998</v>
      </c>
      <c r="I7" s="121"/>
      <c r="K7" s="121"/>
    </row>
    <row r="8" spans="1:11" x14ac:dyDescent="0.25">
      <c r="A8" s="153" t="s">
        <v>3</v>
      </c>
      <c r="B8" s="167">
        <v>1342014.94</v>
      </c>
      <c r="C8" s="145">
        <v>3151515</v>
      </c>
      <c r="D8" s="111">
        <v>455.8</v>
      </c>
      <c r="E8" s="123">
        <v>5.5071000000000002E-2</v>
      </c>
      <c r="I8" s="121"/>
      <c r="K8" s="121"/>
    </row>
    <row r="9" spans="1:11" x14ac:dyDescent="0.25">
      <c r="A9" s="153" t="s">
        <v>5</v>
      </c>
      <c r="B9" s="168">
        <v>1385956.89</v>
      </c>
      <c r="C9" s="145" t="s">
        <v>37</v>
      </c>
      <c r="D9" s="111" t="s">
        <v>37</v>
      </c>
      <c r="E9" s="123" t="s">
        <v>37</v>
      </c>
      <c r="I9" s="121"/>
      <c r="K9" s="121"/>
    </row>
    <row r="10" spans="1:11" x14ac:dyDescent="0.25">
      <c r="A10" s="153" t="s">
        <v>12</v>
      </c>
      <c r="B10" s="167">
        <v>9060787.870000001</v>
      </c>
      <c r="C10" s="145" t="s">
        <v>37</v>
      </c>
      <c r="D10" s="111" t="s">
        <v>37</v>
      </c>
      <c r="E10" s="123" t="s">
        <v>37</v>
      </c>
      <c r="I10" s="121"/>
      <c r="K10" s="121"/>
    </row>
    <row r="11" spans="1:11" x14ac:dyDescent="0.25">
      <c r="A11" s="153" t="s">
        <v>6</v>
      </c>
      <c r="B11" s="167">
        <v>4953780.13</v>
      </c>
      <c r="C11" s="145" t="s">
        <v>37</v>
      </c>
      <c r="D11" s="111" t="s">
        <v>37</v>
      </c>
      <c r="E11" s="123" t="s">
        <v>37</v>
      </c>
      <c r="I11" s="121"/>
      <c r="K11" s="121"/>
    </row>
    <row r="12" spans="1:11" x14ac:dyDescent="0.25">
      <c r="A12" s="154" t="s">
        <v>10</v>
      </c>
      <c r="B12" s="167">
        <v>376716.26</v>
      </c>
      <c r="C12" s="145" t="s">
        <v>37</v>
      </c>
      <c r="D12" s="111" t="s">
        <v>37</v>
      </c>
      <c r="E12" s="123" t="s">
        <v>37</v>
      </c>
      <c r="I12" s="121"/>
      <c r="K12" s="121"/>
    </row>
    <row r="13" spans="1:11" ht="15.75" thickBot="1" x14ac:dyDescent="0.3">
      <c r="A13" s="155" t="s">
        <v>11</v>
      </c>
      <c r="B13" s="169"/>
      <c r="C13" s="146" t="s">
        <v>37</v>
      </c>
      <c r="D13" s="113" t="s">
        <v>37</v>
      </c>
      <c r="E13" s="125" t="s">
        <v>37</v>
      </c>
      <c r="I13" s="121"/>
      <c r="K13" s="121"/>
    </row>
    <row r="14" spans="1:11" ht="16.5" thickTop="1" thickBot="1" x14ac:dyDescent="0.3">
      <c r="A14" s="156" t="s">
        <v>60</v>
      </c>
      <c r="B14" s="63">
        <f>SUM(B5:B13)</f>
        <v>100794988.68000001</v>
      </c>
      <c r="C14" s="114">
        <f>SUM(C5:C13)</f>
        <v>289704879</v>
      </c>
      <c r="D14" s="114">
        <f>SUM(D5:D13)</f>
        <v>48190.100000000013</v>
      </c>
      <c r="E14" s="126">
        <f>SUM(E5:E13)</f>
        <v>4.4163189999999997</v>
      </c>
      <c r="I14" s="121"/>
      <c r="K14" s="121"/>
    </row>
    <row r="15" spans="1:11" ht="16.5" thickTop="1" thickBot="1" x14ac:dyDescent="0.3">
      <c r="A15" s="157" t="s">
        <v>92</v>
      </c>
      <c r="B15" s="170"/>
      <c r="C15" s="115">
        <v>8692142</v>
      </c>
      <c r="D15" s="115">
        <v>4151.7</v>
      </c>
      <c r="E15" s="165">
        <v>8.5772000000000001E-2</v>
      </c>
      <c r="I15" s="121"/>
      <c r="K15" s="121"/>
    </row>
    <row r="16" spans="1:11" ht="16.5" thickTop="1" thickBot="1" x14ac:dyDescent="0.3">
      <c r="A16" s="158" t="s">
        <v>93</v>
      </c>
      <c r="B16" s="170"/>
      <c r="C16" s="116">
        <f>+C14+C15</f>
        <v>298397021</v>
      </c>
      <c r="D16" s="104">
        <f t="shared" ref="D16:E16" si="0">+D14+D15</f>
        <v>52341.80000000001</v>
      </c>
      <c r="E16" s="127">
        <f t="shared" si="0"/>
        <v>4.5020910000000001</v>
      </c>
      <c r="I16" s="121"/>
      <c r="K16" s="121"/>
    </row>
    <row r="17" spans="1:11" ht="15.75" thickTop="1" x14ac:dyDescent="0.25">
      <c r="A17" s="159"/>
      <c r="B17" s="171" t="s">
        <v>94</v>
      </c>
      <c r="C17" s="130">
        <v>90000000</v>
      </c>
      <c r="D17" s="130">
        <v>1900</v>
      </c>
      <c r="E17" s="128">
        <v>2</v>
      </c>
      <c r="I17" s="121"/>
      <c r="K17" s="10"/>
    </row>
    <row r="18" spans="1:11" ht="15.75" thickBot="1" x14ac:dyDescent="0.3">
      <c r="A18" s="160"/>
      <c r="B18" s="172" t="s">
        <v>95</v>
      </c>
      <c r="C18" s="147">
        <f>C14/C17</f>
        <v>3.2189431000000002</v>
      </c>
      <c r="D18" s="117">
        <f>D14/D17</f>
        <v>25.363210526315797</v>
      </c>
      <c r="E18" s="117">
        <f>E14/E17</f>
        <v>2.2081594999999998</v>
      </c>
      <c r="I18" s="121"/>
      <c r="K18" s="10"/>
    </row>
    <row r="19" spans="1:11" ht="16.5" thickTop="1" thickBot="1" x14ac:dyDescent="0.3">
      <c r="A19" s="157" t="s">
        <v>4</v>
      </c>
      <c r="B19" s="176">
        <v>1212616.3</v>
      </c>
      <c r="C19" s="148">
        <v>154418129</v>
      </c>
      <c r="D19" s="102">
        <v>35295.800000000003</v>
      </c>
      <c r="E19" s="129">
        <v>1.8633109999999999</v>
      </c>
    </row>
    <row r="20" spans="1:11" ht="15.75" thickTop="1" x14ac:dyDescent="0.25">
      <c r="A20" s="161" t="s">
        <v>61</v>
      </c>
      <c r="B20" s="168">
        <v>4658311</v>
      </c>
      <c r="C20" s="56"/>
      <c r="D20" s="56"/>
      <c r="E20" s="56"/>
      <c r="K20" s="10"/>
    </row>
    <row r="21" spans="1:11" ht="18" thickBot="1" x14ac:dyDescent="0.3">
      <c r="A21" s="162" t="s">
        <v>65</v>
      </c>
      <c r="B21" s="173">
        <f>B14+B19+B20</f>
        <v>106665915.98</v>
      </c>
      <c r="C21" s="56"/>
      <c r="D21" s="56"/>
      <c r="E21" s="56"/>
      <c r="K21" s="10"/>
    </row>
    <row r="22" spans="1:11" ht="18.75" thickTop="1" thickBot="1" x14ac:dyDescent="0.3">
      <c r="A22" s="163" t="s">
        <v>66</v>
      </c>
      <c r="B22" s="39">
        <v>0</v>
      </c>
    </row>
    <row r="23" spans="1:11" ht="29.25" customHeight="1" thickTop="1" thickBot="1" x14ac:dyDescent="0.3">
      <c r="A23" s="164" t="s">
        <v>105</v>
      </c>
      <c r="B23" s="174">
        <f>B21-B22</f>
        <v>106665915.98</v>
      </c>
    </row>
    <row r="24" spans="1:11" ht="29.25" customHeight="1" thickBot="1" x14ac:dyDescent="0.3">
      <c r="A24" s="76" t="s">
        <v>71</v>
      </c>
      <c r="B24" s="149">
        <v>116456311</v>
      </c>
    </row>
    <row r="25" spans="1:11" ht="25.5" customHeight="1" thickTop="1" thickBot="1" x14ac:dyDescent="0.3">
      <c r="A25" s="62" t="s">
        <v>67</v>
      </c>
      <c r="B25" s="67">
        <v>0</v>
      </c>
      <c r="C25" s="50" t="s">
        <v>99</v>
      </c>
      <c r="E25" s="21"/>
      <c r="F25" s="21"/>
      <c r="G25" s="21"/>
      <c r="H25" s="45"/>
      <c r="I25" s="45"/>
      <c r="J25" s="45"/>
      <c r="K25" s="45"/>
    </row>
    <row r="26" spans="1:11" ht="18.75" thickTop="1" thickBot="1" x14ac:dyDescent="0.3">
      <c r="A26" s="62" t="s">
        <v>68</v>
      </c>
      <c r="B26" s="38">
        <v>0</v>
      </c>
      <c r="C26" s="50"/>
      <c r="D26" s="10"/>
      <c r="F26" s="41"/>
      <c r="G26" s="10"/>
      <c r="H26" s="41"/>
      <c r="I26" s="41"/>
      <c r="J26" s="41"/>
      <c r="K26" s="41"/>
    </row>
    <row r="27" spans="1:11" ht="33" customHeight="1" thickTop="1" thickBot="1" x14ac:dyDescent="0.35">
      <c r="A27" s="57" t="s">
        <v>69</v>
      </c>
      <c r="B27" s="37">
        <f>SUM(B23,B25,B26)</f>
        <v>106665915.98</v>
      </c>
      <c r="C27" s="50"/>
      <c r="D27" s="10"/>
      <c r="E27" s="10"/>
      <c r="F27" s="10"/>
      <c r="G27" s="10"/>
      <c r="H27" s="10"/>
      <c r="I27" s="10"/>
      <c r="J27" s="10"/>
      <c r="K27" s="10"/>
    </row>
    <row r="28" spans="1:11" ht="16.5" thickTop="1" thickBot="1" x14ac:dyDescent="0.3">
      <c r="A28" s="75" t="s">
        <v>62</v>
      </c>
      <c r="B28" s="101">
        <v>1.3</v>
      </c>
      <c r="C28" s="50"/>
      <c r="D28" s="10"/>
      <c r="E28" s="10"/>
      <c r="F28" s="10"/>
      <c r="G28" s="10"/>
      <c r="H28" s="10"/>
    </row>
    <row r="29" spans="1:11" ht="16.5" thickTop="1" thickBot="1" x14ac:dyDescent="0.3">
      <c r="A29" s="76" t="s">
        <v>63</v>
      </c>
      <c r="B29" s="175">
        <v>1.98</v>
      </c>
      <c r="C29" s="50"/>
      <c r="D29" s="10"/>
      <c r="E29" s="10"/>
    </row>
    <row r="30" spans="1:11" ht="15.75" thickTop="1" x14ac:dyDescent="0.25">
      <c r="A30" s="19"/>
      <c r="B30" s="45"/>
      <c r="C30" s="50"/>
      <c r="D30" s="10"/>
      <c r="E30" s="10"/>
    </row>
    <row r="31" spans="1:11" ht="15.75" thickBot="1" x14ac:dyDescent="0.3">
      <c r="A31" s="19" t="s">
        <v>81</v>
      </c>
      <c r="B31" s="45"/>
      <c r="C31" s="50"/>
      <c r="D31" s="10"/>
      <c r="E31" s="10"/>
      <c r="F31" s="10"/>
      <c r="G31" s="10"/>
      <c r="H31" s="10"/>
      <c r="I31" s="10"/>
      <c r="J31" s="10"/>
      <c r="K31" s="10"/>
    </row>
    <row r="32" spans="1:11" ht="16.5" thickTop="1" thickBot="1" x14ac:dyDescent="0.3">
      <c r="A32" s="80" t="s">
        <v>82</v>
      </c>
      <c r="B32" s="68">
        <v>0</v>
      </c>
    </row>
    <row r="33" spans="1:6" ht="16.5" thickTop="1" thickBot="1" x14ac:dyDescent="0.3">
      <c r="A33" s="77" t="s">
        <v>83</v>
      </c>
      <c r="B33" s="78">
        <v>0</v>
      </c>
    </row>
    <row r="34" spans="1:6" ht="16.5" thickTop="1" thickBot="1" x14ac:dyDescent="0.3">
      <c r="A34" s="79" t="s">
        <v>84</v>
      </c>
      <c r="B34" s="81">
        <v>0</v>
      </c>
    </row>
    <row r="35" spans="1:6" ht="15.75" thickTop="1" x14ac:dyDescent="0.25">
      <c r="A35" s="16"/>
      <c r="B35" s="74"/>
    </row>
    <row r="36" spans="1:6" ht="17.25" x14ac:dyDescent="0.25">
      <c r="A36" s="19" t="s">
        <v>85</v>
      </c>
    </row>
    <row r="37" spans="1:6" ht="17.25" x14ac:dyDescent="0.25">
      <c r="A37" s="19" t="s">
        <v>102</v>
      </c>
    </row>
    <row r="38" spans="1:6" s="121" customFormat="1" x14ac:dyDescent="0.25">
      <c r="A38" s="19" t="s">
        <v>103</v>
      </c>
      <c r="C38" s="22"/>
    </row>
    <row r="39" spans="1:6" s="121" customFormat="1" x14ac:dyDescent="0.25">
      <c r="A39" s="19" t="s">
        <v>104</v>
      </c>
      <c r="C39" s="22"/>
    </row>
    <row r="40" spans="1:6" ht="17.25" x14ac:dyDescent="0.25">
      <c r="A40" s="16" t="s">
        <v>78</v>
      </c>
    </row>
    <row r="41" spans="1:6" ht="17.25" x14ac:dyDescent="0.25">
      <c r="A41" s="16" t="s">
        <v>64</v>
      </c>
    </row>
    <row r="42" spans="1:6" ht="17.25" x14ac:dyDescent="0.25">
      <c r="A42" s="19" t="s">
        <v>79</v>
      </c>
    </row>
    <row r="43" spans="1:6" x14ac:dyDescent="0.25">
      <c r="A43" s="19"/>
    </row>
    <row r="44" spans="1:6" x14ac:dyDescent="0.25">
      <c r="D44" s="120"/>
      <c r="E44" s="120"/>
      <c r="F44" s="119"/>
    </row>
    <row r="45" spans="1:6" x14ac:dyDescent="0.25">
      <c r="A45" s="19"/>
      <c r="D45" s="110"/>
      <c r="E45" s="110"/>
      <c r="F45" s="110"/>
    </row>
    <row r="46" spans="1:6" x14ac:dyDescent="0.25">
      <c r="B46" s="10"/>
      <c r="D46" s="109"/>
      <c r="E46" s="109"/>
      <c r="F46" s="109"/>
    </row>
    <row r="47" spans="1:6" x14ac:dyDescent="0.25">
      <c r="D47" s="103"/>
      <c r="E47" s="103"/>
      <c r="F47" s="103"/>
    </row>
    <row r="48" spans="1:6" x14ac:dyDescent="0.25">
      <c r="A48" s="49"/>
      <c r="D48" s="105"/>
      <c r="E48" s="105"/>
      <c r="F48" s="105"/>
    </row>
    <row r="49" spans="1:6" x14ac:dyDescent="0.25">
      <c r="D49" s="106"/>
      <c r="E49" s="106"/>
      <c r="F49" s="106"/>
    </row>
    <row r="50" spans="1:6" x14ac:dyDescent="0.25">
      <c r="D50" s="107"/>
      <c r="E50" s="107"/>
      <c r="F50" s="107"/>
    </row>
    <row r="51" spans="1:6" ht="15.75" x14ac:dyDescent="0.25">
      <c r="A51" s="53"/>
      <c r="D51" s="108"/>
      <c r="E51" s="108"/>
      <c r="F51" s="108"/>
    </row>
  </sheetData>
  <mergeCells count="1">
    <mergeCell ref="C3:E3"/>
  </mergeCells>
  <phoneticPr fontId="16" type="noConversion"/>
  <pageMargins left="0.19125" right="0.7" top="0.75" bottom="0.75" header="0.3" footer="0.3"/>
  <pageSetup scale="40"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E30"/>
  <sheetViews>
    <sheetView showGridLines="0" view="pageLayout" topLeftCell="A4" workbookViewId="0">
      <selection activeCell="B18" sqref="B18"/>
    </sheetView>
  </sheetViews>
  <sheetFormatPr defaultColWidth="8.85546875" defaultRowHeight="15" x14ac:dyDescent="0.25"/>
  <cols>
    <col min="1" max="1" width="44" customWidth="1"/>
    <col min="2" max="2" width="22" customWidth="1"/>
    <col min="3" max="3" width="12.140625" customWidth="1"/>
    <col min="4" max="4" width="12.42578125" customWidth="1"/>
    <col min="5" max="5" width="15.28515625" customWidth="1"/>
  </cols>
  <sheetData>
    <row r="4" spans="1:5" x14ac:dyDescent="0.25">
      <c r="A4" t="s">
        <v>100</v>
      </c>
      <c r="C4" s="177" t="s">
        <v>17</v>
      </c>
      <c r="D4" s="178"/>
      <c r="E4" s="178"/>
    </row>
    <row r="5" spans="1:5" ht="30.75" thickBot="1" x14ac:dyDescent="0.3">
      <c r="A5" s="4" t="s">
        <v>0</v>
      </c>
      <c r="B5" s="5" t="s">
        <v>16</v>
      </c>
      <c r="C5" s="42" t="s">
        <v>18</v>
      </c>
      <c r="D5" s="24" t="s">
        <v>19</v>
      </c>
      <c r="E5" s="25" t="s">
        <v>20</v>
      </c>
    </row>
    <row r="6" spans="1:5" ht="15.75" thickTop="1" x14ac:dyDescent="0.25">
      <c r="A6" s="1" t="s">
        <v>1</v>
      </c>
      <c r="B6" s="36">
        <v>5</v>
      </c>
      <c r="C6" s="122" t="s">
        <v>37</v>
      </c>
      <c r="D6" s="122" t="s">
        <v>37</v>
      </c>
      <c r="E6" s="118" t="s">
        <v>37</v>
      </c>
    </row>
    <row r="7" spans="1:5" x14ac:dyDescent="0.25">
      <c r="A7" s="1" t="s">
        <v>2</v>
      </c>
      <c r="B7" s="36">
        <v>5</v>
      </c>
      <c r="C7" s="43"/>
      <c r="D7" s="12"/>
      <c r="E7" s="12"/>
    </row>
    <row r="8" spans="1:5" x14ac:dyDescent="0.25">
      <c r="A8" s="1" t="s">
        <v>7</v>
      </c>
      <c r="B8" s="36">
        <v>5</v>
      </c>
      <c r="C8" s="43"/>
      <c r="D8" s="12"/>
      <c r="E8" s="12"/>
    </row>
    <row r="9" spans="1:5" x14ac:dyDescent="0.25">
      <c r="A9" s="1" t="s">
        <v>3</v>
      </c>
      <c r="B9" s="36">
        <v>5</v>
      </c>
      <c r="C9" s="43"/>
      <c r="D9" s="12"/>
      <c r="E9" s="12"/>
    </row>
    <row r="10" spans="1:5" x14ac:dyDescent="0.25">
      <c r="A10" s="1" t="s">
        <v>5</v>
      </c>
      <c r="B10" s="36">
        <v>5</v>
      </c>
      <c r="C10" s="43" t="s">
        <v>37</v>
      </c>
      <c r="D10" s="43" t="s">
        <v>37</v>
      </c>
      <c r="E10" s="43" t="s">
        <v>37</v>
      </c>
    </row>
    <row r="11" spans="1:5" x14ac:dyDescent="0.25">
      <c r="A11" s="1" t="s">
        <v>12</v>
      </c>
      <c r="B11" s="36">
        <v>5</v>
      </c>
      <c r="C11" s="43"/>
      <c r="D11" s="43"/>
      <c r="E11" s="43"/>
    </row>
    <row r="12" spans="1:5" x14ac:dyDescent="0.25">
      <c r="A12" s="1" t="s">
        <v>4</v>
      </c>
      <c r="B12" s="36">
        <v>5</v>
      </c>
      <c r="C12" s="43"/>
      <c r="D12" s="43"/>
      <c r="E12" s="43"/>
    </row>
    <row r="13" spans="1:5" x14ac:dyDescent="0.25">
      <c r="A13" s="1" t="s">
        <v>6</v>
      </c>
      <c r="B13" s="36">
        <v>5</v>
      </c>
      <c r="C13" s="43" t="s">
        <v>37</v>
      </c>
      <c r="D13" s="43" t="s">
        <v>37</v>
      </c>
      <c r="E13" s="43" t="s">
        <v>37</v>
      </c>
    </row>
    <row r="14" spans="1:5" x14ac:dyDescent="0.25">
      <c r="A14" s="1" t="s">
        <v>10</v>
      </c>
      <c r="B14" s="36">
        <v>5</v>
      </c>
      <c r="C14" s="43"/>
      <c r="D14" s="43"/>
      <c r="E14" s="43"/>
    </row>
    <row r="15" spans="1:5" ht="15.75" thickBot="1" x14ac:dyDescent="0.3">
      <c r="A15" s="1" t="s">
        <v>11</v>
      </c>
      <c r="B15" s="36">
        <v>5</v>
      </c>
      <c r="C15" s="43" t="s">
        <v>37</v>
      </c>
      <c r="D15" s="43" t="s">
        <v>37</v>
      </c>
      <c r="E15" s="43" t="s">
        <v>37</v>
      </c>
    </row>
    <row r="16" spans="1:5" ht="16.5" thickTop="1" thickBot="1" x14ac:dyDescent="0.3">
      <c r="A16" s="18" t="s">
        <v>14</v>
      </c>
      <c r="B16" s="63">
        <f>SUM(B6:B15)</f>
        <v>50</v>
      </c>
      <c r="C16" s="47">
        <f>SUM(C6:C15)</f>
        <v>0</v>
      </c>
      <c r="D16" s="47">
        <f>SUM(D6:D15)</f>
        <v>0</v>
      </c>
      <c r="E16" s="51">
        <f>SUM(E6:E15)</f>
        <v>0</v>
      </c>
    </row>
    <row r="17" spans="1:5" ht="16.5" thickTop="1" thickBot="1" x14ac:dyDescent="0.3">
      <c r="A17" s="18" t="s">
        <v>75</v>
      </c>
      <c r="B17" s="68">
        <v>1</v>
      </c>
      <c r="C17" s="44"/>
      <c r="D17" s="10"/>
      <c r="E17" s="10"/>
    </row>
    <row r="18" spans="1:5" ht="18.75" thickTop="1" thickBot="1" x14ac:dyDescent="0.3">
      <c r="A18" s="57" t="s">
        <v>76</v>
      </c>
      <c r="B18" s="37">
        <f>SUM(B16:B17)</f>
        <v>51</v>
      </c>
      <c r="C18" s="44"/>
      <c r="D18" s="10"/>
      <c r="E18" s="10"/>
    </row>
    <row r="19" spans="1:5" ht="18.75" thickTop="1" thickBot="1" x14ac:dyDescent="0.3">
      <c r="A19" s="75" t="s">
        <v>70</v>
      </c>
      <c r="B19" s="39">
        <v>3</v>
      </c>
      <c r="C19" s="44"/>
      <c r="D19" s="10"/>
      <c r="E19" s="10"/>
    </row>
    <row r="20" spans="1:5" ht="18.75" thickTop="1" thickBot="1" x14ac:dyDescent="0.3">
      <c r="A20" s="57" t="s">
        <v>77</v>
      </c>
      <c r="B20" s="69">
        <f>B18-B19</f>
        <v>48</v>
      </c>
      <c r="C20" s="44"/>
      <c r="D20" s="10"/>
      <c r="E20" s="10"/>
    </row>
    <row r="21" spans="1:5" ht="16.5" thickTop="1" thickBot="1" x14ac:dyDescent="0.3">
      <c r="A21" s="55" t="s">
        <v>72</v>
      </c>
      <c r="B21" s="52">
        <v>63</v>
      </c>
      <c r="C21" s="44"/>
      <c r="D21" s="10"/>
      <c r="E21" s="10"/>
    </row>
    <row r="22" spans="1:5" ht="16.5" thickTop="1" thickBot="1" x14ac:dyDescent="0.3">
      <c r="A22" s="55"/>
      <c r="B22" s="40"/>
      <c r="C22" s="50"/>
      <c r="D22" s="10"/>
      <c r="E22" s="10"/>
    </row>
    <row r="23" spans="1:5" ht="16.5" thickTop="1" thickBot="1" x14ac:dyDescent="0.3">
      <c r="A23" s="55" t="s">
        <v>73</v>
      </c>
      <c r="B23" s="65" t="s">
        <v>47</v>
      </c>
      <c r="C23" s="44"/>
      <c r="D23" s="10"/>
      <c r="E23" s="10"/>
    </row>
    <row r="24" spans="1:5" ht="16.5" thickTop="1" thickBot="1" x14ac:dyDescent="0.3">
      <c r="A24" s="8" t="s">
        <v>74</v>
      </c>
      <c r="B24" s="66" t="s">
        <v>47</v>
      </c>
      <c r="C24" s="44"/>
      <c r="D24" s="10"/>
      <c r="E24" s="10"/>
    </row>
    <row r="25" spans="1:5" ht="15.75" thickTop="1" x14ac:dyDescent="0.25">
      <c r="C25" s="22"/>
    </row>
    <row r="26" spans="1:5" x14ac:dyDescent="0.25">
      <c r="A26" s="19"/>
      <c r="C26" s="22"/>
    </row>
    <row r="27" spans="1:5" ht="17.25" x14ac:dyDescent="0.25">
      <c r="A27" s="19" t="s">
        <v>86</v>
      </c>
      <c r="C27" s="22"/>
    </row>
    <row r="28" spans="1:5" ht="17.25" x14ac:dyDescent="0.25">
      <c r="A28" s="19" t="s">
        <v>87</v>
      </c>
      <c r="C28" s="22"/>
    </row>
    <row r="29" spans="1:5" ht="17.25" x14ac:dyDescent="0.25">
      <c r="A29" s="16" t="s">
        <v>88</v>
      </c>
      <c r="B29" s="10"/>
      <c r="C29" s="22"/>
    </row>
    <row r="30" spans="1:5" x14ac:dyDescent="0.25">
      <c r="A30" s="19"/>
    </row>
  </sheetData>
  <mergeCells count="1">
    <mergeCell ref="C4:E4"/>
  </mergeCells>
  <phoneticPr fontId="16" type="noConversion"/>
  <pageMargins left="0.7" right="0.7" top="0.75" bottom="0.75" header="0.3" footer="0.3"/>
  <pageSetup scale="55" orientation="landscape" r:id="rId1"/>
  <headerFooter>
    <oddHeader>&amp;C&amp;A</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34"/>
  <sheetViews>
    <sheetView showGridLines="0" showRuler="0" zoomScale="125" zoomScaleNormal="125" workbookViewId="0">
      <selection activeCell="I33" sqref="I33"/>
    </sheetView>
  </sheetViews>
  <sheetFormatPr defaultColWidth="8.85546875" defaultRowHeight="15" x14ac:dyDescent="0.25"/>
  <cols>
    <col min="2" max="2" width="35" customWidth="1"/>
    <col min="3" max="3" width="15.85546875" bestFit="1" customWidth="1"/>
    <col min="4" max="4" width="12.42578125" bestFit="1" customWidth="1"/>
    <col min="5" max="10" width="12.140625" bestFit="1" customWidth="1"/>
    <col min="11" max="11" width="15.42578125" bestFit="1" customWidth="1"/>
  </cols>
  <sheetData>
    <row r="2" spans="1:11" x14ac:dyDescent="0.25">
      <c r="D2" s="179" t="s">
        <v>8</v>
      </c>
      <c r="E2" s="179"/>
      <c r="F2" s="179"/>
      <c r="G2" s="179"/>
      <c r="H2" s="179"/>
      <c r="I2" s="179"/>
      <c r="J2" s="179"/>
    </row>
    <row r="3" spans="1:11" ht="18" thickBot="1" x14ac:dyDescent="0.3">
      <c r="A3" s="13" t="s">
        <v>0</v>
      </c>
      <c r="B3" s="2"/>
      <c r="C3" s="64" t="s">
        <v>54</v>
      </c>
      <c r="D3" s="2">
        <v>2019</v>
      </c>
      <c r="E3" s="2">
        <v>2020</v>
      </c>
      <c r="F3" s="2">
        <v>2021</v>
      </c>
      <c r="G3" s="2">
        <v>2022</v>
      </c>
      <c r="H3" s="2">
        <v>2023</v>
      </c>
      <c r="I3" s="2">
        <v>2024</v>
      </c>
      <c r="J3" s="2">
        <v>2025</v>
      </c>
      <c r="K3" s="5" t="s">
        <v>30</v>
      </c>
    </row>
    <row r="4" spans="1:11" ht="15.75" thickTop="1" x14ac:dyDescent="0.25">
      <c r="A4" s="1" t="s">
        <v>1</v>
      </c>
      <c r="C4" s="83">
        <v>33517719.369486634</v>
      </c>
      <c r="D4" s="83">
        <v>26978458.049999997</v>
      </c>
      <c r="E4" s="83">
        <v>29693583.469088521</v>
      </c>
      <c r="F4" s="83">
        <v>28877406.457181342</v>
      </c>
      <c r="G4" s="83">
        <v>28167746.035035249</v>
      </c>
      <c r="H4" s="83">
        <v>27368830.472035244</v>
      </c>
      <c r="I4" s="83">
        <v>27368830.472035244</v>
      </c>
      <c r="J4" s="83">
        <v>27368830.472035244</v>
      </c>
      <c r="K4" s="84">
        <f t="shared" ref="K4:K17" si="0">SUM(C4:J4)</f>
        <v>229341404.79689747</v>
      </c>
    </row>
    <row r="5" spans="1:11" x14ac:dyDescent="0.25">
      <c r="A5" s="1" t="s">
        <v>2</v>
      </c>
      <c r="C5" s="83">
        <v>48405053.079201989</v>
      </c>
      <c r="D5" s="83">
        <v>52966574.949999996</v>
      </c>
      <c r="E5" s="83">
        <v>55626634.600724481</v>
      </c>
      <c r="F5" s="83">
        <v>56111114.978567168</v>
      </c>
      <c r="G5" s="83">
        <v>56532367.829528466</v>
      </c>
      <c r="H5" s="83">
        <v>54928951.240828454</v>
      </c>
      <c r="I5" s="83">
        <v>54928951.240828454</v>
      </c>
      <c r="J5" s="83">
        <v>54928951.240828454</v>
      </c>
      <c r="K5" s="85">
        <f t="shared" si="0"/>
        <v>434428599.16050744</v>
      </c>
    </row>
    <row r="6" spans="1:11" x14ac:dyDescent="0.25">
      <c r="A6" s="1" t="s">
        <v>7</v>
      </c>
      <c r="C6" s="83">
        <v>4475303.1635470381</v>
      </c>
      <c r="D6" s="83">
        <v>3730699.5900000003</v>
      </c>
      <c r="E6" s="83">
        <v>4647381.5818305314</v>
      </c>
      <c r="F6" s="83">
        <v>4704387.8084305339</v>
      </c>
      <c r="G6" s="83">
        <v>4753954.2667305358</v>
      </c>
      <c r="H6" s="83">
        <v>4619118.8248305349</v>
      </c>
      <c r="I6" s="83">
        <v>4619118.8248305349</v>
      </c>
      <c r="J6" s="83">
        <v>4619118.8248305349</v>
      </c>
      <c r="K6" s="85">
        <f t="shared" si="0"/>
        <v>36169082.885030247</v>
      </c>
    </row>
    <row r="7" spans="1:11" x14ac:dyDescent="0.25">
      <c r="A7" s="1" t="s">
        <v>3</v>
      </c>
      <c r="C7" s="83">
        <v>1309577.9737739696</v>
      </c>
      <c r="D7" s="83">
        <v>1342014.94</v>
      </c>
      <c r="E7" s="83">
        <v>1420644.7373255696</v>
      </c>
      <c r="F7" s="83">
        <v>1425395.4893255692</v>
      </c>
      <c r="G7" s="83">
        <v>1429526.2303405693</v>
      </c>
      <c r="H7" s="83">
        <v>1388980.8676405693</v>
      </c>
      <c r="I7" s="83">
        <v>1388980.8676405693</v>
      </c>
      <c r="J7" s="83">
        <v>1388980.8676405693</v>
      </c>
      <c r="K7" s="85">
        <f t="shared" si="0"/>
        <v>11094101.973687386</v>
      </c>
    </row>
    <row r="8" spans="1:11" x14ac:dyDescent="0.25">
      <c r="A8" s="1" t="s">
        <v>5</v>
      </c>
      <c r="B8" s="10"/>
      <c r="C8" s="85">
        <v>1339196.6858431145</v>
      </c>
      <c r="D8" s="83">
        <v>1385956.89</v>
      </c>
      <c r="E8" s="85">
        <v>1568499.5855999999</v>
      </c>
      <c r="F8" s="85">
        <v>1587739.2886999999</v>
      </c>
      <c r="G8" s="85">
        <v>1604468.0567999999</v>
      </c>
      <c r="H8" s="85">
        <v>1558960.8546999998</v>
      </c>
      <c r="I8" s="85">
        <v>1558960.8546999998</v>
      </c>
      <c r="J8" s="85">
        <v>1558960.8546999998</v>
      </c>
      <c r="K8" s="85">
        <f t="shared" si="0"/>
        <v>12162743.071043111</v>
      </c>
    </row>
    <row r="9" spans="1:11" x14ac:dyDescent="0.25">
      <c r="A9" s="1" t="s">
        <v>12</v>
      </c>
      <c r="B9" s="10"/>
      <c r="C9" s="85">
        <v>16276687.446570955</v>
      </c>
      <c r="D9" s="83">
        <v>9060787.870000001</v>
      </c>
      <c r="E9" s="85">
        <v>14699822.963674325</v>
      </c>
      <c r="F9" s="85">
        <v>14859692.135234935</v>
      </c>
      <c r="G9" s="85">
        <v>14998697.101511462</v>
      </c>
      <c r="H9" s="85">
        <v>14573292.096911449</v>
      </c>
      <c r="I9" s="85">
        <v>14573292.096911449</v>
      </c>
      <c r="J9" s="85">
        <v>14573292.096911449</v>
      </c>
      <c r="K9" s="85">
        <f t="shared" si="0"/>
        <v>113615563.80772601</v>
      </c>
    </row>
    <row r="10" spans="1:11" x14ac:dyDescent="0.25">
      <c r="A10" s="1" t="s">
        <v>4</v>
      </c>
      <c r="C10" s="83">
        <v>1143878.2285166576</v>
      </c>
      <c r="D10" s="83">
        <v>1212616.3</v>
      </c>
      <c r="E10" s="83">
        <v>1372328.4574565692</v>
      </c>
      <c r="F10" s="83">
        <v>1389161.8654604503</v>
      </c>
      <c r="G10" s="83">
        <v>1403798.3790537186</v>
      </c>
      <c r="H10" s="83">
        <v>1363982.7287537572</v>
      </c>
      <c r="I10" s="83">
        <v>1363982.7287537572</v>
      </c>
      <c r="J10" s="83">
        <v>1363982.7287537572</v>
      </c>
      <c r="K10" s="85">
        <f t="shared" si="0"/>
        <v>10613731.416748667</v>
      </c>
    </row>
    <row r="11" spans="1:11" x14ac:dyDescent="0.25">
      <c r="A11" s="1" t="s">
        <v>6</v>
      </c>
      <c r="B11" s="10"/>
      <c r="C11" s="85">
        <v>4943386.2564243842</v>
      </c>
      <c r="D11" s="83">
        <v>4953780.13</v>
      </c>
      <c r="E11" s="85">
        <v>5606236.5024999995</v>
      </c>
      <c r="F11" s="85">
        <v>5675004.341</v>
      </c>
      <c r="G11" s="85">
        <v>5734797.4266999997</v>
      </c>
      <c r="H11" s="85">
        <v>5572142.5301999999</v>
      </c>
      <c r="I11" s="85">
        <v>5572142.5301999999</v>
      </c>
      <c r="J11" s="85">
        <v>5572142.5301999999</v>
      </c>
      <c r="K11" s="85">
        <f t="shared" si="0"/>
        <v>43629632.247224383</v>
      </c>
    </row>
    <row r="12" spans="1:11" x14ac:dyDescent="0.25">
      <c r="A12" s="1" t="s">
        <v>10</v>
      </c>
      <c r="C12" s="83">
        <v>387197.70310188015</v>
      </c>
      <c r="D12" s="83">
        <v>376716.26</v>
      </c>
      <c r="E12" s="83">
        <v>426333.10179999995</v>
      </c>
      <c r="F12" s="83">
        <v>431562.6361</v>
      </c>
      <c r="G12" s="83">
        <v>436109.67429999996</v>
      </c>
      <c r="H12" s="83">
        <v>423740.38409999997</v>
      </c>
      <c r="I12" s="83">
        <v>423740.38409999997</v>
      </c>
      <c r="J12" s="83">
        <v>423740.38409999997</v>
      </c>
      <c r="K12" s="85">
        <f>SUM(C12:J12)</f>
        <v>3329140.5276018796</v>
      </c>
    </row>
    <row r="13" spans="1:11" x14ac:dyDescent="0.25">
      <c r="A13" s="1" t="s">
        <v>11</v>
      </c>
      <c r="C13" s="83">
        <v>0</v>
      </c>
      <c r="D13" s="83">
        <v>0</v>
      </c>
      <c r="E13" s="85">
        <v>0</v>
      </c>
      <c r="F13" s="85">
        <v>0</v>
      </c>
      <c r="G13" s="85">
        <v>0</v>
      </c>
      <c r="H13" s="85">
        <v>0</v>
      </c>
      <c r="I13" s="85">
        <v>0</v>
      </c>
      <c r="J13" s="85">
        <v>0</v>
      </c>
      <c r="K13" s="85">
        <f t="shared" si="0"/>
        <v>0</v>
      </c>
    </row>
    <row r="14" spans="1:11" ht="18" thickBot="1" x14ac:dyDescent="0.3">
      <c r="A14" s="3" t="s">
        <v>53</v>
      </c>
      <c r="B14" s="2"/>
      <c r="C14" s="85">
        <v>111797999.9064666</v>
      </c>
      <c r="D14" s="85">
        <v>102007605.07287467</v>
      </c>
      <c r="E14" s="85">
        <v>115061464.99999999</v>
      </c>
      <c r="F14" s="85">
        <v>115061465.00000001</v>
      </c>
      <c r="G14" s="85">
        <v>115061464.99999999</v>
      </c>
      <c r="H14" s="85">
        <v>111798000.00000001</v>
      </c>
      <c r="I14" s="85">
        <v>111798000.00000001</v>
      </c>
      <c r="J14" s="85">
        <v>111798000.00000001</v>
      </c>
      <c r="K14" s="86">
        <v>894383999.97934127</v>
      </c>
    </row>
    <row r="15" spans="1:11" ht="16.5" thickTop="1" thickBot="1" x14ac:dyDescent="0.3">
      <c r="A15" s="18" t="s">
        <v>45</v>
      </c>
      <c r="B15" s="17"/>
      <c r="C15" s="87">
        <v>4658311</v>
      </c>
      <c r="D15" s="84">
        <v>4658311</v>
      </c>
      <c r="E15" s="84">
        <v>4658311</v>
      </c>
      <c r="F15" s="84">
        <v>4658311</v>
      </c>
      <c r="G15" s="84">
        <v>4658311</v>
      </c>
      <c r="H15" s="84">
        <v>4658311</v>
      </c>
      <c r="I15" s="84">
        <v>4658311</v>
      </c>
      <c r="J15" s="84">
        <v>4658311</v>
      </c>
      <c r="K15" s="88">
        <v>37266488</v>
      </c>
    </row>
    <row r="16" spans="1:11" ht="16.5" thickTop="1" thickBot="1" x14ac:dyDescent="0.3">
      <c r="A16" s="18" t="s">
        <v>41</v>
      </c>
      <c r="B16" s="15"/>
      <c r="C16" s="87">
        <v>0</v>
      </c>
      <c r="D16" s="84">
        <v>0</v>
      </c>
      <c r="E16" s="84">
        <v>0</v>
      </c>
      <c r="F16" s="84">
        <v>0</v>
      </c>
      <c r="G16" s="84">
        <v>0</v>
      </c>
      <c r="H16" s="84">
        <v>0</v>
      </c>
      <c r="I16" s="84">
        <v>0</v>
      </c>
      <c r="J16" s="84">
        <v>0</v>
      </c>
      <c r="K16" s="88">
        <f t="shared" si="0"/>
        <v>0</v>
      </c>
    </row>
    <row r="17" spans="1:11" ht="16.5" thickTop="1" thickBot="1" x14ac:dyDescent="0.3">
      <c r="A17" s="18" t="s">
        <v>42</v>
      </c>
      <c r="B17" s="17"/>
      <c r="C17" s="89">
        <v>0</v>
      </c>
      <c r="D17" s="84">
        <v>0</v>
      </c>
      <c r="E17" s="84">
        <v>0</v>
      </c>
      <c r="F17" s="84">
        <v>0</v>
      </c>
      <c r="G17" s="84">
        <v>0</v>
      </c>
      <c r="H17" s="84">
        <v>0</v>
      </c>
      <c r="I17" s="84">
        <v>0</v>
      </c>
      <c r="J17" s="84">
        <v>0</v>
      </c>
      <c r="K17" s="88">
        <f t="shared" si="0"/>
        <v>0</v>
      </c>
    </row>
    <row r="18" spans="1:11" ht="16.5" thickTop="1" thickBot="1" x14ac:dyDescent="0.3">
      <c r="A18" s="18" t="s">
        <v>36</v>
      </c>
      <c r="B18" s="17"/>
      <c r="C18" s="139">
        <v>116456311</v>
      </c>
      <c r="D18" s="137">
        <v>106665916</v>
      </c>
      <c r="E18" s="137">
        <v>119719776</v>
      </c>
      <c r="F18" s="137">
        <v>119719776</v>
      </c>
      <c r="G18" s="137">
        <v>119719776</v>
      </c>
      <c r="H18" s="137">
        <v>116456311</v>
      </c>
      <c r="I18" s="137">
        <v>116456311</v>
      </c>
      <c r="J18" s="137">
        <v>116456311</v>
      </c>
      <c r="K18" s="138">
        <v>931650488</v>
      </c>
    </row>
    <row r="19" spans="1:11" ht="16.5" thickTop="1" thickBot="1" x14ac:dyDescent="0.3">
      <c r="A19" s="180" t="s">
        <v>57</v>
      </c>
      <c r="B19" s="181"/>
      <c r="C19" s="139">
        <v>116456311</v>
      </c>
      <c r="D19" s="137">
        <v>116456311</v>
      </c>
      <c r="E19" s="137">
        <v>116456311</v>
      </c>
      <c r="F19" s="137">
        <v>116456311</v>
      </c>
      <c r="G19" s="137">
        <v>116456311</v>
      </c>
      <c r="H19" s="137">
        <v>116456311</v>
      </c>
      <c r="I19" s="137">
        <v>116456311</v>
      </c>
      <c r="J19" s="137">
        <v>116456311</v>
      </c>
      <c r="K19" s="138">
        <v>931650487</v>
      </c>
    </row>
    <row r="20" spans="1:11" ht="16.5" thickTop="1" thickBot="1" x14ac:dyDescent="0.3">
      <c r="A20" s="61"/>
      <c r="B20" s="70"/>
      <c r="C20" s="140"/>
      <c r="D20" s="135"/>
      <c r="E20" s="135"/>
      <c r="F20" s="135"/>
      <c r="G20" s="135"/>
      <c r="H20" s="135"/>
      <c r="I20" s="135"/>
      <c r="J20" s="135"/>
      <c r="K20" s="141"/>
    </row>
    <row r="21" spans="1:11" ht="18.75" thickTop="1" thickBot="1" x14ac:dyDescent="0.3">
      <c r="A21" s="61" t="s">
        <v>59</v>
      </c>
      <c r="B21" s="70"/>
      <c r="C21" s="140">
        <v>116456311</v>
      </c>
      <c r="D21" s="140">
        <v>106665916</v>
      </c>
      <c r="E21" s="140">
        <v>119719776</v>
      </c>
      <c r="F21" s="140">
        <v>119719776</v>
      </c>
      <c r="G21" s="140">
        <v>119719776</v>
      </c>
      <c r="H21" s="140">
        <v>116456311</v>
      </c>
      <c r="I21" s="140">
        <v>116456311</v>
      </c>
      <c r="J21" s="140">
        <v>116456311</v>
      </c>
      <c r="K21" s="140">
        <v>931650488</v>
      </c>
    </row>
    <row r="22" spans="1:11" ht="18.75" thickTop="1" thickBot="1" x14ac:dyDescent="0.3">
      <c r="A22" s="61" t="s">
        <v>58</v>
      </c>
      <c r="B22" s="70"/>
      <c r="C22" s="140">
        <v>116456311</v>
      </c>
      <c r="D22" s="140">
        <v>106665916</v>
      </c>
      <c r="E22" s="140">
        <v>119719776</v>
      </c>
      <c r="F22" s="140">
        <v>119719776</v>
      </c>
      <c r="G22" s="140">
        <v>119719776</v>
      </c>
      <c r="H22" s="140">
        <v>116456311</v>
      </c>
      <c r="I22" s="140">
        <v>116456311</v>
      </c>
      <c r="J22" s="140">
        <v>116456311</v>
      </c>
      <c r="K22" s="140">
        <v>931650488</v>
      </c>
    </row>
    <row r="23" spans="1:11" ht="16.5" thickTop="1" thickBot="1" x14ac:dyDescent="0.3">
      <c r="A23" s="61"/>
      <c r="B23" s="70"/>
      <c r="C23" s="134"/>
      <c r="D23" s="132"/>
      <c r="E23" s="132"/>
      <c r="F23" s="132"/>
      <c r="G23" s="132"/>
      <c r="H23" s="132"/>
      <c r="I23" s="132"/>
      <c r="J23" s="132"/>
      <c r="K23" s="133"/>
    </row>
    <row r="24" spans="1:11" ht="16.5" thickTop="1" thickBot="1" x14ac:dyDescent="0.3">
      <c r="A24" s="32" t="s">
        <v>96</v>
      </c>
      <c r="B24" s="15"/>
      <c r="C24" s="132">
        <v>1.0900000000000001</v>
      </c>
      <c r="D24" s="142">
        <v>1.29</v>
      </c>
      <c r="E24" s="132">
        <v>1.35</v>
      </c>
      <c r="F24" s="132">
        <v>1.33</v>
      </c>
      <c r="G24" s="132">
        <v>1.32</v>
      </c>
      <c r="H24" s="136" t="s">
        <v>101</v>
      </c>
      <c r="I24" s="136" t="s">
        <v>101</v>
      </c>
      <c r="J24" s="136" t="s">
        <v>101</v>
      </c>
      <c r="K24" s="132"/>
    </row>
    <row r="25" spans="1:11" ht="16.5" thickTop="1" thickBot="1" x14ac:dyDescent="0.3">
      <c r="A25" s="8" t="s">
        <v>97</v>
      </c>
      <c r="B25" s="17"/>
      <c r="C25" s="131">
        <v>1.42</v>
      </c>
      <c r="D25" s="143">
        <v>1.98</v>
      </c>
      <c r="E25" s="131">
        <v>1.83</v>
      </c>
      <c r="F25" s="131">
        <v>1.78</v>
      </c>
      <c r="G25" s="131">
        <v>1.76</v>
      </c>
      <c r="H25" s="136" t="s">
        <v>101</v>
      </c>
      <c r="I25" s="136" t="s">
        <v>101</v>
      </c>
      <c r="J25" s="136" t="s">
        <v>101</v>
      </c>
      <c r="K25" s="132"/>
    </row>
    <row r="26" spans="1:11" ht="15.75" thickTop="1" x14ac:dyDescent="0.25">
      <c r="A26" s="20"/>
      <c r="B26" s="10"/>
      <c r="C26" s="10"/>
      <c r="D26" s="10"/>
      <c r="E26" s="10"/>
      <c r="F26" s="10"/>
      <c r="G26" s="10"/>
      <c r="H26" s="10"/>
      <c r="I26" s="10"/>
      <c r="J26" s="10"/>
    </row>
    <row r="27" spans="1:11" ht="17.25" x14ac:dyDescent="0.25">
      <c r="A27" s="16" t="s">
        <v>56</v>
      </c>
      <c r="B27" s="10"/>
      <c r="C27" s="10"/>
      <c r="D27" s="10"/>
      <c r="E27" s="10"/>
      <c r="F27" s="10"/>
      <c r="G27" s="10"/>
      <c r="H27" s="10"/>
      <c r="I27" s="10"/>
      <c r="J27" s="10"/>
    </row>
    <row r="28" spans="1:11" ht="17.25" x14ac:dyDescent="0.25">
      <c r="A28" s="16" t="s">
        <v>55</v>
      </c>
      <c r="B28" s="10"/>
      <c r="C28" s="10"/>
      <c r="D28" s="10"/>
      <c r="E28" s="10"/>
      <c r="F28" s="10"/>
      <c r="G28" s="10"/>
      <c r="H28" s="10"/>
      <c r="I28" s="10"/>
      <c r="J28" s="10"/>
    </row>
    <row r="29" spans="1:11" ht="17.25" x14ac:dyDescent="0.25">
      <c r="A29" s="16" t="s">
        <v>89</v>
      </c>
      <c r="B29" s="10"/>
      <c r="C29" s="10"/>
      <c r="D29" s="10"/>
      <c r="E29" s="10"/>
      <c r="F29" s="10"/>
      <c r="G29" s="10"/>
      <c r="H29" s="10"/>
      <c r="I29" s="10"/>
      <c r="J29" s="10"/>
    </row>
    <row r="30" spans="1:11" ht="17.25" x14ac:dyDescent="0.25">
      <c r="A30" s="16" t="s">
        <v>90</v>
      </c>
      <c r="B30" s="10"/>
      <c r="C30" s="10"/>
      <c r="D30" s="10"/>
      <c r="E30" s="10"/>
      <c r="F30" s="10"/>
      <c r="G30" s="10"/>
      <c r="H30" s="10"/>
      <c r="I30" s="10"/>
      <c r="J30" s="10"/>
    </row>
    <row r="31" spans="1:11" x14ac:dyDescent="0.25">
      <c r="A31" s="19"/>
      <c r="B31" s="10"/>
      <c r="C31" s="10"/>
      <c r="D31" s="10"/>
      <c r="E31" s="10"/>
      <c r="F31" s="10"/>
      <c r="G31" s="10"/>
      <c r="H31" s="10"/>
      <c r="I31" s="10"/>
      <c r="J31" s="10"/>
    </row>
    <row r="32" spans="1:11" x14ac:dyDescent="0.25">
      <c r="A32" s="19"/>
      <c r="B32" s="10"/>
      <c r="C32" s="10"/>
      <c r="D32" s="10"/>
      <c r="E32" s="10"/>
      <c r="F32" s="10"/>
      <c r="G32" s="10"/>
      <c r="H32" s="10"/>
      <c r="I32" s="10"/>
      <c r="J32" s="10"/>
    </row>
    <row r="33" spans="1:10" x14ac:dyDescent="0.25">
      <c r="A33" s="19"/>
      <c r="B33" s="10"/>
      <c r="C33" s="10"/>
      <c r="D33" s="10"/>
      <c r="E33" s="10"/>
      <c r="F33" s="10"/>
      <c r="G33" s="10"/>
      <c r="H33" s="10"/>
      <c r="I33" s="10"/>
      <c r="J33" s="10"/>
    </row>
    <row r="34" spans="1:10" x14ac:dyDescent="0.25">
      <c r="A34" s="19"/>
      <c r="B34" s="10"/>
      <c r="C34" s="10"/>
      <c r="D34" s="10"/>
      <c r="E34" s="10"/>
      <c r="F34" s="10"/>
      <c r="G34" s="10"/>
      <c r="H34" s="10"/>
      <c r="I34" s="10"/>
      <c r="J34" s="10"/>
    </row>
  </sheetData>
  <mergeCells count="2">
    <mergeCell ref="D2:J2"/>
    <mergeCell ref="A19:B19"/>
  </mergeCells>
  <phoneticPr fontId="16" type="noConversion"/>
  <pageMargins left="0.7" right="0.7" top="0.75" bottom="0.75" header="0.3" footer="0.3"/>
  <pageSetup scale="76" orientation="landscape" verticalDpi="4294967292"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3"/>
  <sheetViews>
    <sheetView showGridLines="0" view="pageLayout" workbookViewId="0">
      <selection activeCell="N16" sqref="N16"/>
    </sheetView>
  </sheetViews>
  <sheetFormatPr defaultColWidth="8.85546875" defaultRowHeight="15" x14ac:dyDescent="0.25"/>
  <cols>
    <col min="2" max="2" width="35" customWidth="1"/>
    <col min="3" max="3" width="13.85546875" customWidth="1"/>
  </cols>
  <sheetData>
    <row r="1" spans="1:11" x14ac:dyDescent="0.25">
      <c r="A1" t="s">
        <v>100</v>
      </c>
    </row>
    <row r="2" spans="1:11" x14ac:dyDescent="0.25">
      <c r="D2" s="179" t="s">
        <v>8</v>
      </c>
      <c r="E2" s="179"/>
      <c r="F2" s="179"/>
      <c r="G2" s="179"/>
      <c r="H2" s="179"/>
      <c r="I2" s="179"/>
      <c r="J2" s="179"/>
    </row>
    <row r="3" spans="1:11" ht="15.75" thickBot="1" x14ac:dyDescent="0.3">
      <c r="A3" s="13" t="s">
        <v>0</v>
      </c>
      <c r="B3" s="2"/>
      <c r="C3" s="9" t="s">
        <v>35</v>
      </c>
      <c r="D3" s="2">
        <v>2019</v>
      </c>
      <c r="E3" s="2">
        <v>2020</v>
      </c>
      <c r="F3" s="2">
        <v>2021</v>
      </c>
      <c r="G3" s="2">
        <v>2022</v>
      </c>
      <c r="H3" s="2">
        <v>2023</v>
      </c>
      <c r="I3" s="2">
        <v>2024</v>
      </c>
      <c r="J3" s="2">
        <v>2025</v>
      </c>
      <c r="K3" s="5" t="s">
        <v>30</v>
      </c>
    </row>
    <row r="4" spans="1:11" ht="15.75" thickTop="1" x14ac:dyDescent="0.25">
      <c r="A4" s="1" t="s">
        <v>1</v>
      </c>
      <c r="K4" s="7">
        <f t="shared" ref="K4:K17" si="0">SUM(C4:J4)</f>
        <v>0</v>
      </c>
    </row>
    <row r="5" spans="1:11" x14ac:dyDescent="0.25">
      <c r="A5" s="1" t="s">
        <v>2</v>
      </c>
      <c r="K5" s="10">
        <f t="shared" si="0"/>
        <v>0</v>
      </c>
    </row>
    <row r="6" spans="1:11" x14ac:dyDescent="0.25">
      <c r="A6" s="1" t="s">
        <v>7</v>
      </c>
      <c r="K6" s="10">
        <f t="shared" si="0"/>
        <v>0</v>
      </c>
    </row>
    <row r="7" spans="1:11" x14ac:dyDescent="0.25">
      <c r="A7" s="1" t="s">
        <v>3</v>
      </c>
      <c r="K7" s="10">
        <f t="shared" si="0"/>
        <v>0</v>
      </c>
    </row>
    <row r="8" spans="1:11" x14ac:dyDescent="0.25">
      <c r="A8" s="1" t="s">
        <v>5</v>
      </c>
      <c r="B8" s="10"/>
      <c r="C8" s="10"/>
      <c r="D8" s="10"/>
      <c r="E8" s="10"/>
      <c r="F8" s="10"/>
      <c r="G8" s="10"/>
      <c r="H8" s="10"/>
      <c r="I8" s="10"/>
      <c r="J8" s="10"/>
      <c r="K8" s="10">
        <f t="shared" si="0"/>
        <v>0</v>
      </c>
    </row>
    <row r="9" spans="1:11" x14ac:dyDescent="0.25">
      <c r="A9" s="1" t="s">
        <v>12</v>
      </c>
      <c r="B9" s="10"/>
      <c r="C9" s="10"/>
      <c r="D9" s="10"/>
      <c r="E9" s="10"/>
      <c r="F9" s="10"/>
      <c r="G9" s="10"/>
      <c r="H9" s="10"/>
      <c r="I9" s="10"/>
      <c r="J9" s="10"/>
      <c r="K9" s="10">
        <f t="shared" si="0"/>
        <v>0</v>
      </c>
    </row>
    <row r="10" spans="1:11" x14ac:dyDescent="0.25">
      <c r="A10" s="1" t="s">
        <v>4</v>
      </c>
      <c r="K10" s="10">
        <f t="shared" si="0"/>
        <v>0</v>
      </c>
    </row>
    <row r="11" spans="1:11" x14ac:dyDescent="0.25">
      <c r="A11" s="1" t="s">
        <v>6</v>
      </c>
      <c r="B11" s="10"/>
      <c r="C11" s="10"/>
      <c r="D11" s="10"/>
      <c r="E11" s="10"/>
      <c r="F11" s="10"/>
      <c r="G11" s="10"/>
      <c r="H11" s="10"/>
      <c r="I11" s="10"/>
      <c r="J11" s="10"/>
      <c r="K11" s="10">
        <f t="shared" si="0"/>
        <v>0</v>
      </c>
    </row>
    <row r="12" spans="1:11" x14ac:dyDescent="0.25">
      <c r="A12" s="1" t="s">
        <v>10</v>
      </c>
      <c r="K12" s="10">
        <f t="shared" si="0"/>
        <v>0</v>
      </c>
    </row>
    <row r="13" spans="1:11" x14ac:dyDescent="0.25">
      <c r="A13" s="1" t="s">
        <v>11</v>
      </c>
      <c r="D13" s="10"/>
      <c r="E13" s="10"/>
      <c r="F13" s="10"/>
      <c r="G13" s="10"/>
      <c r="H13" s="10"/>
      <c r="I13" s="10"/>
      <c r="J13" s="10"/>
      <c r="K13" s="10">
        <f t="shared" si="0"/>
        <v>0</v>
      </c>
    </row>
    <row r="14" spans="1:11" ht="15.75" thickBot="1" x14ac:dyDescent="0.3">
      <c r="A14" s="3" t="s">
        <v>14</v>
      </c>
      <c r="B14" s="2"/>
      <c r="C14" s="10"/>
      <c r="D14" s="10"/>
      <c r="E14" s="10"/>
      <c r="F14" s="10"/>
      <c r="G14" s="10"/>
      <c r="H14" s="10"/>
      <c r="I14" s="10"/>
      <c r="J14" s="10"/>
      <c r="K14" s="2">
        <f t="shared" si="0"/>
        <v>0</v>
      </c>
    </row>
    <row r="15" spans="1:11" ht="16.5" thickTop="1" thickBot="1" x14ac:dyDescent="0.3">
      <c r="A15" s="18" t="s">
        <v>13</v>
      </c>
      <c r="B15" s="17"/>
      <c r="C15" s="34"/>
      <c r="D15" s="7"/>
      <c r="E15" s="7"/>
      <c r="F15" s="7"/>
      <c r="G15" s="7"/>
      <c r="H15" s="7"/>
      <c r="I15" s="7"/>
      <c r="J15" s="7"/>
      <c r="K15" s="15">
        <f t="shared" si="0"/>
        <v>0</v>
      </c>
    </row>
    <row r="16" spans="1:11" ht="16.5" thickTop="1" thickBot="1" x14ac:dyDescent="0.3">
      <c r="A16" s="18" t="s">
        <v>36</v>
      </c>
      <c r="B16" s="17"/>
      <c r="C16" s="11">
        <f t="shared" ref="C16:K16" si="1">SUM(C14,C15)</f>
        <v>0</v>
      </c>
      <c r="D16" s="34">
        <f t="shared" si="1"/>
        <v>0</v>
      </c>
      <c r="E16" s="34">
        <f t="shared" si="1"/>
        <v>0</v>
      </c>
      <c r="F16" s="34">
        <f t="shared" si="1"/>
        <v>0</v>
      </c>
      <c r="G16" s="34">
        <f t="shared" si="1"/>
        <v>0</v>
      </c>
      <c r="H16" s="34">
        <f t="shared" si="1"/>
        <v>0</v>
      </c>
      <c r="I16" s="34">
        <f t="shared" si="1"/>
        <v>0</v>
      </c>
      <c r="J16" s="58">
        <f t="shared" si="1"/>
        <v>0</v>
      </c>
      <c r="K16" s="59">
        <f t="shared" si="1"/>
        <v>0</v>
      </c>
    </row>
    <row r="17" spans="1:11" ht="16.5" thickTop="1" thickBot="1" x14ac:dyDescent="0.3">
      <c r="A17" s="180" t="s">
        <v>80</v>
      </c>
      <c r="B17" s="182"/>
      <c r="C17" s="35"/>
      <c r="D17" s="6"/>
      <c r="E17" s="6"/>
      <c r="F17" s="6"/>
      <c r="G17" s="6"/>
      <c r="H17" s="6"/>
      <c r="I17" s="6"/>
      <c r="J17" s="6"/>
      <c r="K17" s="15">
        <f t="shared" si="0"/>
        <v>0</v>
      </c>
    </row>
    <row r="18" spans="1:11" ht="16.5" thickTop="1" thickBot="1" x14ac:dyDescent="0.3">
      <c r="A18" s="55"/>
      <c r="B18" s="54"/>
      <c r="C18" s="35"/>
      <c r="D18" s="6"/>
      <c r="E18" s="6"/>
      <c r="F18" s="6"/>
      <c r="G18" s="6"/>
      <c r="H18" s="6"/>
      <c r="I18" s="6"/>
      <c r="J18" s="6"/>
      <c r="K18" s="10"/>
    </row>
    <row r="19" spans="1:11" ht="16.5" thickTop="1" thickBot="1" x14ac:dyDescent="0.3">
      <c r="A19" s="55" t="s">
        <v>33</v>
      </c>
      <c r="B19" s="15"/>
      <c r="C19" s="6"/>
      <c r="D19" s="58"/>
      <c r="E19" s="58"/>
      <c r="F19" s="58"/>
      <c r="G19" s="58"/>
      <c r="H19" s="58"/>
      <c r="I19" s="58"/>
      <c r="J19" s="58"/>
      <c r="K19" s="58"/>
    </row>
    <row r="20" spans="1:11" ht="16.5" thickTop="1" thickBot="1" x14ac:dyDescent="0.3">
      <c r="A20" s="8" t="s">
        <v>34</v>
      </c>
      <c r="B20" s="17"/>
      <c r="C20" s="34"/>
      <c r="D20" s="58"/>
      <c r="E20" s="58"/>
      <c r="F20" s="58"/>
      <c r="G20" s="58"/>
      <c r="H20" s="58"/>
      <c r="I20" s="58"/>
      <c r="J20" s="58"/>
      <c r="K20" s="58"/>
    </row>
    <row r="21" spans="1:11" ht="15.75" thickTop="1" x14ac:dyDescent="0.25">
      <c r="A21" s="20"/>
      <c r="B21" s="10"/>
      <c r="C21" s="10"/>
      <c r="D21" s="10"/>
      <c r="E21" s="10"/>
      <c r="F21" s="10"/>
      <c r="G21" s="10"/>
      <c r="H21" s="10"/>
      <c r="I21" s="10"/>
      <c r="J21" s="10"/>
    </row>
    <row r="22" spans="1:11" x14ac:dyDescent="0.25">
      <c r="A22" s="16"/>
      <c r="B22" s="10"/>
      <c r="C22" s="10"/>
      <c r="D22" s="10"/>
      <c r="E22" s="10"/>
      <c r="F22" s="10"/>
      <c r="G22" s="10"/>
      <c r="H22" s="10"/>
      <c r="I22" s="10"/>
      <c r="J22" s="10"/>
    </row>
    <row r="23" spans="1:11" x14ac:dyDescent="0.25">
      <c r="A23" s="16" t="s">
        <v>49</v>
      </c>
      <c r="B23" s="10"/>
      <c r="C23" s="10"/>
      <c r="D23" s="10"/>
      <c r="E23" s="10"/>
      <c r="F23" s="10"/>
      <c r="G23" s="10"/>
      <c r="H23" s="10"/>
      <c r="I23" s="10"/>
      <c r="J23" s="10"/>
    </row>
  </sheetData>
  <mergeCells count="2">
    <mergeCell ref="D2:J2"/>
    <mergeCell ref="A17:B17"/>
  </mergeCells>
  <phoneticPr fontId="16" type="noConversion"/>
  <pageMargins left="0.7" right="0.7" top="0.75" bottom="0.75" header="0.3" footer="0.3"/>
  <pageSetup scale="95" orientation="landscape" r:id="rId1"/>
  <headerFooter>
    <oddHeader>&amp;C&amp;A</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J24"/>
  <sheetViews>
    <sheetView showGridLines="0" view="pageLayout" topLeftCell="A2" workbookViewId="0">
      <selection activeCell="D14" sqref="D14:D15"/>
    </sheetView>
  </sheetViews>
  <sheetFormatPr defaultColWidth="8.85546875" defaultRowHeight="15" x14ac:dyDescent="0.25"/>
  <cols>
    <col min="2" max="2" width="20.140625" customWidth="1"/>
    <col min="3" max="3" width="14.5703125" style="49" bestFit="1" customWidth="1"/>
    <col min="4" max="4" width="14.7109375" bestFit="1" customWidth="1"/>
    <col min="5" max="5" width="16.28515625" bestFit="1" customWidth="1"/>
    <col min="6" max="10" width="14.7109375" bestFit="1" customWidth="1"/>
  </cols>
  <sheetData>
    <row r="3" spans="1:10" x14ac:dyDescent="0.25">
      <c r="C3" s="179" t="s">
        <v>22</v>
      </c>
      <c r="D3" s="179"/>
      <c r="E3" s="179"/>
      <c r="F3" s="179"/>
      <c r="G3" s="179"/>
      <c r="H3" s="179"/>
      <c r="I3" s="179"/>
    </row>
    <row r="4" spans="1:10" ht="15.75" thickBot="1" x14ac:dyDescent="0.3">
      <c r="A4" s="13" t="s">
        <v>0</v>
      </c>
      <c r="B4" s="2"/>
      <c r="C4" s="71">
        <v>2018</v>
      </c>
      <c r="D4" s="2">
        <v>2019</v>
      </c>
      <c r="E4" s="2">
        <v>2020</v>
      </c>
      <c r="F4" s="2">
        <v>2021</v>
      </c>
      <c r="G4" s="2">
        <v>2022</v>
      </c>
      <c r="H4" s="2">
        <v>2023</v>
      </c>
      <c r="I4" s="2">
        <v>2024</v>
      </c>
      <c r="J4" s="2">
        <v>2025</v>
      </c>
    </row>
    <row r="5" spans="1:10" ht="15.75" thickTop="1" x14ac:dyDescent="0.25">
      <c r="A5" s="1" t="s">
        <v>1</v>
      </c>
      <c r="C5" s="90">
        <v>83406874.074044004</v>
      </c>
      <c r="D5" s="90">
        <v>113927210</v>
      </c>
      <c r="E5" s="90">
        <v>111845701.01009406</v>
      </c>
      <c r="F5" s="90">
        <v>103356147.11173354</v>
      </c>
      <c r="G5" s="90">
        <v>96140026.298127085</v>
      </c>
      <c r="H5" s="90">
        <v>96140026.298127085</v>
      </c>
      <c r="I5" s="94">
        <v>96140026.298127085</v>
      </c>
      <c r="J5" s="94">
        <f>I5</f>
        <v>96140026.298127085</v>
      </c>
    </row>
    <row r="6" spans="1:10" x14ac:dyDescent="0.25">
      <c r="A6" s="1" t="s">
        <v>2</v>
      </c>
      <c r="C6" s="90">
        <v>143489084.23248938</v>
      </c>
      <c r="D6" s="90">
        <v>162783056</v>
      </c>
      <c r="E6" s="90">
        <v>146683483.21162304</v>
      </c>
      <c r="F6" s="90">
        <v>144164305.06140497</v>
      </c>
      <c r="G6" s="90">
        <v>142023003.6337198</v>
      </c>
      <c r="H6" s="90">
        <v>142023003.6337198</v>
      </c>
      <c r="I6" s="94">
        <v>142023003.6337198</v>
      </c>
      <c r="J6" s="94">
        <f t="shared" ref="J6:J8" si="0">I6</f>
        <v>142023003.6337198</v>
      </c>
    </row>
    <row r="7" spans="1:10" x14ac:dyDescent="0.25">
      <c r="A7" s="1" t="s">
        <v>7</v>
      </c>
      <c r="C7" s="90">
        <v>6085678.7431261605</v>
      </c>
      <c r="D7" s="90">
        <v>9843098</v>
      </c>
      <c r="E7" s="90">
        <v>17639673.378035042</v>
      </c>
      <c r="F7" s="90">
        <v>17637101.466053769</v>
      </c>
      <c r="G7" s="90">
        <v>17634915.340869687</v>
      </c>
      <c r="H7" s="90">
        <v>17634915.340869687</v>
      </c>
      <c r="I7" s="94">
        <v>17634915.340869687</v>
      </c>
      <c r="J7" s="94">
        <f t="shared" si="0"/>
        <v>17634915.340869687</v>
      </c>
    </row>
    <row r="8" spans="1:10" x14ac:dyDescent="0.25">
      <c r="A8" s="1" t="s">
        <v>3</v>
      </c>
      <c r="C8" s="90">
        <v>539521.50313902006</v>
      </c>
      <c r="D8" s="90">
        <v>3151515</v>
      </c>
      <c r="E8" s="90">
        <v>2090561.2097962284</v>
      </c>
      <c r="F8" s="90">
        <v>2041702.9279883669</v>
      </c>
      <c r="G8" s="90">
        <v>2000173.3884516847</v>
      </c>
      <c r="H8" s="90">
        <v>2000173.3884516847</v>
      </c>
      <c r="I8" s="94">
        <v>2000173.3884516847</v>
      </c>
      <c r="J8" s="94">
        <f t="shared" si="0"/>
        <v>2000173.3884516847</v>
      </c>
    </row>
    <row r="9" spans="1:10" x14ac:dyDescent="0.25">
      <c r="A9" s="1" t="s">
        <v>5</v>
      </c>
      <c r="B9" s="10"/>
      <c r="C9" s="91">
        <v>0</v>
      </c>
      <c r="D9" s="91">
        <v>0</v>
      </c>
      <c r="E9" s="91">
        <v>0</v>
      </c>
      <c r="F9" s="91">
        <v>0</v>
      </c>
      <c r="G9" s="91">
        <v>0</v>
      </c>
      <c r="H9" s="91">
        <v>0</v>
      </c>
      <c r="I9" s="94">
        <v>0</v>
      </c>
      <c r="J9" s="94">
        <v>0</v>
      </c>
    </row>
    <row r="10" spans="1:10" x14ac:dyDescent="0.25">
      <c r="A10" s="1" t="s">
        <v>12</v>
      </c>
      <c r="B10" s="10"/>
      <c r="C10" s="91">
        <v>0</v>
      </c>
      <c r="D10" s="91">
        <v>0</v>
      </c>
      <c r="E10" s="91">
        <v>19057239.640209701</v>
      </c>
      <c r="F10" s="91">
        <v>18818464.699563976</v>
      </c>
      <c r="G10" s="91">
        <v>18615506.000015173</v>
      </c>
      <c r="H10" s="91">
        <v>18615506.000015173</v>
      </c>
      <c r="I10" s="94">
        <v>18615506.000015173</v>
      </c>
      <c r="J10" s="94">
        <v>18615506.000015173</v>
      </c>
    </row>
    <row r="11" spans="1:10" x14ac:dyDescent="0.25">
      <c r="A11" s="1" t="s">
        <v>6</v>
      </c>
      <c r="C11" s="91">
        <v>0</v>
      </c>
      <c r="D11" s="91">
        <v>0</v>
      </c>
      <c r="E11" s="91">
        <v>0</v>
      </c>
      <c r="F11" s="91">
        <v>0</v>
      </c>
      <c r="G11" s="91">
        <v>0</v>
      </c>
      <c r="H11" s="91">
        <v>0</v>
      </c>
      <c r="I11" s="94">
        <v>0</v>
      </c>
      <c r="J11" s="94">
        <v>0</v>
      </c>
    </row>
    <row r="12" spans="1:10" x14ac:dyDescent="0.25">
      <c r="A12" s="20" t="s">
        <v>10</v>
      </c>
      <c r="B12" s="10"/>
      <c r="C12" s="92">
        <v>0</v>
      </c>
      <c r="D12" s="92">
        <v>0</v>
      </c>
      <c r="E12" s="92">
        <v>0</v>
      </c>
      <c r="F12" s="92">
        <v>0</v>
      </c>
      <c r="G12" s="92">
        <v>0</v>
      </c>
      <c r="H12" s="92">
        <v>0</v>
      </c>
      <c r="I12" s="94">
        <v>0</v>
      </c>
      <c r="J12" s="94">
        <v>0</v>
      </c>
    </row>
    <row r="13" spans="1:10" x14ac:dyDescent="0.25">
      <c r="A13" s="20" t="s">
        <v>11</v>
      </c>
      <c r="C13" s="90">
        <v>0</v>
      </c>
      <c r="D13" s="90">
        <v>0</v>
      </c>
      <c r="E13" s="90">
        <v>0</v>
      </c>
      <c r="F13" s="90">
        <v>0</v>
      </c>
      <c r="G13" s="90">
        <v>0</v>
      </c>
      <c r="H13" s="90">
        <v>0</v>
      </c>
      <c r="I13" s="94">
        <v>0</v>
      </c>
      <c r="J13" s="94">
        <v>0</v>
      </c>
    </row>
    <row r="14" spans="1:10" ht="15.75" thickBot="1" x14ac:dyDescent="0.3">
      <c r="A14" s="16" t="s">
        <v>46</v>
      </c>
      <c r="C14" s="90">
        <v>233521158.55279854</v>
      </c>
      <c r="D14" s="90">
        <v>289704880.30820048</v>
      </c>
      <c r="E14" s="90">
        <v>297316658.44975811</v>
      </c>
      <c r="F14" s="90">
        <v>286017721.26674461</v>
      </c>
      <c r="G14" s="90">
        <v>276413624.66118348</v>
      </c>
      <c r="H14" s="90">
        <v>276413624.66118348</v>
      </c>
      <c r="I14" s="94">
        <v>276413624.66118348</v>
      </c>
      <c r="J14" s="94">
        <v>276413624.66118348</v>
      </c>
    </row>
    <row r="15" spans="1:10" ht="16.5" thickTop="1" thickBot="1" x14ac:dyDescent="0.3">
      <c r="A15" s="82" t="s">
        <v>92</v>
      </c>
      <c r="B15" s="95"/>
      <c r="C15" s="97">
        <v>6886075</v>
      </c>
      <c r="D15" s="97">
        <v>8692142</v>
      </c>
      <c r="E15" s="97">
        <v>8431414.4011408109</v>
      </c>
      <c r="F15" s="97">
        <v>8431414.4011408109</v>
      </c>
      <c r="G15" s="97">
        <v>8431414.4011408109</v>
      </c>
      <c r="H15" s="97">
        <v>8431414.4011408109</v>
      </c>
      <c r="I15" s="97">
        <v>8431414.4011408109</v>
      </c>
      <c r="J15" s="97">
        <v>8431414.4011408109</v>
      </c>
    </row>
    <row r="16" spans="1:10" ht="16.5" thickTop="1" thickBot="1" x14ac:dyDescent="0.3">
      <c r="A16" s="18" t="s">
        <v>39</v>
      </c>
      <c r="B16" s="27"/>
      <c r="C16" s="72">
        <v>0</v>
      </c>
      <c r="D16" s="72">
        <v>0</v>
      </c>
      <c r="E16" s="6">
        <v>0</v>
      </c>
      <c r="F16" s="6">
        <v>0</v>
      </c>
      <c r="G16" s="6">
        <v>0</v>
      </c>
      <c r="H16" s="6">
        <v>0</v>
      </c>
      <c r="I16" s="6">
        <v>0</v>
      </c>
      <c r="J16" s="6">
        <v>0</v>
      </c>
    </row>
    <row r="17" spans="1:10" ht="16.5" thickTop="1" thickBot="1" x14ac:dyDescent="0.3">
      <c r="A17" s="18" t="s">
        <v>38</v>
      </c>
      <c r="B17" s="27"/>
      <c r="C17" s="72">
        <v>0</v>
      </c>
      <c r="D17" s="72">
        <v>0</v>
      </c>
      <c r="E17" s="6">
        <v>0</v>
      </c>
      <c r="F17" s="6">
        <v>0</v>
      </c>
      <c r="G17" s="6">
        <v>0</v>
      </c>
      <c r="H17" s="6">
        <v>0</v>
      </c>
      <c r="I17" s="6">
        <v>0</v>
      </c>
      <c r="J17" s="6">
        <v>0</v>
      </c>
    </row>
    <row r="18" spans="1:10" ht="16.5" thickTop="1" thickBot="1" x14ac:dyDescent="0.3">
      <c r="A18" s="18" t="s">
        <v>21</v>
      </c>
      <c r="B18" s="15"/>
      <c r="C18" s="93">
        <f t="shared" ref="C18:D18" si="1">SUM(C5:C13)+SUM(C15:C17)</f>
        <v>240407233.55279857</v>
      </c>
      <c r="D18" s="99">
        <f t="shared" si="1"/>
        <v>298397021</v>
      </c>
      <c r="E18" s="93">
        <f>SUM(E5:E13)+SUM(E15:E17)</f>
        <v>305748072.85089892</v>
      </c>
      <c r="F18" s="93">
        <f t="shared" ref="F18:J18" si="2">SUM(F5:F13)+SUM(F15:F17)</f>
        <v>294449135.66788542</v>
      </c>
      <c r="G18" s="93">
        <f t="shared" si="2"/>
        <v>284845039.06232429</v>
      </c>
      <c r="H18" s="93">
        <f t="shared" si="2"/>
        <v>284845039.06232429</v>
      </c>
      <c r="I18" s="93">
        <f t="shared" si="2"/>
        <v>284845039.06232429</v>
      </c>
      <c r="J18" s="93">
        <f t="shared" si="2"/>
        <v>284845039.06232429</v>
      </c>
    </row>
    <row r="19" spans="1:10" ht="16.5" thickTop="1" thickBot="1" x14ac:dyDescent="0.3">
      <c r="A19" s="14" t="s">
        <v>52</v>
      </c>
      <c r="B19" s="15"/>
      <c r="C19" s="97">
        <f>76*1000000</f>
        <v>76000000</v>
      </c>
      <c r="D19" s="97">
        <f>90*1000000</f>
        <v>90000000</v>
      </c>
      <c r="E19" s="97">
        <f>94*1000000</f>
        <v>94000000</v>
      </c>
      <c r="F19" s="97">
        <f>107*1000000</f>
        <v>107000000</v>
      </c>
      <c r="G19" s="97">
        <f>115*1000000</f>
        <v>115000000</v>
      </c>
      <c r="H19" s="97">
        <f>124*1000000</f>
        <v>124000000</v>
      </c>
      <c r="I19" s="97">
        <f>134*1000000</f>
        <v>134000000</v>
      </c>
      <c r="J19" s="97">
        <f>145*1000000</f>
        <v>145000000</v>
      </c>
    </row>
    <row r="20" spans="1:10" ht="16.5" thickTop="1" thickBot="1" x14ac:dyDescent="0.3">
      <c r="A20" s="14" t="s">
        <v>9</v>
      </c>
      <c r="B20" s="15"/>
      <c r="C20" s="73">
        <f t="shared" ref="C20" si="3">C18/C19</f>
        <v>3.1632530730631392</v>
      </c>
      <c r="D20" s="73">
        <f t="shared" ref="D20:J20" si="4">D18/D19</f>
        <v>3.3155224555555556</v>
      </c>
      <c r="E20" s="48">
        <f t="shared" si="4"/>
        <v>3.2526390728819035</v>
      </c>
      <c r="F20" s="48">
        <f t="shared" si="4"/>
        <v>2.7518610810082751</v>
      </c>
      <c r="G20" s="48">
        <f t="shared" si="4"/>
        <v>2.476913383150646</v>
      </c>
      <c r="H20" s="48">
        <f t="shared" si="4"/>
        <v>2.2971374117929377</v>
      </c>
      <c r="I20" s="48">
        <f t="shared" si="4"/>
        <v>2.1257092467337633</v>
      </c>
      <c r="J20" s="48">
        <f t="shared" si="4"/>
        <v>1.964448545257409</v>
      </c>
    </row>
    <row r="21" spans="1:10" ht="16.5" thickTop="1" thickBot="1" x14ac:dyDescent="0.3">
      <c r="A21" s="14" t="s">
        <v>4</v>
      </c>
      <c r="B21" s="95"/>
      <c r="C21" s="100">
        <f>125*1000000</f>
        <v>125000000</v>
      </c>
      <c r="D21" s="100">
        <f>130*1000000</f>
        <v>130000000</v>
      </c>
      <c r="E21" s="100">
        <f>131*1000000</f>
        <v>131000000</v>
      </c>
      <c r="F21" s="100">
        <f>135*1000000</f>
        <v>135000000</v>
      </c>
      <c r="G21" s="100">
        <f>131*1000000</f>
        <v>131000000</v>
      </c>
      <c r="H21" s="100">
        <f>145*1000000</f>
        <v>145000000</v>
      </c>
      <c r="I21" s="100">
        <f>139*1000000</f>
        <v>139000000</v>
      </c>
      <c r="J21" s="100">
        <f>134*1000000</f>
        <v>134000000</v>
      </c>
    </row>
    <row r="22" spans="1:10" ht="15.75" thickTop="1" x14ac:dyDescent="0.25"/>
    <row r="23" spans="1:10" x14ac:dyDescent="0.25">
      <c r="A23" s="26"/>
    </row>
    <row r="24" spans="1:10" x14ac:dyDescent="0.25">
      <c r="C24" s="144"/>
    </row>
  </sheetData>
  <mergeCells count="1">
    <mergeCell ref="C3:I3"/>
  </mergeCells>
  <phoneticPr fontId="16" type="noConversion"/>
  <pageMargins left="0.7" right="0.7" top="0.75" bottom="0.75" header="0.3" footer="0.3"/>
  <pageSetup scale="82" orientation="landscape" r:id="rId1"/>
  <headerFooter>
    <oddHeader>&amp;C&amp;A</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23"/>
  <sheetViews>
    <sheetView showGridLines="0" workbookViewId="0">
      <selection activeCell="D7" activeCellId="3" sqref="D4 D5 D6 D7"/>
    </sheetView>
  </sheetViews>
  <sheetFormatPr defaultColWidth="8.85546875" defaultRowHeight="15" x14ac:dyDescent="0.25"/>
  <cols>
    <col min="2" max="2" width="30.85546875" customWidth="1"/>
    <col min="3" max="3" width="12.140625" style="49" bestFit="1" customWidth="1"/>
    <col min="4" max="4" width="12.28515625" bestFit="1" customWidth="1"/>
    <col min="5" max="10" width="12.140625" bestFit="1" customWidth="1"/>
  </cols>
  <sheetData>
    <row r="2" spans="1:10" x14ac:dyDescent="0.25">
      <c r="C2" s="179" t="s">
        <v>44</v>
      </c>
      <c r="D2" s="179"/>
      <c r="E2" s="179"/>
      <c r="F2" s="179"/>
      <c r="G2" s="179"/>
      <c r="H2" s="179"/>
      <c r="I2" s="179"/>
    </row>
    <row r="3" spans="1:10" ht="15.75" thickBot="1" x14ac:dyDescent="0.3">
      <c r="A3" s="13" t="s">
        <v>0</v>
      </c>
      <c r="B3" s="2"/>
      <c r="C3" s="71">
        <v>2018</v>
      </c>
      <c r="D3" s="2">
        <v>2019</v>
      </c>
      <c r="E3" s="2">
        <v>2020</v>
      </c>
      <c r="F3" s="2">
        <v>2021</v>
      </c>
      <c r="G3" s="2">
        <v>2022</v>
      </c>
      <c r="H3" s="2">
        <v>2023</v>
      </c>
      <c r="I3" s="2">
        <v>2024</v>
      </c>
      <c r="J3" s="2">
        <v>2025</v>
      </c>
    </row>
    <row r="4" spans="1:10" ht="15.75" thickTop="1" x14ac:dyDescent="0.25">
      <c r="A4" s="1" t="s">
        <v>1</v>
      </c>
      <c r="C4" s="90">
        <v>16793.001901156498</v>
      </c>
      <c r="D4" s="90">
        <v>21524.100000000002</v>
      </c>
      <c r="E4" s="90">
        <v>21802.379703249702</v>
      </c>
      <c r="F4" s="90">
        <v>20654.924175406431</v>
      </c>
      <c r="G4" s="90">
        <v>19679.586976739651</v>
      </c>
      <c r="H4" s="90">
        <v>19679.586976739651</v>
      </c>
      <c r="I4" s="90">
        <v>19679.586976739651</v>
      </c>
      <c r="J4" s="90">
        <v>19679.586976739651</v>
      </c>
    </row>
    <row r="5" spans="1:10" x14ac:dyDescent="0.25">
      <c r="A5" s="1" t="s">
        <v>2</v>
      </c>
      <c r="C5" s="90">
        <v>27714.407065327501</v>
      </c>
      <c r="D5" s="90">
        <v>25585.300000000003</v>
      </c>
      <c r="E5" s="90">
        <v>23265.584326141256</v>
      </c>
      <c r="F5" s="90">
        <v>22651.01667042595</v>
      </c>
      <c r="G5" s="90">
        <v>22128.634163067905</v>
      </c>
      <c r="H5" s="90">
        <v>22128.634163067905</v>
      </c>
      <c r="I5" s="90">
        <v>22128.634163067905</v>
      </c>
      <c r="J5" s="90">
        <v>22128.634163067905</v>
      </c>
    </row>
    <row r="6" spans="1:10" x14ac:dyDescent="0.25">
      <c r="A6" s="1" t="s">
        <v>7</v>
      </c>
      <c r="C6" s="90">
        <v>657.89064158049996</v>
      </c>
      <c r="D6" s="90">
        <v>624.9</v>
      </c>
      <c r="E6" s="90">
        <v>1178.2934289563652</v>
      </c>
      <c r="F6" s="90">
        <v>1177.6519089423157</v>
      </c>
      <c r="G6" s="90">
        <v>1177.1066169303738</v>
      </c>
      <c r="H6" s="90">
        <v>1177.1066169303738</v>
      </c>
      <c r="I6" s="90">
        <v>1177.1066169303738</v>
      </c>
      <c r="J6" s="90">
        <v>1177.1066169303738</v>
      </c>
    </row>
    <row r="7" spans="1:10" x14ac:dyDescent="0.25">
      <c r="A7" s="1" t="s">
        <v>3</v>
      </c>
      <c r="C7" s="90">
        <v>60.509290661625002</v>
      </c>
      <c r="D7" s="90">
        <v>455.8</v>
      </c>
      <c r="E7" s="90">
        <v>176.43067485176101</v>
      </c>
      <c r="F7" s="90">
        <v>167.37187778268566</v>
      </c>
      <c r="G7" s="90">
        <v>159.67190027397169</v>
      </c>
      <c r="H7" s="90">
        <v>159.67190027397169</v>
      </c>
      <c r="I7" s="90">
        <v>159.67190027397169</v>
      </c>
      <c r="J7" s="90">
        <v>159.67190027397169</v>
      </c>
    </row>
    <row r="8" spans="1:10" x14ac:dyDescent="0.25">
      <c r="A8" s="1" t="s">
        <v>5</v>
      </c>
      <c r="B8" s="10"/>
      <c r="C8" s="91">
        <v>0</v>
      </c>
      <c r="D8" s="91">
        <v>0</v>
      </c>
      <c r="E8" s="91">
        <v>0</v>
      </c>
      <c r="F8" s="91">
        <v>0</v>
      </c>
      <c r="G8" s="91">
        <v>0</v>
      </c>
      <c r="H8" s="91">
        <v>0</v>
      </c>
      <c r="I8" s="90">
        <v>0</v>
      </c>
      <c r="J8" s="90">
        <v>0</v>
      </c>
    </row>
    <row r="9" spans="1:10" x14ac:dyDescent="0.25">
      <c r="A9" s="1" t="s">
        <v>12</v>
      </c>
      <c r="B9" s="10"/>
      <c r="C9" s="91">
        <v>0</v>
      </c>
      <c r="D9" s="91"/>
      <c r="E9" s="91">
        <v>2478.1149957658831</v>
      </c>
      <c r="F9" s="91">
        <v>2420.3826866125846</v>
      </c>
      <c r="G9" s="91">
        <v>2371.310223832259</v>
      </c>
      <c r="H9" s="91">
        <v>2371.310223832259</v>
      </c>
      <c r="I9" s="90">
        <v>2371.310223832259</v>
      </c>
      <c r="J9" s="90">
        <v>2371.310223832259</v>
      </c>
    </row>
    <row r="10" spans="1:10" x14ac:dyDescent="0.25">
      <c r="A10" s="1" t="s">
        <v>6</v>
      </c>
      <c r="C10" s="91">
        <v>0</v>
      </c>
      <c r="D10" s="91">
        <v>0</v>
      </c>
      <c r="E10" s="91">
        <v>0</v>
      </c>
      <c r="F10" s="91">
        <v>0</v>
      </c>
      <c r="G10" s="91">
        <v>0</v>
      </c>
      <c r="H10" s="91">
        <v>0</v>
      </c>
      <c r="I10" s="90">
        <v>0</v>
      </c>
      <c r="J10" s="90">
        <v>0</v>
      </c>
    </row>
    <row r="11" spans="1:10" x14ac:dyDescent="0.25">
      <c r="A11" s="20" t="s">
        <v>10</v>
      </c>
      <c r="B11" s="10"/>
      <c r="C11" s="92">
        <v>0</v>
      </c>
      <c r="D11" s="92">
        <v>0</v>
      </c>
      <c r="E11" s="92">
        <v>0</v>
      </c>
      <c r="F11" s="92">
        <v>0</v>
      </c>
      <c r="G11" s="92">
        <v>0</v>
      </c>
      <c r="H11" s="92">
        <v>0</v>
      </c>
      <c r="I11" s="90">
        <v>0</v>
      </c>
      <c r="J11" s="90">
        <v>0</v>
      </c>
    </row>
    <row r="12" spans="1:10" x14ac:dyDescent="0.25">
      <c r="A12" s="20" t="s">
        <v>11</v>
      </c>
      <c r="C12" s="90">
        <v>0</v>
      </c>
      <c r="D12" s="90">
        <v>0</v>
      </c>
      <c r="E12" s="90">
        <v>0</v>
      </c>
      <c r="F12" s="90">
        <v>0</v>
      </c>
      <c r="G12" s="90">
        <v>0</v>
      </c>
      <c r="H12" s="90">
        <v>0</v>
      </c>
      <c r="I12" s="90">
        <v>0</v>
      </c>
      <c r="J12" s="90">
        <v>0</v>
      </c>
    </row>
    <row r="13" spans="1:10" ht="15.75" thickBot="1" x14ac:dyDescent="0.3">
      <c r="A13" s="16" t="s">
        <v>46</v>
      </c>
      <c r="C13" s="90">
        <v>45225.808898726129</v>
      </c>
      <c r="D13" s="90">
        <v>48190.111849697118</v>
      </c>
      <c r="E13" s="90">
        <v>48900.803128964973</v>
      </c>
      <c r="F13" s="90">
        <v>47071.347319169967</v>
      </c>
      <c r="G13" s="90">
        <v>45516.309880844165</v>
      </c>
      <c r="H13" s="90">
        <v>45516.309880844165</v>
      </c>
      <c r="I13" s="90">
        <v>45516.309880844165</v>
      </c>
      <c r="J13" s="90">
        <v>45516.309880844165</v>
      </c>
    </row>
    <row r="14" spans="1:10" ht="16.5" thickTop="1" thickBot="1" x14ac:dyDescent="0.3">
      <c r="A14" s="82" t="s">
        <v>92</v>
      </c>
      <c r="B14" s="95"/>
      <c r="C14" s="97">
        <v>2148</v>
      </c>
      <c r="D14" s="97">
        <v>4151.7</v>
      </c>
      <c r="E14" s="97">
        <v>4031.0718935112013</v>
      </c>
      <c r="F14" s="97">
        <v>4031.0718935112013</v>
      </c>
      <c r="G14" s="97">
        <v>4031.0718935112013</v>
      </c>
      <c r="H14" s="97">
        <v>4031.0718935112013</v>
      </c>
      <c r="I14" s="97">
        <v>4031.0718935112013</v>
      </c>
      <c r="J14" s="97">
        <v>4031.0718935112013</v>
      </c>
    </row>
    <row r="15" spans="1:10" ht="16.5" thickTop="1" thickBot="1" x14ac:dyDescent="0.3">
      <c r="A15" s="18" t="s">
        <v>39</v>
      </c>
      <c r="B15" s="27"/>
      <c r="C15" s="72">
        <v>0</v>
      </c>
      <c r="D15" s="72">
        <v>0</v>
      </c>
      <c r="E15" s="6">
        <v>0</v>
      </c>
      <c r="F15" s="6">
        <v>0</v>
      </c>
      <c r="G15" s="6">
        <v>0</v>
      </c>
      <c r="H15" s="6">
        <v>0</v>
      </c>
      <c r="I15" s="6">
        <v>0</v>
      </c>
      <c r="J15" s="6">
        <v>0</v>
      </c>
    </row>
    <row r="16" spans="1:10" ht="16.5" thickTop="1" thickBot="1" x14ac:dyDescent="0.3">
      <c r="A16" s="18" t="s">
        <v>38</v>
      </c>
      <c r="B16" s="27"/>
      <c r="C16" s="72">
        <v>0</v>
      </c>
      <c r="D16" s="72">
        <v>0</v>
      </c>
      <c r="E16" s="6">
        <v>0</v>
      </c>
      <c r="F16" s="6">
        <v>0</v>
      </c>
      <c r="G16" s="6">
        <v>0</v>
      </c>
      <c r="H16" s="6">
        <v>0</v>
      </c>
      <c r="I16" s="6">
        <v>0</v>
      </c>
      <c r="J16" s="6">
        <v>0</v>
      </c>
    </row>
    <row r="17" spans="1:10" ht="16.5" thickTop="1" thickBot="1" x14ac:dyDescent="0.3">
      <c r="A17" s="96" t="s">
        <v>91</v>
      </c>
      <c r="B17" s="98"/>
      <c r="C17" s="97">
        <f>SUM(C4:C12)+SUM(C14:C16)</f>
        <v>47373.808898726129</v>
      </c>
      <c r="D17" s="97">
        <f t="shared" ref="D17:J17" si="0">SUM(D4:D12)+SUM(D14:D16)</f>
        <v>52341.80000000001</v>
      </c>
      <c r="E17" s="97">
        <f t="shared" si="0"/>
        <v>52931.875022476175</v>
      </c>
      <c r="F17" s="97">
        <f t="shared" si="0"/>
        <v>51102.419212681169</v>
      </c>
      <c r="G17" s="97">
        <f t="shared" si="0"/>
        <v>49547.381774355366</v>
      </c>
      <c r="H17" s="97">
        <f t="shared" si="0"/>
        <v>49547.381774355366</v>
      </c>
      <c r="I17" s="97">
        <f t="shared" si="0"/>
        <v>49547.381774355366</v>
      </c>
      <c r="J17" s="97">
        <f t="shared" si="0"/>
        <v>49547.381774355366</v>
      </c>
    </row>
    <row r="18" spans="1:10" ht="16.5" thickTop="1" thickBot="1" x14ac:dyDescent="0.3">
      <c r="A18" s="14" t="s">
        <v>52</v>
      </c>
      <c r="B18" s="95"/>
      <c r="C18" s="97">
        <f>16*1000</f>
        <v>16000</v>
      </c>
      <c r="D18" s="97">
        <f>19*1000</f>
        <v>19000</v>
      </c>
      <c r="E18" s="97">
        <f>19*1000</f>
        <v>19000</v>
      </c>
      <c r="F18" s="97">
        <f>22*1000</f>
        <v>22000</v>
      </c>
      <c r="G18" s="97">
        <f>23*1000</f>
        <v>23000</v>
      </c>
      <c r="H18" s="97">
        <f>25*1000</f>
        <v>25000</v>
      </c>
      <c r="I18" s="97">
        <f>27*1000</f>
        <v>27000</v>
      </c>
      <c r="J18" s="97">
        <f>29*1000</f>
        <v>29000</v>
      </c>
    </row>
    <row r="19" spans="1:10" ht="16.5" thickTop="1" thickBot="1" x14ac:dyDescent="0.3">
      <c r="A19" s="14" t="s">
        <v>9</v>
      </c>
      <c r="B19" s="15"/>
      <c r="C19" s="73">
        <f t="shared" ref="C19" si="1">C17/C18</f>
        <v>2.9608630561703833</v>
      </c>
      <c r="D19" s="73">
        <f t="shared" ref="D19:J19" si="2">D17/D18</f>
        <v>2.754831578947369</v>
      </c>
      <c r="E19" s="48">
        <f t="shared" si="2"/>
        <v>2.7858881590776936</v>
      </c>
      <c r="F19" s="48">
        <f t="shared" si="2"/>
        <v>2.3228372369400532</v>
      </c>
      <c r="G19" s="48">
        <f t="shared" si="2"/>
        <v>2.1542339901893639</v>
      </c>
      <c r="H19" s="48">
        <f t="shared" si="2"/>
        <v>1.9818952709742146</v>
      </c>
      <c r="I19" s="48">
        <f t="shared" si="2"/>
        <v>1.8350882138650135</v>
      </c>
      <c r="J19" s="48">
        <f t="shared" si="2"/>
        <v>1.7085304060122539</v>
      </c>
    </row>
    <row r="20" spans="1:10" ht="16.5" thickTop="1" thickBot="1" x14ac:dyDescent="0.3">
      <c r="A20" s="14" t="s">
        <v>4</v>
      </c>
      <c r="B20" s="95"/>
      <c r="C20" s="100">
        <f>28*1000</f>
        <v>28000</v>
      </c>
      <c r="D20" s="100">
        <v>35295.800000000003</v>
      </c>
      <c r="E20" s="100">
        <f>32*1000</f>
        <v>32000</v>
      </c>
      <c r="F20" s="100">
        <f>38*1000</f>
        <v>38000</v>
      </c>
      <c r="G20" s="100">
        <f>37*1000</f>
        <v>37000</v>
      </c>
      <c r="H20" s="100">
        <f>45*1000</f>
        <v>45000</v>
      </c>
      <c r="I20" s="100">
        <f>44*1000</f>
        <v>44000</v>
      </c>
      <c r="J20" s="100">
        <f>42*1000</f>
        <v>42000</v>
      </c>
    </row>
    <row r="21" spans="1:10" ht="15.75" thickTop="1" x14ac:dyDescent="0.25">
      <c r="A21" s="26"/>
    </row>
    <row r="23" spans="1:10" x14ac:dyDescent="0.25">
      <c r="C23" s="144"/>
    </row>
  </sheetData>
  <mergeCells count="1">
    <mergeCell ref="C2:I2"/>
  </mergeCells>
  <pageMargins left="0.7" right="0.7" top="0.75" bottom="0.75" header="0.3" footer="0.3"/>
  <pageSetup scale="89"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23"/>
  <sheetViews>
    <sheetView showGridLines="0" workbookViewId="0">
      <selection activeCell="I25" sqref="I25"/>
    </sheetView>
  </sheetViews>
  <sheetFormatPr defaultColWidth="8.85546875" defaultRowHeight="15" x14ac:dyDescent="0.25"/>
  <cols>
    <col min="2" max="2" width="30.85546875" customWidth="1"/>
    <col min="3" max="3" width="10.5703125" style="49" bestFit="1" customWidth="1"/>
    <col min="4" max="10" width="10.5703125" bestFit="1" customWidth="1"/>
  </cols>
  <sheetData>
    <row r="2" spans="1:10" x14ac:dyDescent="0.25">
      <c r="C2" s="179" t="s">
        <v>43</v>
      </c>
      <c r="D2" s="179"/>
      <c r="E2" s="179"/>
      <c r="F2" s="179"/>
      <c r="G2" s="179"/>
      <c r="H2" s="179"/>
      <c r="I2" s="179"/>
    </row>
    <row r="3" spans="1:10" ht="15.75" thickBot="1" x14ac:dyDescent="0.3">
      <c r="A3" s="13" t="s">
        <v>0</v>
      </c>
      <c r="B3" s="2"/>
      <c r="C3" s="71">
        <v>2018</v>
      </c>
      <c r="D3" s="2">
        <v>2019</v>
      </c>
      <c r="E3" s="2">
        <v>2020</v>
      </c>
      <c r="F3" s="2">
        <v>2021</v>
      </c>
      <c r="G3" s="2">
        <v>2022</v>
      </c>
      <c r="H3" s="2">
        <v>2023</v>
      </c>
      <c r="I3" s="2">
        <v>2024</v>
      </c>
      <c r="J3" s="2">
        <v>2025</v>
      </c>
    </row>
    <row r="4" spans="1:10" ht="15.75" thickTop="1" x14ac:dyDescent="0.25">
      <c r="A4" s="1" t="s">
        <v>1</v>
      </c>
      <c r="C4" s="90">
        <v>784681.4041096908</v>
      </c>
      <c r="D4" s="103">
        <v>573332</v>
      </c>
      <c r="E4" s="90">
        <v>733981.77898747055</v>
      </c>
      <c r="F4" s="90">
        <v>842620.1018465244</v>
      </c>
      <c r="G4" s="90">
        <v>934962.67627672001</v>
      </c>
      <c r="H4" s="90">
        <v>934962.67627672001</v>
      </c>
      <c r="I4" s="90">
        <v>934962.67627672001</v>
      </c>
      <c r="J4" s="90">
        <v>934962.67627672001</v>
      </c>
    </row>
    <row r="5" spans="1:10" x14ac:dyDescent="0.25">
      <c r="A5" s="1" t="s">
        <v>2</v>
      </c>
      <c r="C5" s="90">
        <v>1016224.9048066925</v>
      </c>
      <c r="D5" s="103">
        <v>3358988</v>
      </c>
      <c r="E5" s="90">
        <v>2966218.1627220041</v>
      </c>
      <c r="F5" s="90">
        <v>2975335.7632606439</v>
      </c>
      <c r="G5" s="90">
        <v>2983085.7237184881</v>
      </c>
      <c r="H5" s="90">
        <v>2983085.7237184881</v>
      </c>
      <c r="I5" s="90">
        <v>2983085.7237184881</v>
      </c>
      <c r="J5" s="90">
        <v>2983085.7237184881</v>
      </c>
    </row>
    <row r="6" spans="1:10" x14ac:dyDescent="0.25">
      <c r="A6" s="1" t="s">
        <v>7</v>
      </c>
      <c r="C6" s="90">
        <v>294664.58549324999</v>
      </c>
      <c r="D6" s="103">
        <v>428928</v>
      </c>
      <c r="E6" s="90">
        <v>580738.07121622399</v>
      </c>
      <c r="F6" s="90">
        <v>580747.57737662969</v>
      </c>
      <c r="G6" s="90">
        <v>580755.65761297452</v>
      </c>
      <c r="H6" s="90">
        <v>580755.65761297452</v>
      </c>
      <c r="I6" s="90">
        <v>580755.65761297452</v>
      </c>
      <c r="J6" s="90">
        <v>580755.65761297452</v>
      </c>
    </row>
    <row r="7" spans="1:10" x14ac:dyDescent="0.25">
      <c r="A7" s="1" t="s">
        <v>3</v>
      </c>
      <c r="C7" s="90">
        <v>112480.852742</v>
      </c>
      <c r="D7" s="103">
        <v>55071</v>
      </c>
      <c r="E7" s="90">
        <v>88256.079206967726</v>
      </c>
      <c r="F7" s="90">
        <v>88262.487927191469</v>
      </c>
      <c r="G7" s="90">
        <v>88267.935339381642</v>
      </c>
      <c r="H7" s="90">
        <v>88267.935339381642</v>
      </c>
      <c r="I7" s="90">
        <v>88267.935339381642</v>
      </c>
      <c r="J7" s="90">
        <v>88267.935339381642</v>
      </c>
    </row>
    <row r="8" spans="1:10" x14ac:dyDescent="0.25">
      <c r="A8" s="1" t="s">
        <v>5</v>
      </c>
      <c r="B8" s="10"/>
      <c r="C8" s="91">
        <v>0</v>
      </c>
      <c r="D8" s="91">
        <v>0</v>
      </c>
      <c r="E8" s="91">
        <v>0</v>
      </c>
      <c r="F8" s="91">
        <v>0</v>
      </c>
      <c r="G8" s="91">
        <v>0</v>
      </c>
      <c r="H8" s="91">
        <v>0</v>
      </c>
      <c r="I8" s="91">
        <v>0</v>
      </c>
      <c r="J8" s="91">
        <v>0</v>
      </c>
    </row>
    <row r="9" spans="1:10" x14ac:dyDescent="0.25">
      <c r="A9" s="1" t="s">
        <v>12</v>
      </c>
      <c r="B9" s="10"/>
      <c r="C9" s="91">
        <v>0</v>
      </c>
      <c r="D9" s="91">
        <v>0</v>
      </c>
      <c r="E9" s="91">
        <v>647140.36444170645</v>
      </c>
      <c r="F9" s="91">
        <v>647995.88028705399</v>
      </c>
      <c r="G9" s="91">
        <v>648723.06875559641</v>
      </c>
      <c r="H9" s="91">
        <v>648723.06875559641</v>
      </c>
      <c r="I9" s="91">
        <v>648723.06875559641</v>
      </c>
      <c r="J9" s="91">
        <v>648723.06875559641</v>
      </c>
    </row>
    <row r="10" spans="1:10" x14ac:dyDescent="0.25">
      <c r="A10" s="1" t="s">
        <v>6</v>
      </c>
      <c r="C10" s="91">
        <v>0</v>
      </c>
      <c r="D10" s="91">
        <v>0</v>
      </c>
      <c r="E10" s="91">
        <v>0</v>
      </c>
      <c r="F10" s="91">
        <v>0</v>
      </c>
      <c r="G10" s="91">
        <v>0</v>
      </c>
      <c r="H10" s="91">
        <v>0</v>
      </c>
      <c r="I10" s="91">
        <v>0</v>
      </c>
      <c r="J10" s="91">
        <v>0</v>
      </c>
    </row>
    <row r="11" spans="1:10" x14ac:dyDescent="0.25">
      <c r="A11" s="20" t="s">
        <v>10</v>
      </c>
      <c r="B11" s="10"/>
      <c r="C11" s="92">
        <v>0</v>
      </c>
      <c r="D11" s="92">
        <v>0</v>
      </c>
      <c r="E11" s="92">
        <v>0</v>
      </c>
      <c r="F11" s="92">
        <v>0</v>
      </c>
      <c r="G11" s="92">
        <v>0</v>
      </c>
      <c r="H11" s="92">
        <v>0</v>
      </c>
      <c r="I11" s="92">
        <v>0</v>
      </c>
      <c r="J11" s="92">
        <v>0</v>
      </c>
    </row>
    <row r="12" spans="1:10" x14ac:dyDescent="0.25">
      <c r="A12" s="20" t="s">
        <v>11</v>
      </c>
      <c r="C12" s="90">
        <v>0</v>
      </c>
      <c r="D12" s="90">
        <v>0</v>
      </c>
      <c r="E12" s="90">
        <v>0</v>
      </c>
      <c r="F12" s="90">
        <v>0</v>
      </c>
      <c r="G12" s="90">
        <v>0</v>
      </c>
      <c r="H12" s="90">
        <v>0</v>
      </c>
      <c r="I12" s="90">
        <v>0</v>
      </c>
      <c r="J12" s="90">
        <v>0</v>
      </c>
    </row>
    <row r="13" spans="1:10" ht="15.75" thickBot="1" x14ac:dyDescent="0.3">
      <c r="A13" s="16" t="s">
        <v>46</v>
      </c>
      <c r="C13" s="94">
        <v>2093468.7137446369</v>
      </c>
      <c r="D13" s="94">
        <v>4416319</v>
      </c>
      <c r="E13" s="94">
        <v>5016334.4565743729</v>
      </c>
      <c r="F13" s="94">
        <v>5134961.8106980436</v>
      </c>
      <c r="G13" s="94">
        <v>5235795.0617031604</v>
      </c>
      <c r="H13" s="94">
        <v>5235795.0617031604</v>
      </c>
      <c r="I13" s="94">
        <v>5235795.0617031604</v>
      </c>
      <c r="J13" s="94">
        <v>5235795.0617031604</v>
      </c>
    </row>
    <row r="14" spans="1:10" ht="16.5" thickTop="1" thickBot="1" x14ac:dyDescent="0.3">
      <c r="A14" s="82" t="s">
        <v>92</v>
      </c>
      <c r="B14" s="95"/>
      <c r="C14" s="97">
        <v>292308</v>
      </c>
      <c r="D14" s="97">
        <v>85772</v>
      </c>
      <c r="E14" s="97">
        <v>83770.860317600047</v>
      </c>
      <c r="F14" s="97">
        <v>83770.860317600047</v>
      </c>
      <c r="G14" s="97">
        <v>83770.860317600047</v>
      </c>
      <c r="H14" s="97">
        <v>83770.860317600047</v>
      </c>
      <c r="I14" s="97">
        <v>83770.860317600047</v>
      </c>
      <c r="J14" s="97">
        <v>83770.860317600047</v>
      </c>
    </row>
    <row r="15" spans="1:10" ht="16.5" thickTop="1" thickBot="1" x14ac:dyDescent="0.3">
      <c r="A15" s="18" t="s">
        <v>39</v>
      </c>
      <c r="B15" s="27"/>
      <c r="C15" s="72">
        <v>0</v>
      </c>
      <c r="D15" s="72">
        <v>0</v>
      </c>
      <c r="E15" s="72">
        <v>0</v>
      </c>
      <c r="F15" s="72">
        <v>0</v>
      </c>
      <c r="G15" s="72">
        <v>0</v>
      </c>
      <c r="H15" s="72">
        <v>0</v>
      </c>
      <c r="I15" s="72">
        <v>0</v>
      </c>
      <c r="J15" s="72">
        <v>0</v>
      </c>
    </row>
    <row r="16" spans="1:10" ht="16.5" thickTop="1" thickBot="1" x14ac:dyDescent="0.3">
      <c r="A16" s="18" t="s">
        <v>38</v>
      </c>
      <c r="B16" s="27"/>
      <c r="C16" s="72">
        <v>0</v>
      </c>
      <c r="D16" s="72">
        <v>0</v>
      </c>
      <c r="E16" s="72">
        <v>0</v>
      </c>
      <c r="F16" s="72">
        <v>0</v>
      </c>
      <c r="G16" s="72">
        <v>0</v>
      </c>
      <c r="H16" s="72">
        <v>0</v>
      </c>
      <c r="I16" s="72">
        <v>0</v>
      </c>
      <c r="J16" s="72">
        <v>0</v>
      </c>
    </row>
    <row r="17" spans="1:10" ht="16.5" thickTop="1" thickBot="1" x14ac:dyDescent="0.3">
      <c r="A17" s="18" t="s">
        <v>91</v>
      </c>
      <c r="B17" s="15"/>
      <c r="C17" s="97">
        <f>SUM(C4:C12)+SUM(C14:C16)</f>
        <v>2500359.7471516333</v>
      </c>
      <c r="D17" s="97">
        <f>SUM(D4:D12)+SUM(D14:D16)</f>
        <v>4502091</v>
      </c>
      <c r="E17" s="97">
        <f t="shared" ref="E17:J17" si="0">SUM(E4:E12)+SUM(E14:E16)</f>
        <v>5100105.3168919729</v>
      </c>
      <c r="F17" s="97">
        <f t="shared" si="0"/>
        <v>5218732.6710156435</v>
      </c>
      <c r="G17" s="97">
        <f t="shared" si="0"/>
        <v>5319565.9220207604</v>
      </c>
      <c r="H17" s="97">
        <f t="shared" si="0"/>
        <v>5319565.9220207604</v>
      </c>
      <c r="I17" s="97">
        <f t="shared" si="0"/>
        <v>5319565.9220207604</v>
      </c>
      <c r="J17" s="97">
        <f t="shared" si="0"/>
        <v>5319565.9220207604</v>
      </c>
    </row>
    <row r="18" spans="1:10" ht="16.5" thickTop="1" thickBot="1" x14ac:dyDescent="0.3">
      <c r="A18" s="14" t="s">
        <v>52</v>
      </c>
      <c r="B18" s="15"/>
      <c r="C18" s="97">
        <f>1.7*1000000</f>
        <v>1700000</v>
      </c>
      <c r="D18" s="97">
        <f>2*1000000</f>
        <v>2000000</v>
      </c>
      <c r="E18" s="97">
        <f>2.1*1000000</f>
        <v>2100000</v>
      </c>
      <c r="F18" s="97">
        <f>2.3*1000000</f>
        <v>2300000</v>
      </c>
      <c r="G18" s="97">
        <f>2.4*1000000</f>
        <v>2400000</v>
      </c>
      <c r="H18" s="97">
        <f>2.8*1000000</f>
        <v>2800000</v>
      </c>
      <c r="I18" s="97">
        <f>2.8*1000000</f>
        <v>2800000</v>
      </c>
      <c r="J18" s="97">
        <f>3*1000000</f>
        <v>3000000</v>
      </c>
    </row>
    <row r="19" spans="1:10" ht="16.5" thickTop="1" thickBot="1" x14ac:dyDescent="0.3">
      <c r="A19" s="14" t="s">
        <v>9</v>
      </c>
      <c r="B19" s="15"/>
      <c r="C19" s="73">
        <f t="shared" ref="C19" si="1">C17/C18</f>
        <v>1.4707998512656666</v>
      </c>
      <c r="D19" s="73">
        <f t="shared" ref="D19:J19" si="2">D17/D18</f>
        <v>2.2510455</v>
      </c>
      <c r="E19" s="73">
        <f t="shared" si="2"/>
        <v>2.428621579472368</v>
      </c>
      <c r="F19" s="73">
        <f t="shared" si="2"/>
        <v>2.2690142047894102</v>
      </c>
      <c r="G19" s="73">
        <f t="shared" si="2"/>
        <v>2.2164858008419834</v>
      </c>
      <c r="H19" s="73">
        <f t="shared" si="2"/>
        <v>1.8998449721502715</v>
      </c>
      <c r="I19" s="73">
        <f t="shared" si="2"/>
        <v>1.8998449721502715</v>
      </c>
      <c r="J19" s="73">
        <f t="shared" si="2"/>
        <v>1.7731886406735868</v>
      </c>
    </row>
    <row r="20" spans="1:10" ht="16.5" thickTop="1" thickBot="1" x14ac:dyDescent="0.3">
      <c r="A20" s="14" t="s">
        <v>4</v>
      </c>
      <c r="B20" s="95"/>
      <c r="C20" s="100">
        <f>1.6*1000000</f>
        <v>1600000</v>
      </c>
      <c r="D20" s="100">
        <v>1863311</v>
      </c>
      <c r="E20" s="100">
        <f>2*1000000</f>
        <v>2000000</v>
      </c>
      <c r="F20" s="100">
        <f>2.2*1000000</f>
        <v>2200000</v>
      </c>
      <c r="G20" s="100">
        <f>2.2*1000000</f>
        <v>2200000</v>
      </c>
      <c r="H20" s="100">
        <f>2.3*1000000</f>
        <v>2300000</v>
      </c>
      <c r="I20" s="100">
        <f>2.2*1000000</f>
        <v>2200000</v>
      </c>
      <c r="J20" s="100">
        <f>2.2*1000000</f>
        <v>2200000</v>
      </c>
    </row>
    <row r="21" spans="1:10" ht="15.75" thickTop="1" x14ac:dyDescent="0.25">
      <c r="A21" s="26"/>
    </row>
    <row r="22" spans="1:10" x14ac:dyDescent="0.25">
      <c r="C22" s="144"/>
    </row>
    <row r="23" spans="1:10" x14ac:dyDescent="0.25">
      <c r="C23" s="144"/>
    </row>
  </sheetData>
  <mergeCells count="1">
    <mergeCell ref="C2:I2"/>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8"/>
  <sheetViews>
    <sheetView showGridLines="0" workbookViewId="0">
      <selection activeCell="N16" sqref="N16"/>
    </sheetView>
  </sheetViews>
  <sheetFormatPr defaultColWidth="8.85546875" defaultRowHeight="15" x14ac:dyDescent="0.25"/>
  <cols>
    <col min="2" max="2" width="14.85546875" customWidth="1"/>
    <col min="3" max="3" width="8.85546875" style="49"/>
  </cols>
  <sheetData>
    <row r="2" spans="1:10" x14ac:dyDescent="0.25">
      <c r="A2" t="s">
        <v>100</v>
      </c>
      <c r="C2" s="179" t="s">
        <v>22</v>
      </c>
      <c r="D2" s="179"/>
      <c r="E2" s="179"/>
      <c r="F2" s="179"/>
      <c r="G2" s="179"/>
      <c r="H2" s="179"/>
      <c r="I2" s="179"/>
    </row>
    <row r="3" spans="1:10" ht="15.75" thickBot="1" x14ac:dyDescent="0.3">
      <c r="A3" s="13" t="s">
        <v>0</v>
      </c>
      <c r="B3" s="2"/>
      <c r="C3" s="71">
        <v>2018</v>
      </c>
      <c r="D3" s="2">
        <v>2019</v>
      </c>
      <c r="E3" s="2">
        <v>2020</v>
      </c>
      <c r="F3" s="2">
        <v>2021</v>
      </c>
      <c r="G3" s="2">
        <v>2022</v>
      </c>
      <c r="H3" s="2">
        <v>2023</v>
      </c>
      <c r="I3" s="2">
        <v>2024</v>
      </c>
      <c r="J3" s="2">
        <v>2025</v>
      </c>
    </row>
    <row r="4" spans="1:10" ht="15.75" thickTop="1" x14ac:dyDescent="0.25">
      <c r="A4" s="1" t="s">
        <v>1</v>
      </c>
      <c r="C4" s="49">
        <v>7</v>
      </c>
      <c r="D4">
        <v>7</v>
      </c>
      <c r="E4">
        <v>8</v>
      </c>
      <c r="F4">
        <v>8</v>
      </c>
      <c r="G4">
        <v>9</v>
      </c>
      <c r="H4">
        <v>9</v>
      </c>
      <c r="I4">
        <v>10</v>
      </c>
      <c r="J4">
        <v>10</v>
      </c>
    </row>
    <row r="5" spans="1:10" x14ac:dyDescent="0.25">
      <c r="A5" s="1" t="s">
        <v>2</v>
      </c>
    </row>
    <row r="6" spans="1:10" x14ac:dyDescent="0.25">
      <c r="A6" s="1" t="s">
        <v>7</v>
      </c>
    </row>
    <row r="7" spans="1:10" x14ac:dyDescent="0.25">
      <c r="A7" s="1" t="s">
        <v>3</v>
      </c>
    </row>
    <row r="8" spans="1:10" x14ac:dyDescent="0.25">
      <c r="A8" s="1" t="s">
        <v>5</v>
      </c>
      <c r="B8" s="10"/>
      <c r="C8" s="45" t="s">
        <v>15</v>
      </c>
      <c r="D8" s="21" t="s">
        <v>15</v>
      </c>
      <c r="E8" s="21" t="s">
        <v>15</v>
      </c>
      <c r="F8" s="21" t="s">
        <v>15</v>
      </c>
      <c r="G8" s="21" t="s">
        <v>15</v>
      </c>
      <c r="H8" s="21" t="s">
        <v>15</v>
      </c>
      <c r="I8" s="21" t="s">
        <v>15</v>
      </c>
      <c r="J8" s="21" t="s">
        <v>15</v>
      </c>
    </row>
    <row r="9" spans="1:10" x14ac:dyDescent="0.25">
      <c r="A9" s="1" t="s">
        <v>12</v>
      </c>
      <c r="B9" s="10"/>
      <c r="C9" s="45"/>
      <c r="D9" s="21"/>
      <c r="E9" s="21"/>
      <c r="F9" s="21"/>
      <c r="G9" s="21"/>
      <c r="H9" s="21"/>
      <c r="I9" s="21"/>
      <c r="J9" s="21"/>
    </row>
    <row r="10" spans="1:10" x14ac:dyDescent="0.25">
      <c r="A10" s="1" t="s">
        <v>4</v>
      </c>
      <c r="C10" s="45"/>
      <c r="D10" s="21"/>
      <c r="E10" s="21"/>
      <c r="F10" s="21"/>
      <c r="G10" s="21"/>
      <c r="H10" s="21"/>
      <c r="I10" s="21"/>
      <c r="J10" s="22"/>
    </row>
    <row r="11" spans="1:10" x14ac:dyDescent="0.25">
      <c r="A11" s="1" t="s">
        <v>6</v>
      </c>
      <c r="C11" s="45" t="s">
        <v>15</v>
      </c>
      <c r="D11" s="21" t="s">
        <v>15</v>
      </c>
      <c r="E11" s="21" t="s">
        <v>15</v>
      </c>
      <c r="F11" s="21" t="s">
        <v>15</v>
      </c>
      <c r="G11" s="21" t="s">
        <v>15</v>
      </c>
      <c r="H11" s="21" t="s">
        <v>15</v>
      </c>
      <c r="I11" s="21" t="s">
        <v>15</v>
      </c>
      <c r="J11" s="21" t="s">
        <v>15</v>
      </c>
    </row>
    <row r="12" spans="1:10" x14ac:dyDescent="0.25">
      <c r="A12" s="20" t="s">
        <v>10</v>
      </c>
      <c r="B12" s="10"/>
      <c r="C12" s="41"/>
      <c r="D12" s="10"/>
      <c r="E12" s="10"/>
      <c r="F12" s="10"/>
      <c r="G12" s="10"/>
      <c r="H12" s="10"/>
      <c r="I12" s="10"/>
      <c r="J12" s="10"/>
    </row>
    <row r="13" spans="1:10" ht="15.75" thickBot="1" x14ac:dyDescent="0.3">
      <c r="A13" s="20" t="s">
        <v>11</v>
      </c>
    </row>
    <row r="14" spans="1:10" ht="16.5" thickTop="1" thickBot="1" x14ac:dyDescent="0.3">
      <c r="A14" s="18" t="s">
        <v>21</v>
      </c>
      <c r="B14" s="15"/>
      <c r="C14" s="72">
        <f t="shared" ref="C14" si="0">SUM(C4:C13)</f>
        <v>7</v>
      </c>
      <c r="D14" s="6">
        <f t="shared" ref="D14:J14" si="1">SUM(D4:D13)</f>
        <v>7</v>
      </c>
      <c r="E14" s="6">
        <f t="shared" si="1"/>
        <v>8</v>
      </c>
      <c r="F14" s="6">
        <f t="shared" si="1"/>
        <v>8</v>
      </c>
      <c r="G14" s="6">
        <f t="shared" si="1"/>
        <v>9</v>
      </c>
      <c r="H14" s="6">
        <f t="shared" si="1"/>
        <v>9</v>
      </c>
      <c r="I14" s="6">
        <f t="shared" si="1"/>
        <v>10</v>
      </c>
      <c r="J14" s="6">
        <f t="shared" si="1"/>
        <v>10</v>
      </c>
    </row>
    <row r="15" spans="1:10" ht="16.5" thickTop="1" thickBot="1" x14ac:dyDescent="0.3">
      <c r="A15" s="14" t="s">
        <v>40</v>
      </c>
      <c r="B15" s="15"/>
      <c r="C15" s="72">
        <v>7</v>
      </c>
      <c r="D15" s="6">
        <v>7</v>
      </c>
      <c r="E15" s="6">
        <v>7</v>
      </c>
      <c r="F15" s="6">
        <v>8</v>
      </c>
      <c r="G15" s="6">
        <v>8</v>
      </c>
      <c r="H15" s="6">
        <v>8</v>
      </c>
      <c r="I15" s="6">
        <v>9</v>
      </c>
      <c r="J15" s="6">
        <v>9</v>
      </c>
    </row>
    <row r="16" spans="1:10" ht="16.5" thickTop="1" thickBot="1" x14ac:dyDescent="0.3">
      <c r="A16" s="14" t="s">
        <v>50</v>
      </c>
      <c r="B16" s="15"/>
      <c r="C16" s="73">
        <f t="shared" ref="C16" si="2">C14/C15</f>
        <v>1</v>
      </c>
      <c r="D16" s="48">
        <f t="shared" ref="D16:J16" si="3">D14/D15</f>
        <v>1</v>
      </c>
      <c r="E16" s="48">
        <f t="shared" si="3"/>
        <v>1.1428571428571428</v>
      </c>
      <c r="F16" s="48">
        <f t="shared" si="3"/>
        <v>1</v>
      </c>
      <c r="G16" s="48">
        <f t="shared" si="3"/>
        <v>1.125</v>
      </c>
      <c r="H16" s="48">
        <f t="shared" si="3"/>
        <v>1.125</v>
      </c>
      <c r="I16" s="48">
        <f t="shared" si="3"/>
        <v>1.1111111111111112</v>
      </c>
      <c r="J16" s="48">
        <f t="shared" si="3"/>
        <v>1.1111111111111112</v>
      </c>
    </row>
    <row r="17" spans="1:1" ht="15.75" thickTop="1" x14ac:dyDescent="0.25"/>
    <row r="18" spans="1:1" x14ac:dyDescent="0.25">
      <c r="A18" s="26" t="s">
        <v>51</v>
      </c>
    </row>
  </sheetData>
  <mergeCells count="1">
    <mergeCell ref="C2:I2"/>
  </mergeCells>
  <pageMargins left="0.7" right="0.7" top="0.75" bottom="0.75" header="0.3" footer="0.3"/>
  <pageSetup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3685FE9BAD794BA3718CD807A4F619" ma:contentTypeVersion="0" ma:contentTypeDescription="Create a new document." ma:contentTypeScope="" ma:versionID="9c4b3c598b1d2e6136b507de2844f40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37073-248F-406C-81E3-64D64F02D23E}">
  <ds:schemaRefs>
    <ds:schemaRef ds:uri="http://schemas.microsoft.com/sharepoint/v3/contenttype/forms"/>
  </ds:schemaRefs>
</ds:datastoreItem>
</file>

<file path=customXml/itemProps2.xml><?xml version="1.0" encoding="utf-8"?>
<ds:datastoreItem xmlns:ds="http://schemas.openxmlformats.org/officeDocument/2006/customXml" ds:itemID="{EFCBFAD6-E6BE-4623-AB27-BA9FC0604B4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C66487-D423-4598-95A1-CBBF76B21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ABAL outline</vt:lpstr>
      <vt:lpstr>1a. IOU PY budget_savings</vt:lpstr>
      <vt:lpstr>1b. CCA-REN PY budget_savings</vt:lpstr>
      <vt:lpstr>2a. IOU budget trueup</vt:lpstr>
      <vt:lpstr>2b. CCA-REN budget trueup</vt:lpstr>
      <vt:lpstr>3.a.i. IOU kWh trueup</vt:lpstr>
      <vt:lpstr>3.a.ii. IOU kW trueup</vt:lpstr>
      <vt:lpstr>3.a.iii. IOU therms trueup</vt:lpstr>
      <vt:lpstr>3.b.i. CCA-REN kWh trueup </vt:lpstr>
      <vt:lpstr>3.b.ii. CCA-REN kW trueup </vt:lpstr>
      <vt:lpstr>3.b.iii. CCA-REN therms trueup</vt:lpstr>
      <vt:lpstr>4 Authorized Budgets 2018-2025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Franzese, Peter</dc:creator>
  <cp:lastModifiedBy>Besa, Athena</cp:lastModifiedBy>
  <cp:lastPrinted>2018-09-04T18:00:26Z</cp:lastPrinted>
  <dcterms:created xsi:type="dcterms:W3CDTF">2018-06-04T17:28:10Z</dcterms:created>
  <dcterms:modified xsi:type="dcterms:W3CDTF">2018-10-29T19:26:10Z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0x010100743685FE9BAD794BA3718CD807A4F619</vt:lpwstr>
  </property>
</Properties>
</file>